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" sheetId="1" state="visible" r:id="rId3"/>
    <sheet name="OtherPosn" sheetId="2" state="visible" r:id="rId4"/>
    <sheet name="EnergyCurve" sheetId="3" state="visible" r:id="rId5"/>
    <sheet name="OperatingCurve" sheetId="4" state="visible" r:id="rId6"/>
    <sheet name="Tregion" sheetId="5" state="visible" r:id="rId7"/>
    <sheet name="Tbasis" sheetId="6" state="visible" r:id="rId8"/>
    <sheet name="Cd" sheetId="7" state="hidden" r:id="rId9"/>
  </sheets>
  <externalReferences>
    <externalReference r:id="rId10"/>
    <externalReference r:id="rId11"/>
    <externalReference r:id="rId12"/>
  </externalReferences>
  <definedNames>
    <definedName function="false" hidden="false" localSheetId="2" name="_xlnm.Print_Area" vbProcedure="false">EnergyCurve!$D$36:$G$143</definedName>
    <definedName function="false" hidden="false" localSheetId="3" name="_xlnm.Print_Area" vbProcedure="false">OperatingCurve!$D$36:$G$143</definedName>
    <definedName function="false" hidden="false" name="BlendedCurve" vbProcedure="false">#REF!</definedName>
    <definedName function="false" hidden="false" name="cRows" vbProcedure="false">#REF!</definedName>
    <definedName function="false" hidden="false" name="CurveAdder" vbProcedure="false">#REF!</definedName>
    <definedName function="false" hidden="false" name="CurveArray" vbProcedure="false">#REF!</definedName>
    <definedName function="false" hidden="false" name="Dldfile" vbProcedure="false">Top!$B$20</definedName>
    <definedName function="false" hidden="false" name="fRegion" vbProcedure="false">#REF!</definedName>
    <definedName function="false" hidden="false" name="QuarterLookup" vbProcedure="false">#REF!</definedName>
    <definedName function="false" hidden="false" name="RegionList" vbProcedure="false">[1]!RegionList</definedName>
    <definedName function="false" hidden="false" name="RegionTable" vbProcedure="false">[1]!RegionTable</definedName>
    <definedName function="false" hidden="false" name="TopCurrDate" vbProcedure="false">Top!$E$4</definedName>
    <definedName function="false" hidden="false" name="TopPriorDate" vbProcedure="false">Top!$E$5</definedName>
    <definedName function="false" hidden="false" name="vShoulder2" vbProcedure="false">#REF!</definedName>
    <definedName function="false" hidden="false" name="vSummer2" vbProcedure="false">#REF!</definedName>
    <definedName function="false" hidden="false" name="vWinter2" vbProcedure="false">#REF!</definedName>
    <definedName function="false" hidden="false" localSheetId="0" name="CashPath" vbProcedure="false">Top!$B$13</definedName>
    <definedName function="false" hidden="false" localSheetId="0" name="CashReady" vbProcedure="false">Top!$B$10</definedName>
    <definedName function="false" hidden="false" localSheetId="0" name="dbname" vbProcedure="false">Top!$B$24</definedName>
    <definedName function="false" hidden="false" localSheetId="0" name="Downloaded" vbProcedure="false">Top!$B$11</definedName>
    <definedName function="false" hidden="false" localSheetId="0" name="Holidays" vbProcedure="false">#NAME!Holidays</definedName>
    <definedName function="false" hidden="false" name="Holidays" vbProcedure="false"/>
    <definedName function="false" hidden="false" localSheetId="0" name="OFile" vbProcedure="false">Top!$B$14</definedName>
    <definedName function="false" hidden="false" localSheetId="0" name="Path" vbProcedure="false">Top!$B$12</definedName>
    <definedName function="false" hidden="false" localSheetId="0" name="Portfolio" vbProcedure="false">Top!$B$16</definedName>
    <definedName function="false" hidden="false" localSheetId="0" name="Term" vbProcedure="false">Top!$B$15</definedName>
    <definedName function="false" hidden="false" localSheetId="1" name="fFirstCell" vbProcedure="false">OtherPosn!$A$2</definedName>
    <definedName function="false" hidden="false" localSheetId="2" name="aProfile" vbProcedure="false">EnergyCurve!$BB$118</definedName>
    <definedName function="false" hidden="false" localSheetId="2" name="aPrud" vbProcedure="false">#REF!</definedName>
    <definedName function="false" hidden="false" localSheetId="2" name="aSpreads" vbProcedure="false">EnergyCurve!$BB$9</definedName>
    <definedName function="false" hidden="false" localSheetId="2" name="cRows" vbProcedure="false">EnergyCurve!$BR$1</definedName>
    <definedName function="false" hidden="false" localSheetId="2" name="fCap" vbProcedure="false">#REF!</definedName>
    <definedName function="false" hidden="false" localSheetId="2" name="foMid" vbProcedure="false">EnergyCurve!$L$2</definedName>
    <definedName function="false" hidden="false" localSheetId="2" name="fpMid" vbProcedure="false">EnergyCurve!$G$2</definedName>
    <definedName function="false" hidden="false" localSheetId="2" name="fPriorFixed" vbProcedure="false">EnergyCurve!$BZ$2</definedName>
    <definedName function="false" hidden="false" localSheetId="2" name="fPriorPosn" vbProcedure="false">EnergyCurve!$BQ$2</definedName>
    <definedName function="false" hidden="false" localSheetId="2" name="fPriorPrice" vbProcedure="false">EnergyCurve!$BZ$2:$CE$255</definedName>
    <definedName function="false" hidden="false" localSheetId="2" name="fRefDt" vbProcedure="false">EnergyCurve!$D$2</definedName>
    <definedName function="false" hidden="false" localSheetId="2" name="fRegion" vbProcedure="false">EnergyCurve!$I$1</definedName>
    <definedName function="false" hidden="false" localSheetId="2" name="fsMid" vbProcedure="false">EnergyCurve!$Y$2</definedName>
    <definedName function="false" hidden="false" localSheetId="2" name="fStartPeak" vbProcedure="false">EnergyCurve!$BC$116</definedName>
    <definedName function="false" hidden="false" localSheetId="2" name="iRefDt" vbProcedure="false">OFFSET(EnergyCurve!$BS$2,1,0,EnergyCurve!cRows,1)</definedName>
    <definedName function="false" hidden="false" localSheetId="2" name="iSpreads" vbProcedure="false">EnergyCurve!$BB$10:$BB$29</definedName>
    <definedName function="false" hidden="false" localSheetId="2" name="rChanges" vbProcedure="false">EnergyCurve!$F$34:$F$55,EnergyCurve!$K$34:$K$55,EnergyCurve!$AH$33:$AH$70</definedName>
    <definedName function="false" hidden="false" localSheetId="2" name="tblPosn" vbProcedure="false">OFFSET(EnergyCurve!$BS$2,1,0,EnergyCurve!cRows,6)</definedName>
    <definedName function="false" hidden="false" localSheetId="2" name="tblPriorPrice" vbProcedure="false">EnergyCurve!$BZ$2:$CE$276</definedName>
    <definedName function="false" hidden="false" localSheetId="2" name="vShoulder" vbProcedure="false">EnergyCurve!$BC$6</definedName>
    <definedName function="false" hidden="false" localSheetId="2" name="vSummer" vbProcedure="false">EnergyCurve!$BC$4</definedName>
    <definedName function="false" hidden="false" localSheetId="2" name="vSummerContango" vbProcedure="false">EnergyCurve!$BC$4</definedName>
    <definedName function="false" hidden="false" localSheetId="2" name="vSunScalar" vbProcedure="false">EnergyCurve!$BC$114</definedName>
    <definedName function="false" hidden="false" localSheetId="2" name="vWinter" vbProcedure="false">EnergyCurve!$BC$5</definedName>
    <definedName function="false" hidden="false" localSheetId="2" name="vWinterContango" vbProcedure="false">EnergyCurve!$BC$5</definedName>
    <definedName function="false" hidden="false" localSheetId="3" name="aProfile" vbProcedure="false">OperatingCurve!$BB$118</definedName>
    <definedName function="false" hidden="false" localSheetId="3" name="aPrud" vbProcedure="false">#REF!</definedName>
    <definedName function="false" hidden="false" localSheetId="3" name="aSpreads" vbProcedure="false">OperatingCurve!$BB$9</definedName>
    <definedName function="false" hidden="false" localSheetId="3" name="cRows" vbProcedure="false">OperatingCurve!$BR$1</definedName>
    <definedName function="false" hidden="false" localSheetId="3" name="fCap" vbProcedure="false">#REF!</definedName>
    <definedName function="false" hidden="false" localSheetId="3" name="foMid" vbProcedure="false">OperatingCurve!$L$2</definedName>
    <definedName function="false" hidden="false" localSheetId="3" name="fpMid" vbProcedure="false">OperatingCurve!$G$2</definedName>
    <definedName function="false" hidden="false" localSheetId="3" name="fPriorFixed" vbProcedure="false">OperatingCurve!$BZ$2</definedName>
    <definedName function="false" hidden="false" localSheetId="3" name="fPriorPosn" vbProcedure="false">OperatingCurve!$BQ$2</definedName>
    <definedName function="false" hidden="false" localSheetId="3" name="fPriorPrice" vbProcedure="false">OperatingCurve!$BZ$2:$CE$255</definedName>
    <definedName function="false" hidden="false" localSheetId="3" name="fRefDt" vbProcedure="false">OperatingCurve!$D$2</definedName>
    <definedName function="false" hidden="false" localSheetId="3" name="fRegion" vbProcedure="false">OperatingCurve!$I$1</definedName>
    <definedName function="false" hidden="false" localSheetId="3" name="fsMid" vbProcedure="false">OperatingCurve!$Y$2</definedName>
    <definedName function="false" hidden="false" localSheetId="3" name="fStartPeak" vbProcedure="false">OperatingCurve!$BC$116</definedName>
    <definedName function="false" hidden="false" localSheetId="3" name="iRefDt" vbProcedure="false">OFFSET(OperatingCurve!$BS$2,1,0,OperatingCurve!cRows,1)</definedName>
    <definedName function="false" hidden="false" localSheetId="3" name="iSpreads" vbProcedure="false">OperatingCurve!$BB$10:$BB$29</definedName>
    <definedName function="false" hidden="false" localSheetId="3" name="rChanges" vbProcedure="false">OperatingCurve!$F$34:$F$55,OperatingCurve!$K$34:$K$55,OperatingCurve!$AH$33:$AH$70</definedName>
    <definedName function="false" hidden="false" localSheetId="3" name="tblPosn" vbProcedure="false">OFFSET(OperatingCurve!$BS$2,1,0,OperatingCurve!cRows,6)</definedName>
    <definedName function="false" hidden="false" localSheetId="3" name="tblPriorPrice" vbProcedure="false">OperatingCurve!$BZ$2:$CE$276</definedName>
    <definedName function="false" hidden="false" localSheetId="3" name="vShoulder" vbProcedure="false">OperatingCurve!$BC$6</definedName>
    <definedName function="false" hidden="false" localSheetId="3" name="vSummer" vbProcedure="false">OperatingCurve!$BC$4</definedName>
    <definedName function="false" hidden="false" localSheetId="3" name="vSummerContango" vbProcedure="false">OperatingCurve!$BC$4</definedName>
    <definedName function="false" hidden="false" localSheetId="3" name="vSunScalar" vbProcedure="false">OperatingCurve!$BC$114</definedName>
    <definedName function="false" hidden="false" localSheetId="3" name="vWinter" vbProcedure="false">OperatingCurve!$BC$5</definedName>
    <definedName function="false" hidden="false" localSheetId="3" name="vWinterContango" vbProcedure="false">OperatingCurve!$BC$5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5" authorId="0">
      <text>
        <r>
          <rPr>
            <sz val="8"/>
            <color rgb="FF000000"/>
            <rFont val="Tahoma"/>
            <family val="0"/>
          </rPr>
          <t xml:space="preserve">Long Term = 1
Short Term = 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13</xdr:row>
                <xdr:rowOff>7</xdr:rowOff>
              </xdr:from>
              <xdr:to>
                <xdr:col>2</xdr:col>
                <xdr:colOff>70</xdr:colOff>
                <xdr:row>17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<sst xmlns="http://schemas.openxmlformats.org/spreadsheetml/2006/main" count="951" uniqueCount="155">
  <si>
    <t xml:space="preserve">                                                                                                                            </t>
  </si>
  <si>
    <t xml:space="preserve">Dates</t>
  </si>
  <si>
    <t xml:space="preserve">Entered</t>
  </si>
  <si>
    <t xml:space="preserve">Calculate</t>
  </si>
  <si>
    <t xml:space="preserve">Used</t>
  </si>
  <si>
    <t xml:space="preserve">Current</t>
  </si>
  <si>
    <t xml:space="preserve">Creates Lotus Files for PortCalc.</t>
  </si>
  <si>
    <t xml:space="preserve">Current:</t>
  </si>
  <si>
    <t xml:space="preserve">Should be used at the end of the day.</t>
  </si>
  <si>
    <t xml:space="preserve">Prior:</t>
  </si>
  <si>
    <t xml:space="preserve">Click the Check Boxes to automatically calculate</t>
  </si>
  <si>
    <t xml:space="preserve">Rolls the curves for a new day.  This will pull the prior day's prices,</t>
  </si>
  <si>
    <t xml:space="preserve">the dates.  Otherwise, enter the dates in the blue areas.</t>
  </si>
  <si>
    <t xml:space="preserve">update the position, and clear changes.  Then it will open the</t>
  </si>
  <si>
    <t xml:space="preserve">cash file and update position and clear changes.</t>
  </si>
  <si>
    <t xml:space="preserve">Parameters</t>
  </si>
  <si>
    <t xml:space="preserve">Should be used at the beginning of  a new day.</t>
  </si>
  <si>
    <t xml:space="preserve">Cash Ready:</t>
  </si>
  <si>
    <t xml:space="preserve">Downloaded:</t>
  </si>
  <si>
    <t xml:space="preserve">Updates the links to the cash file and volatility file.</t>
  </si>
  <si>
    <t xml:space="preserve">Curve Path:</t>
  </si>
  <si>
    <t xml:space="preserve">m:\power2\region\</t>
  </si>
  <si>
    <t xml:space="preserve">Cash Path:</t>
  </si>
  <si>
    <t xml:space="preserve">m:\power2\curve\new_sys\cash\</t>
  </si>
  <si>
    <t xml:space="preserve">Cash File:</t>
  </si>
  <si>
    <t xml:space="preserve">albertacash4</t>
  </si>
  <si>
    <t xml:space="preserve">Term:</t>
  </si>
  <si>
    <t xml:space="preserve">Portfolio:</t>
  </si>
  <si>
    <t xml:space="preserve">ALBERTA</t>
  </si>
  <si>
    <t xml:space="preserve">Updates the positions for each curve.  Also updates Non-Portfolio Positions.</t>
  </si>
  <si>
    <t xml:space="preserve">File Download</t>
  </si>
  <si>
    <t xml:space="preserve">Storage Path:</t>
  </si>
  <si>
    <t xml:space="preserve">m:\power2\curve\alberta\alberta4</t>
  </si>
  <si>
    <t xml:space="preserve">Updates Non-Portfolio Positions along with the current prices.</t>
  </si>
  <si>
    <t xml:space="preserve">File:</t>
  </si>
  <si>
    <t xml:space="preserve">Day:</t>
  </si>
  <si>
    <t xml:space="preserve">Month:</t>
  </si>
  <si>
    <t xml:space="preserve">Downloads the current day's prices into the database </t>
  </si>
  <si>
    <t xml:space="preserve">so that they can be seen by other portfolios.</t>
  </si>
  <si>
    <t xml:space="preserve">Database:</t>
  </si>
  <si>
    <t xml:space="preserve">m:\power2\curve\new_sys\data\curves.mdb</t>
  </si>
  <si>
    <t xml:space="preserve">Other Portfolio Positions</t>
  </si>
  <si>
    <t xml:space="preserve">Peak Price</t>
  </si>
  <si>
    <t xml:space="preserve">OffPeak Price</t>
  </si>
  <si>
    <t xml:space="preserve">Sunday Price</t>
  </si>
  <si>
    <t xml:space="preserve">Region</t>
  </si>
  <si>
    <t xml:space="preserve">Name</t>
  </si>
  <si>
    <t xml:space="preserve">Term</t>
  </si>
  <si>
    <t xml:space="preserve">RefDt</t>
  </si>
  <si>
    <t xml:space="preserve">Prior</t>
  </si>
  <si>
    <t xml:space="preserve">Change</t>
  </si>
  <si>
    <t xml:space="preserve">Peak</t>
  </si>
  <si>
    <t xml:space="preserve">OffPeak</t>
  </si>
  <si>
    <t xml:space="preserve">Sunday</t>
  </si>
  <si>
    <t xml:space="preserve">CrvShift</t>
  </si>
  <si>
    <t xml:space="preserve">PriorDt</t>
  </si>
  <si>
    <t xml:space="preserve">CurrDt</t>
  </si>
  <si>
    <t xml:space="preserve">CurrUpdateTm</t>
  </si>
  <si>
    <t xml:space="preserve">mtmTm</t>
  </si>
  <si>
    <t xml:space="preserve">mtmDt</t>
  </si>
  <si>
    <t xml:space="preserve">Peak Curves</t>
  </si>
  <si>
    <t xml:space="preserve">R21</t>
  </si>
  <si>
    <t xml:space="preserve">Off Peak Curves</t>
  </si>
  <si>
    <t xml:space="preserve">Position</t>
  </si>
  <si>
    <t xml:space="preserve">Total Shift:</t>
  </si>
  <si>
    <t xml:space="preserve">Saturday Curve</t>
  </si>
  <si>
    <t xml:space="preserve">Sunday Curve</t>
  </si>
  <si>
    <t xml:space="preserve">Capacity Curve</t>
  </si>
  <si>
    <t xml:space="preserve">Prudency</t>
  </si>
  <si>
    <t xml:space="preserve">Peak Volatility</t>
  </si>
  <si>
    <t xml:space="preserve">Off Peak Volatility</t>
  </si>
  <si>
    <t xml:space="preserve">Peak Intra-Month Vol.</t>
  </si>
  <si>
    <t xml:space="preserve">Off Peak Intra-Month Vol.</t>
  </si>
  <si>
    <t xml:space="preserve">Correlation</t>
  </si>
  <si>
    <t xml:space="preserve">Prior Fixed Price</t>
  </si>
  <si>
    <t xml:space="preserve">Posn. Match</t>
  </si>
  <si>
    <t xml:space="preserve">Spreads Match</t>
  </si>
  <si>
    <t xml:space="preserve">Month</t>
  </si>
  <si>
    <t xml:space="preserve">Period</t>
  </si>
  <si>
    <t xml:space="preserve">Prior Fixed</t>
  </si>
  <si>
    <t xml:space="preserve">Chng</t>
  </si>
  <si>
    <t xml:space="preserve">Current Fixed</t>
  </si>
  <si>
    <t xml:space="preserve">Bid</t>
  </si>
  <si>
    <t xml:space="preserve">Offer</t>
  </si>
  <si>
    <t xml:space="preserve">Saturday</t>
  </si>
  <si>
    <t xml:space="preserve">Capacity</t>
  </si>
  <si>
    <t xml:space="preserve">Curve Shift</t>
  </si>
  <si>
    <t xml:space="preserve">Group Code</t>
  </si>
  <si>
    <t xml:space="preserve">Factor</t>
  </si>
  <si>
    <t xml:space="preserve">Mid</t>
  </si>
  <si>
    <t xml:space="preserve">Gas-Power</t>
  </si>
  <si>
    <t xml:space="preserve">mtmEffDt</t>
  </si>
  <si>
    <t xml:space="preserve">Ref. Period</t>
  </si>
  <si>
    <t xml:space="preserve">Offpeak</t>
  </si>
  <si>
    <t xml:space="preserve">Contango Weighting</t>
  </si>
  <si>
    <t xml:space="preserve">Bid Spreads</t>
  </si>
  <si>
    <t xml:space="preserve">Offer Spreads</t>
  </si>
  <si>
    <t xml:space="preserve">Summer</t>
  </si>
  <si>
    <t xml:space="preserve">Jul-Aug</t>
  </si>
  <si>
    <t xml:space="preserve">Year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</si>
  <si>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</si>
  <si>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</si>
  <si>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</si>
  <si>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</si>
  <si>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</si>
  <si>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</si>
  <si>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</si>
  <si>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</si>
  <si>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</si>
  <si>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</si>
  <si>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</si>
  <si>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</si>
  <si>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Winter</t>
  </si>
  <si>
    <t xml:space="preserve">Jan-Feb</t>
  </si>
  <si>
    <t xml:space="preserve">Shoulder</t>
  </si>
  <si>
    <t xml:space="preserve">Spreads</t>
  </si>
  <si>
    <t xml:space="preserve">Off Peak</t>
  </si>
  <si>
    <t xml:space="preserve"> </t>
  </si>
  <si>
    <t xml:space="preserve">Bid-Mid</t>
  </si>
  <si>
    <t xml:space="preserve">Off-Mid</t>
  </si>
  <si>
    <t xml:space="preserve">Spread</t>
  </si>
  <si>
    <t xml:space="preserve">Cntgo</t>
  </si>
  <si>
    <t xml:space="preserve">Volatility</t>
  </si>
  <si>
    <t xml:space="preserve">Yearly Vols</t>
  </si>
  <si>
    <t xml:space="preserve">Yr</t>
  </si>
  <si>
    <t xml:space="preserve">Monthly Vols</t>
  </si>
  <si>
    <t xml:space="preserve">Volatility Smile</t>
  </si>
  <si>
    <t xml:space="preserve">Price Sensitivies</t>
  </si>
  <si>
    <t xml:space="preserve">Weekly Scalars</t>
  </si>
  <si>
    <t xml:space="preserve">Sat.</t>
  </si>
  <si>
    <t xml:space="preserve">Sun./Hol.</t>
  </si>
  <si>
    <t xml:space="preserve">Start</t>
  </si>
  <si>
    <t xml:space="preserve">End</t>
  </si>
  <si>
    <t xml:space="preserve">Peak:</t>
  </si>
  <si>
    <t xml:space="preserve">Daily Price Profile</t>
  </si>
  <si>
    <t xml:space="preserve">HR</t>
  </si>
  <si>
    <t xml:space="preserve">P/OP</t>
  </si>
  <si>
    <t xml:space="preserve">OP AVG</t>
  </si>
  <si>
    <t xml:space="preserve">PK AVG</t>
  </si>
  <si>
    <t xml:space="preserve">Sum:</t>
  </si>
  <si>
    <t xml:space="preserve">AlbertaOper</t>
  </si>
  <si>
    <t xml:space="preserve">R22</t>
  </si>
  <si>
    <t xml:space="preserve">Monthly Volatilities</t>
  </si>
  <si>
    <t xml:space="preserve">Intra-Month Volatilties</t>
  </si>
  <si>
    <t xml:space="preserve">PEAK</t>
  </si>
  <si>
    <t xml:space="preserve">OFF-PEAK</t>
  </si>
  <si>
    <t xml:space="preserve">Group</t>
  </si>
  <si>
    <t xml:space="preserve">Prudent</t>
  </si>
  <si>
    <t xml:space="preserve">Code</t>
  </si>
  <si>
    <t xml:space="preserve">(CAD$/MWH)</t>
  </si>
  <si>
    <t xml:space="preserve">(CAD$/KWM)</t>
  </si>
  <si>
    <t xml:space="preserve">BASIS</t>
  </si>
  <si>
    <t xml:space="preserve">Date</t>
  </si>
  <si>
    <t xml:space="preserve">FIXED PRICE</t>
  </si>
  <si>
    <t xml:space="preserve">Off-Peak</t>
  </si>
</sst>
</file>

<file path=xl/styles.xml><?xml version="1.0" encoding="utf-8"?>
<styleSheet xmlns="http://schemas.openxmlformats.org/spreadsheetml/2006/main">
  <numFmts count="23">
    <numFmt numFmtId="164" formatCode="General"/>
    <numFmt numFmtId="165" formatCode="[$-409]m/d/yyyy"/>
    <numFmt numFmtId="166" formatCode="#,##0_);[RED]\(#,##0\);;"/>
    <numFmt numFmtId="167" formatCode="#,##0.00"/>
    <numFmt numFmtId="168" formatCode="0.000"/>
    <numFmt numFmtId="169" formatCode="0"/>
    <numFmt numFmtId="170" formatCode="[$-409]d\-mmm\-yy"/>
    <numFmt numFmtId="171" formatCode="0.00"/>
    <numFmt numFmtId="172" formatCode="0.00;\-0.00;;"/>
    <numFmt numFmtId="173" formatCode="_(* #,##0.00_);_(* \(#,##0.00\);_(* \-??_);_(@_)"/>
    <numFmt numFmtId="174" formatCode="[$-409]mmm\-yy"/>
    <numFmt numFmtId="175" formatCode="0.00%"/>
    <numFmt numFmtId="176" formatCode="0%"/>
    <numFmt numFmtId="177" formatCode="0.00_)"/>
    <numFmt numFmtId="178" formatCode="\$#,##0.00"/>
    <numFmt numFmtId="179" formatCode="0_)"/>
    <numFmt numFmtId="180" formatCode="dd\-mmm\-yy_);[RED]dd\-mmm\-yy_)"/>
    <numFmt numFmtId="181" formatCode="0_);[RED]\-0_)"/>
    <numFmt numFmtId="182" formatCode="mmm\-yy_)"/>
    <numFmt numFmtId="183" formatCode="0.0000_)"/>
    <numFmt numFmtId="184" formatCode="0.0000"/>
    <numFmt numFmtId="185" formatCode="#,##0.0000_);\(#,##0.0000\)"/>
    <numFmt numFmtId="186" formatCode="[$-409]#,##0.00_);\(#,##0.00\)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ourier New"/>
      <family val="0"/>
    </font>
    <font>
      <sz val="10"/>
      <color rgb="FF000000"/>
      <name val="MS Sans Serif"/>
      <family val="0"/>
    </font>
    <font>
      <sz val="8"/>
      <name val="Arial"/>
      <family val="0"/>
    </font>
    <font>
      <b val="true"/>
      <sz val="10"/>
      <name val="Arial"/>
      <family val="0"/>
    </font>
    <font>
      <b val="true"/>
      <u val="single"/>
      <sz val="10"/>
      <name val="Arial"/>
      <family val="2"/>
    </font>
    <font>
      <sz val="8"/>
      <color rgb="FF000000"/>
      <name val="Tahoma"/>
      <family val="0"/>
    </font>
    <font>
      <b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0080"/>
      <name val="Arial"/>
      <family val="2"/>
    </font>
    <font>
      <b val="true"/>
      <sz val="10"/>
      <color rgb="FF000080"/>
      <name val="Arial"/>
      <family val="0"/>
    </font>
    <font>
      <sz val="10"/>
      <color rgb="FF000080"/>
      <name val="Arial"/>
      <family val="0"/>
    </font>
    <font>
      <b val="true"/>
      <sz val="10"/>
      <color rgb="FF000080"/>
      <name val="Courier New"/>
      <family val="3"/>
    </font>
    <font>
      <sz val="10"/>
      <color rgb="FF000000"/>
      <name val="Arial"/>
      <family val="0"/>
    </font>
    <font>
      <sz val="10"/>
      <color rgb="FF000000"/>
      <name val="Courier New"/>
      <family val="0"/>
    </font>
    <font>
      <sz val="10"/>
      <color rgb="FF000000"/>
      <name val="Courier New"/>
      <family val="3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CCCCFF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FFFFCC"/>
        <bgColor rgb="FFFFFFFF"/>
      </patternFill>
    </fill>
    <fill>
      <patternFill patternType="solid">
        <fgColor rgb="FF33CCCC"/>
        <bgColor rgb="FF00CCFF"/>
      </patternFill>
    </fill>
    <fill>
      <patternFill patternType="solid">
        <fgColor rgb="FF00CCFF"/>
        <bgColor rgb="FF33CCCC"/>
      </patternFill>
    </fill>
    <fill>
      <patternFill patternType="solid">
        <fgColor rgb="FFFFFF00"/>
        <bgColor rgb="FFFFFF00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5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4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2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5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5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5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2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5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2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5" borderId="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0" fillId="5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9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6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5" borderId="12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5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5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5" borderId="1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4" fillId="4" borderId="1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4" fillId="4" borderId="2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4" fillId="4" borderId="3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5" borderId="1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4" fillId="4" borderId="4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4" fillId="4" borderId="0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4" fillId="4" borderId="7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14" fillId="5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3" fontId="14" fillId="5" borderId="2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3" fontId="14" fillId="5" borderId="3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14" fillId="5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3" fontId="14" fillId="5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3" fontId="14" fillId="5" borderId="7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4" fillId="4" borderId="8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4" fillId="4" borderId="5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4" fillId="4" borderId="6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4" fillId="0" borderId="0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14" fillId="5" borderId="8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3" fontId="14" fillId="5" borderId="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3" fontId="14" fillId="5" borderId="6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2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2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2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2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2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14" fillId="4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4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4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4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4" fillId="4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4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4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4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4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4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4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4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4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4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4" fillId="4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4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4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4" fillId="4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4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4" fillId="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4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4" fillId="4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4" fillId="0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4" fillId="4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4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4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4" fillId="4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0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4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4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4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4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4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4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4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4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4" fillId="4" borderId="0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4" fillId="0" borderId="7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4" fillId="4" borderId="5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4" fillId="0" borderId="6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4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19" fillId="2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2" borderId="1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2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2" fontId="16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2" fontId="16" fillId="2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3" fontId="14" fillId="4" borderId="1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4" fillId="4" borderId="2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4" fillId="4" borderId="3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3" fontId="14" fillId="4" borderId="4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4" fillId="4" borderId="0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4" fillId="4" borderId="7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4" fillId="4" borderId="8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4" fillId="4" borderId="5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4" fillId="4" borderId="6" xfId="34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2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4" fontId="18" fillId="2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4" fontId="18" fillId="2" borderId="1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4" fontId="18" fillId="2" borderId="1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8" fillId="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3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2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2" fillId="3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1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6" fontId="21" fillId="3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6" fontId="2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</cellXfs>
  <cellStyles count="3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CurrentDump" xfId="28"/>
    <cellStyle name="Normal_INT" xfId="29"/>
    <cellStyle name="Normal_Interest" xfId="30"/>
    <cellStyle name="Normal_PriorDump" xfId="31"/>
    <cellStyle name="Normal_PriorDump_1" xfId="32"/>
    <cellStyle name="Normal_R1" xfId="33"/>
    <cellStyle name="Normal_R1A" xfId="34"/>
    <cellStyle name="Normal_R1B" xfId="35"/>
    <cellStyle name="Normal_R2" xfId="36"/>
    <cellStyle name="Normal_R3" xfId="37"/>
    <cellStyle name="Normal_R3A" xfId="38"/>
    <cellStyle name="Normal_R4" xfId="39"/>
    <cellStyle name="Normal_R4aO" xfId="40"/>
    <cellStyle name="Normal_R4aP" xfId="41"/>
    <cellStyle name="Normal_R4O" xfId="42"/>
    <cellStyle name="Normal_R4P" xfId="43"/>
    <cellStyle name="Normal_R5" xfId="44"/>
    <cellStyle name="Normal_Sheet1" xfId="45"/>
    <cellStyle name="Normal_Sheet2" xfId="46"/>
    <cellStyle name="Normal_Sheet6" xfId="47"/>
    <cellStyle name="Normal_Sheet7" xfId="48"/>
    <cellStyle name="Normal_Sheet8" xfId="49"/>
    <cellStyle name="Normal_Sheet9" xfId="50"/>
    <cellStyle name="Normal_Tregion" xfId="5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CheckBox" autoLine="false" print="true" fmlaLink="Top!$C$5" lockText="1" noThreeD="1"/>
</file>

<file path=xl/ctrlProps/ctrlProps4.xml><?xml version="1.0" encoding="utf-8"?>
<formControlPr xmlns="http://schemas.microsoft.com/office/spreadsheetml/2009/9/main" objectType="CheckBox" autoLine="false" print="true" fmlaLink="Top!$C$4" lockText="1" noThreeD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</xdr:row>
          <xdr:rowOff>0</xdr:rowOff>
        </xdr:from>
        <xdr:to>
          <xdr:col>7</xdr:col>
          <xdr:colOff>3960</xdr:colOff>
          <xdr:row>3</xdr:row>
          <xdr:rowOff>162000</xdr:rowOff>
        </xdr:to>
        <xdr:sp>
          <xdr:nvSpPr>
            <xdr:cNvPr id="1001" name="bLoadAll" descr="Download All Curv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Download All Curves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3</xdr:row>
          <xdr:rowOff>142920</xdr:rowOff>
        </xdr:from>
        <xdr:to>
          <xdr:col>3</xdr:col>
          <xdr:colOff>-411480</xdr:colOff>
          <xdr:row>5</xdr:row>
          <xdr:rowOff>19080</xdr:rowOff>
        </xdr:to>
        <xdr:sp>
          <xdr:nvSpPr>
            <xdr:cNvPr id="1002" name="Check Box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2</xdr:row>
          <xdr:rowOff>133200</xdr:rowOff>
        </xdr:from>
        <xdr:to>
          <xdr:col>3</xdr:col>
          <xdr:colOff>-401400</xdr:colOff>
          <xdr:row>4</xdr:row>
          <xdr:rowOff>28800</xdr:rowOff>
        </xdr:to>
        <xdr:sp>
          <xdr:nvSpPr>
            <xdr:cNvPr id="1003" name="Check Box 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21</xdr:row>
          <xdr:rowOff>0</xdr:rowOff>
        </xdr:from>
        <xdr:to>
          <xdr:col>7</xdr:col>
          <xdr:colOff>3960</xdr:colOff>
          <xdr:row>22</xdr:row>
          <xdr:rowOff>162000</xdr:rowOff>
        </xdr:to>
        <xdr:sp>
          <xdr:nvSpPr>
            <xdr:cNvPr id="1004" name="bLoadPrices" descr="Download Current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Download Current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7</xdr:col>
          <xdr:colOff>3960</xdr:colOff>
          <xdr:row>16</xdr:row>
          <xdr:rowOff>162000</xdr:rowOff>
        </xdr:to>
        <xdr:sp>
          <xdr:nvSpPr>
            <xdr:cNvPr id="1005" name="Button 5" descr="Update Posi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Position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18</xdr:row>
          <xdr:rowOff>0</xdr:rowOff>
        </xdr:from>
        <xdr:to>
          <xdr:col>7</xdr:col>
          <xdr:colOff>3960</xdr:colOff>
          <xdr:row>19</xdr:row>
          <xdr:rowOff>161640</xdr:rowOff>
        </xdr:to>
        <xdr:sp>
          <xdr:nvSpPr>
            <xdr:cNvPr id="1006" name="Button 6" descr="Update Other Positi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Other Positions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10</xdr:row>
          <xdr:rowOff>0</xdr:rowOff>
        </xdr:from>
        <xdr:to>
          <xdr:col>7</xdr:col>
          <xdr:colOff>3960</xdr:colOff>
          <xdr:row>11</xdr:row>
          <xdr:rowOff>162000</xdr:rowOff>
        </xdr:to>
        <xdr:sp>
          <xdr:nvSpPr>
            <xdr:cNvPr id="1007" name="Button 8" descr="Update Link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Links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5</xdr:row>
          <xdr:rowOff>0</xdr:rowOff>
        </xdr:from>
        <xdr:to>
          <xdr:col>7</xdr:col>
          <xdr:colOff>3960</xdr:colOff>
          <xdr:row>6</xdr:row>
          <xdr:rowOff>162000</xdr:rowOff>
        </xdr:to>
        <xdr:sp>
          <xdr:nvSpPr>
            <xdr:cNvPr id="1008" name="Button 9" descr="Rol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2/Curve/NEW_SYS/DATA/DOWNLOAD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2/curve/new_sys/cash/Albertacash4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2/Curve/NEW_SYS/Alberta/ALBERTASUM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Roll"/>
      <sheetName val="Cd"/>
      <sheetName val="Days"/>
      <sheetName val="IntRate"/>
      <sheetName val="IntCd"/>
      <sheetName val="DOWNLOAD"/>
      <sheetName val="RollCd"/>
      <sheetName val="LoadMtMCd"/>
    </sheetNames>
    <definedNames>
      <definedName name="RegionList" refersTo="[1]Top!$A$11:$A$79"/>
      <definedName name="RegionTable" refersTo="[1]Top!$A$11:$B$79"/>
    </definedNames>
    <sheetDataSet>
      <sheetData sheetId="0">
        <row r="11">
          <cell r="A11" t="str">
            <v>B1</v>
          </cell>
          <cell r="B11" t="str">
            <v>BusBar</v>
          </cell>
        </row>
        <row r="12">
          <cell r="A12" t="str">
            <v>B10</v>
          </cell>
          <cell r="B12" t="str">
            <v>Ameren</v>
          </cell>
        </row>
        <row r="13">
          <cell r="A13" t="str">
            <v>B11</v>
          </cell>
          <cell r="B13" t="str">
            <v>Wisconsin</v>
          </cell>
        </row>
        <row r="14">
          <cell r="A14" t="str">
            <v>B12</v>
          </cell>
          <cell r="B14" t="str">
            <v>Michigan</v>
          </cell>
        </row>
        <row r="15">
          <cell r="A15" t="str">
            <v>B15</v>
          </cell>
          <cell r="B15" t="str">
            <v>West PJM</v>
          </cell>
        </row>
        <row r="16">
          <cell r="A16" t="str">
            <v>B20</v>
          </cell>
          <cell r="B16" t="str">
            <v>PXNorthDelivered</v>
          </cell>
        </row>
        <row r="17">
          <cell r="A17" t="str">
            <v>B21</v>
          </cell>
          <cell r="B17" t="str">
            <v>PXSouthDelivered</v>
          </cell>
        </row>
        <row r="18">
          <cell r="A18" t="str">
            <v>B22</v>
          </cell>
          <cell r="B18" t="str">
            <v>NOB</v>
          </cell>
        </row>
        <row r="19">
          <cell r="A19" t="str">
            <v>B23</v>
          </cell>
          <cell r="B19" t="str">
            <v>LA1-Sylmar</v>
          </cell>
        </row>
        <row r="20">
          <cell r="A20" t="str">
            <v>B24</v>
          </cell>
          <cell r="B20" t="str">
            <v>LA4-Victorville</v>
          </cell>
        </row>
        <row r="21">
          <cell r="A21" t="str">
            <v>B25</v>
          </cell>
          <cell r="B21" t="str">
            <v>MX-IV/TJ</v>
          </cell>
        </row>
        <row r="22">
          <cell r="A22" t="str">
            <v>B27</v>
          </cell>
          <cell r="B22" t="str">
            <v>John Day</v>
          </cell>
        </row>
        <row r="23">
          <cell r="A23" t="str">
            <v>B29</v>
          </cell>
          <cell r="B23" t="str">
            <v>Mona</v>
          </cell>
        </row>
        <row r="24">
          <cell r="A24" t="str">
            <v>B3</v>
          </cell>
          <cell r="B24" t="str">
            <v>Midway</v>
          </cell>
        </row>
        <row r="25">
          <cell r="A25" t="str">
            <v>B4</v>
          </cell>
          <cell r="B25" t="str">
            <v>Mead</v>
          </cell>
        </row>
        <row r="26">
          <cell r="A26" t="str">
            <v>B6</v>
          </cell>
          <cell r="B26" t="str">
            <v>4C</v>
          </cell>
        </row>
        <row r="27">
          <cell r="A27" t="str">
            <v>B30</v>
          </cell>
          <cell r="B27" t="str">
            <v>UI System Border</v>
          </cell>
        </row>
        <row r="28">
          <cell r="A28" t="str">
            <v>B31</v>
          </cell>
          <cell r="B28" t="str">
            <v>Massachusetts</v>
          </cell>
        </row>
        <row r="29">
          <cell r="A29" t="str">
            <v>B33</v>
          </cell>
          <cell r="B29" t="str">
            <v>NY Zone D</v>
          </cell>
        </row>
        <row r="30">
          <cell r="A30" t="str">
            <v>R1Z</v>
          </cell>
          <cell r="B30" t="str">
            <v>NY Zone J</v>
          </cell>
        </row>
        <row r="31">
          <cell r="A31" t="str">
            <v>R7A</v>
          </cell>
          <cell r="B31" t="str">
            <v>Rockies</v>
          </cell>
        </row>
        <row r="32">
          <cell r="A32" t="str">
            <v>B7</v>
          </cell>
          <cell r="B32" t="str">
            <v>Montana</v>
          </cell>
        </row>
        <row r="33">
          <cell r="A33" t="str">
            <v>B8</v>
          </cell>
          <cell r="B33" t="str">
            <v>MCdeliv</v>
          </cell>
        </row>
        <row r="34">
          <cell r="A34" t="str">
            <v>B19</v>
          </cell>
          <cell r="B34" t="str">
            <v>PG</v>
          </cell>
        </row>
        <row r="35">
          <cell r="A35" t="str">
            <v>R1</v>
          </cell>
          <cell r="B35" t="str">
            <v>NY East</v>
          </cell>
        </row>
        <row r="36">
          <cell r="A36" t="str">
            <v>R11</v>
          </cell>
          <cell r="B36" t="str">
            <v>SP15</v>
          </cell>
        </row>
        <row r="37">
          <cell r="A37" t="str">
            <v>R1A</v>
          </cell>
          <cell r="B37" t="str">
            <v>PJM</v>
          </cell>
        </row>
        <row r="38">
          <cell r="A38" t="str">
            <v>R1B</v>
          </cell>
          <cell r="B38" t="str">
            <v>NEPOOL</v>
          </cell>
        </row>
        <row r="39">
          <cell r="A39" t="str">
            <v>F1B</v>
          </cell>
          <cell r="B39" t="str">
            <v>NEPOOL Financial</v>
          </cell>
        </row>
        <row r="40">
          <cell r="A40" t="str">
            <v>R1C</v>
          </cell>
          <cell r="B40" t="str">
            <v>NY West</v>
          </cell>
        </row>
        <row r="41">
          <cell r="A41" t="str">
            <v>R1D</v>
          </cell>
          <cell r="B41" t="str">
            <v>East Hub</v>
          </cell>
        </row>
        <row r="42">
          <cell r="A42" t="str">
            <v>R1E</v>
          </cell>
          <cell r="B42" t="str">
            <v>West Hub</v>
          </cell>
        </row>
        <row r="43">
          <cell r="A43" t="str">
            <v>F1E</v>
          </cell>
          <cell r="B43" t="str">
            <v>West Hub Financial</v>
          </cell>
        </row>
        <row r="44">
          <cell r="A44" t="str">
            <v>R1F</v>
          </cell>
          <cell r="B44" t="str">
            <v>Firm LD</v>
          </cell>
        </row>
        <row r="45">
          <cell r="A45" t="str">
            <v>R1G</v>
          </cell>
          <cell r="B45" t="str">
            <v>4 HOUR RESERVE</v>
          </cell>
        </row>
        <row r="46">
          <cell r="A46" t="str">
            <v>R1H</v>
          </cell>
          <cell r="B46" t="str">
            <v>NE DISPATCH</v>
          </cell>
        </row>
        <row r="47">
          <cell r="A47" t="str">
            <v>R2</v>
          </cell>
          <cell r="B47" t="str">
            <v>ECAR</v>
          </cell>
        </row>
        <row r="48">
          <cell r="A48" t="str">
            <v>R2A</v>
          </cell>
          <cell r="B48" t="str">
            <v>Into AEP</v>
          </cell>
        </row>
        <row r="49">
          <cell r="A49" t="str">
            <v>R2B</v>
          </cell>
          <cell r="B49" t="str">
            <v>Eastern ECAR</v>
          </cell>
        </row>
        <row r="50">
          <cell r="A50" t="str">
            <v>R3</v>
          </cell>
          <cell r="B50" t="str">
            <v>Serc</v>
          </cell>
        </row>
        <row r="51">
          <cell r="A51" t="str">
            <v>R3A</v>
          </cell>
          <cell r="B51" t="str">
            <v>Florida Georgia Border</v>
          </cell>
        </row>
        <row r="52">
          <cell r="A52" t="str">
            <v>R3B</v>
          </cell>
          <cell r="B52" t="str">
            <v>IntoTVA</v>
          </cell>
        </row>
        <row r="53">
          <cell r="A53" t="str">
            <v>F3B</v>
          </cell>
          <cell r="B53" t="str">
            <v>Into TVA Financial</v>
          </cell>
        </row>
        <row r="54">
          <cell r="A54" t="str">
            <v>R3C</v>
          </cell>
          <cell r="B54" t="str">
            <v>Into FRCC</v>
          </cell>
        </row>
        <row r="55">
          <cell r="A55" t="str">
            <v>R4</v>
          </cell>
          <cell r="B55" t="str">
            <v>Into CINergy</v>
          </cell>
        </row>
        <row r="56">
          <cell r="A56" t="str">
            <v>F4</v>
          </cell>
          <cell r="B56" t="str">
            <v>Cinergy Financial</v>
          </cell>
        </row>
        <row r="57">
          <cell r="A57" t="str">
            <v>R4A</v>
          </cell>
          <cell r="B57" t="str">
            <v>MAPP</v>
          </cell>
        </row>
        <row r="58">
          <cell r="A58" t="str">
            <v>R4B</v>
          </cell>
          <cell r="B58" t="str">
            <v>Southern MAPP</v>
          </cell>
        </row>
        <row r="59">
          <cell r="A59" t="str">
            <v>R4C</v>
          </cell>
          <cell r="B59" t="str">
            <v>Into Comed</v>
          </cell>
        </row>
        <row r="60">
          <cell r="A60" t="str">
            <v>F4C</v>
          </cell>
          <cell r="B60" t="str">
            <v>Into Comed Financial</v>
          </cell>
        </row>
        <row r="61">
          <cell r="A61" t="str">
            <v>R5</v>
          </cell>
          <cell r="B61" t="str">
            <v>Into Entergy</v>
          </cell>
        </row>
        <row r="62">
          <cell r="A62" t="str">
            <v>F5</v>
          </cell>
          <cell r="B62" t="str">
            <v>Into Entergy Financial</v>
          </cell>
        </row>
        <row r="63">
          <cell r="A63" t="str">
            <v>R5A</v>
          </cell>
          <cell r="B63" t="str">
            <v>Associated</v>
          </cell>
        </row>
        <row r="64">
          <cell r="A64" t="str">
            <v>R6</v>
          </cell>
          <cell r="B64" t="str">
            <v>ERCOT</v>
          </cell>
        </row>
        <row r="65">
          <cell r="A65" t="str">
            <v>R7</v>
          </cell>
          <cell r="B65" t="str">
            <v>Palo Verde</v>
          </cell>
        </row>
        <row r="66">
          <cell r="A66" t="str">
            <v>R8</v>
          </cell>
          <cell r="B66" t="str">
            <v>COB</v>
          </cell>
        </row>
        <row r="67">
          <cell r="A67" t="str">
            <v>R9</v>
          </cell>
          <cell r="B67" t="str">
            <v>Mid Columbia</v>
          </cell>
        </row>
        <row r="68">
          <cell r="A68" t="str">
            <v>R10</v>
          </cell>
          <cell r="B68" t="str">
            <v>NP15</v>
          </cell>
        </row>
        <row r="69">
          <cell r="A69" t="str">
            <v>R1J</v>
          </cell>
          <cell r="B69" t="str">
            <v>10MinSpin</v>
          </cell>
        </row>
        <row r="70">
          <cell r="A70" t="str">
            <v>R1K</v>
          </cell>
          <cell r="B70" t="str">
            <v>10MinNonSpin</v>
          </cell>
        </row>
        <row r="71">
          <cell r="A71" t="str">
            <v>R1L</v>
          </cell>
          <cell r="B71" t="str">
            <v>30MinOpResv</v>
          </cell>
        </row>
        <row r="72">
          <cell r="A72" t="str">
            <v>R1M</v>
          </cell>
          <cell r="B72" t="str">
            <v>AGC</v>
          </cell>
        </row>
        <row r="73">
          <cell r="A73" t="str">
            <v>R1N</v>
          </cell>
          <cell r="B73" t="str">
            <v>OP CAP</v>
          </cell>
        </row>
        <row r="74">
          <cell r="A74" t="str">
            <v>R20</v>
          </cell>
          <cell r="B74" t="str">
            <v>Ontario</v>
          </cell>
        </row>
        <row r="75">
          <cell r="A75" t="str">
            <v>R21</v>
          </cell>
          <cell r="B75" t="str">
            <v>Alberta</v>
          </cell>
        </row>
        <row r="76">
          <cell r="A76" t="str">
            <v>R22</v>
          </cell>
          <cell r="B76" t="str">
            <v>Operating - Alberta</v>
          </cell>
        </row>
        <row r="77">
          <cell r="A77" t="str">
            <v>NOX</v>
          </cell>
          <cell r="B77" t="str">
            <v>NOX</v>
          </cell>
        </row>
        <row r="78">
          <cell r="A78" t="str">
            <v>SO2</v>
          </cell>
          <cell r="B78" t="str">
            <v>SO2</v>
          </cell>
        </row>
        <row r="79">
          <cell r="A79" t="str">
            <v>R12</v>
          </cell>
          <cell r="B79" t="str">
            <v>ZP26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Top"/>
      <sheetName val="OtherPosn"/>
      <sheetName val="EnergyCurve"/>
      <sheetName val="OperatingCurve"/>
      <sheetName val="Cd"/>
    </sheetNames>
    <sheetDataSet>
      <sheetData sheetId="0"/>
      <sheetData sheetId="1"/>
      <sheetData sheetId="2"/>
      <sheetData sheetId="3">
        <row r="3">
          <cell r="D3">
            <v>-32</v>
          </cell>
        </row>
        <row r="3">
          <cell r="G3">
            <v>-5</v>
          </cell>
        </row>
        <row r="4">
          <cell r="D4">
            <v>-20</v>
          </cell>
        </row>
        <row r="4">
          <cell r="G4">
            <v>-5</v>
          </cell>
        </row>
        <row r="5">
          <cell r="D5">
            <v>-10</v>
          </cell>
        </row>
        <row r="5">
          <cell r="G5">
            <v>-5</v>
          </cell>
        </row>
        <row r="6">
          <cell r="D6">
            <v>-10</v>
          </cell>
        </row>
        <row r="6">
          <cell r="G6">
            <v>-5</v>
          </cell>
        </row>
        <row r="7">
          <cell r="D7">
            <v>-20</v>
          </cell>
        </row>
        <row r="7">
          <cell r="G7">
            <v>-5</v>
          </cell>
        </row>
        <row r="8">
          <cell r="D8">
            <v>-20</v>
          </cell>
        </row>
        <row r="8">
          <cell r="G8">
            <v>-5</v>
          </cell>
        </row>
        <row r="9">
          <cell r="D9">
            <v>-20</v>
          </cell>
        </row>
        <row r="9">
          <cell r="G9">
            <v>-5</v>
          </cell>
        </row>
        <row r="10">
          <cell r="D10">
            <v>-20</v>
          </cell>
        </row>
        <row r="10">
          <cell r="G10">
            <v>-5</v>
          </cell>
        </row>
        <row r="11">
          <cell r="D11">
            <v>-20</v>
          </cell>
        </row>
        <row r="11">
          <cell r="G11">
            <v>-5</v>
          </cell>
        </row>
        <row r="12">
          <cell r="D12">
            <v>-10</v>
          </cell>
        </row>
        <row r="12">
          <cell r="G12">
            <v>-5</v>
          </cell>
        </row>
        <row r="13">
          <cell r="D13">
            <v>-10</v>
          </cell>
        </row>
        <row r="13">
          <cell r="G13">
            <v>-5</v>
          </cell>
        </row>
        <row r="14">
          <cell r="D14">
            <v>-20</v>
          </cell>
        </row>
        <row r="14">
          <cell r="G14">
            <v>-5</v>
          </cell>
        </row>
        <row r="15">
          <cell r="D15">
            <v>-20</v>
          </cell>
        </row>
        <row r="15">
          <cell r="G15">
            <v>-5</v>
          </cell>
        </row>
        <row r="16">
          <cell r="D16">
            <v>-20</v>
          </cell>
        </row>
        <row r="16">
          <cell r="G16">
            <v>-5</v>
          </cell>
        </row>
        <row r="17">
          <cell r="D17">
            <v>-10</v>
          </cell>
        </row>
        <row r="17">
          <cell r="G17">
            <v>-5</v>
          </cell>
        </row>
        <row r="18">
          <cell r="D18">
            <v>-10</v>
          </cell>
        </row>
        <row r="18">
          <cell r="G18">
            <v>-5</v>
          </cell>
        </row>
        <row r="19">
          <cell r="D19">
            <v>-10</v>
          </cell>
        </row>
        <row r="19">
          <cell r="G19">
            <v>-5</v>
          </cell>
        </row>
        <row r="20">
          <cell r="D20">
            <v>-10</v>
          </cell>
        </row>
        <row r="20">
          <cell r="G20">
            <v>-5</v>
          </cell>
        </row>
        <row r="21">
          <cell r="D21">
            <v>-10</v>
          </cell>
        </row>
        <row r="21">
          <cell r="G21">
            <v>-5</v>
          </cell>
        </row>
        <row r="22">
          <cell r="D22">
            <v>-10</v>
          </cell>
        </row>
        <row r="22">
          <cell r="G22">
            <v>-5</v>
          </cell>
        </row>
        <row r="23">
          <cell r="D23">
            <v>-10</v>
          </cell>
        </row>
        <row r="23">
          <cell r="G23">
            <v>-5</v>
          </cell>
        </row>
        <row r="24">
          <cell r="D24">
            <v>-10</v>
          </cell>
        </row>
        <row r="24">
          <cell r="G24">
            <v>-5</v>
          </cell>
        </row>
        <row r="25">
          <cell r="D25">
            <v>-10</v>
          </cell>
        </row>
        <row r="25">
          <cell r="G25">
            <v>-5</v>
          </cell>
        </row>
        <row r="26">
          <cell r="D26">
            <v>-10</v>
          </cell>
        </row>
        <row r="26">
          <cell r="G26">
            <v>-5</v>
          </cell>
        </row>
        <row r="27">
          <cell r="D27">
            <v>-10</v>
          </cell>
        </row>
        <row r="27">
          <cell r="G27">
            <v>-5</v>
          </cell>
        </row>
        <row r="28">
          <cell r="D28">
            <v>-10</v>
          </cell>
        </row>
        <row r="28">
          <cell r="G28">
            <v>-5</v>
          </cell>
        </row>
        <row r="29">
          <cell r="D29">
            <v>-10</v>
          </cell>
        </row>
        <row r="29">
          <cell r="G29">
            <v>-5</v>
          </cell>
        </row>
        <row r="30">
          <cell r="D30">
            <v>-10</v>
          </cell>
        </row>
        <row r="30">
          <cell r="G30">
            <v>-5</v>
          </cell>
        </row>
        <row r="31">
          <cell r="D31">
            <v>-10</v>
          </cell>
        </row>
        <row r="31">
          <cell r="G31">
            <v>-5</v>
          </cell>
        </row>
        <row r="32">
          <cell r="D32">
            <v>-10</v>
          </cell>
        </row>
        <row r="32">
          <cell r="G32">
            <v>-5</v>
          </cell>
        </row>
        <row r="33">
          <cell r="D33">
            <v>-10</v>
          </cell>
        </row>
        <row r="33">
          <cell r="G33">
            <v>-5</v>
          </cell>
        </row>
      </sheetData>
      <sheetData sheetId="4">
        <row r="3">
          <cell r="D3">
            <v>0</v>
          </cell>
        </row>
        <row r="3">
          <cell r="G3">
            <v>0</v>
          </cell>
        </row>
        <row r="4">
          <cell r="D4">
            <v>0</v>
          </cell>
        </row>
        <row r="4">
          <cell r="G4">
            <v>0</v>
          </cell>
        </row>
        <row r="5">
          <cell r="D5">
            <v>0</v>
          </cell>
        </row>
        <row r="5">
          <cell r="G5">
            <v>0</v>
          </cell>
        </row>
        <row r="6">
          <cell r="D6">
            <v>0</v>
          </cell>
        </row>
        <row r="6">
          <cell r="G6">
            <v>0</v>
          </cell>
        </row>
        <row r="7">
          <cell r="D7">
            <v>0</v>
          </cell>
        </row>
        <row r="7">
          <cell r="G7">
            <v>0</v>
          </cell>
        </row>
        <row r="8">
          <cell r="D8">
            <v>0</v>
          </cell>
        </row>
        <row r="8">
          <cell r="G8">
            <v>0</v>
          </cell>
        </row>
        <row r="9">
          <cell r="D9">
            <v>0</v>
          </cell>
        </row>
        <row r="9">
          <cell r="G9">
            <v>0</v>
          </cell>
        </row>
        <row r="10">
          <cell r="D10">
            <v>0</v>
          </cell>
        </row>
        <row r="10">
          <cell r="G10">
            <v>0</v>
          </cell>
        </row>
        <row r="11">
          <cell r="D11">
            <v>0</v>
          </cell>
        </row>
        <row r="11">
          <cell r="G11">
            <v>0</v>
          </cell>
        </row>
        <row r="12">
          <cell r="D12">
            <v>0</v>
          </cell>
        </row>
        <row r="12">
          <cell r="G12">
            <v>0</v>
          </cell>
        </row>
        <row r="13">
          <cell r="D13">
            <v>0</v>
          </cell>
        </row>
        <row r="13">
          <cell r="G13">
            <v>0</v>
          </cell>
        </row>
        <row r="14">
          <cell r="D14">
            <v>0</v>
          </cell>
        </row>
        <row r="14">
          <cell r="G14">
            <v>0</v>
          </cell>
        </row>
        <row r="15">
          <cell r="D15">
            <v>0</v>
          </cell>
        </row>
        <row r="15">
          <cell r="G15">
            <v>0</v>
          </cell>
        </row>
        <row r="16">
          <cell r="D16">
            <v>0</v>
          </cell>
        </row>
        <row r="16">
          <cell r="G16">
            <v>0</v>
          </cell>
        </row>
        <row r="17">
          <cell r="D17">
            <v>0</v>
          </cell>
        </row>
        <row r="17">
          <cell r="G17">
            <v>0</v>
          </cell>
        </row>
        <row r="18">
          <cell r="D18">
            <v>0</v>
          </cell>
        </row>
        <row r="18">
          <cell r="G18">
            <v>0</v>
          </cell>
        </row>
        <row r="19">
          <cell r="D19">
            <v>0</v>
          </cell>
        </row>
        <row r="19">
          <cell r="G19">
            <v>0</v>
          </cell>
        </row>
        <row r="20">
          <cell r="D20">
            <v>0</v>
          </cell>
        </row>
        <row r="20">
          <cell r="G20">
            <v>0</v>
          </cell>
        </row>
        <row r="21">
          <cell r="D21">
            <v>0</v>
          </cell>
        </row>
        <row r="21">
          <cell r="G21">
            <v>0</v>
          </cell>
        </row>
        <row r="22">
          <cell r="D22">
            <v>0</v>
          </cell>
        </row>
        <row r="22">
          <cell r="G22">
            <v>0</v>
          </cell>
        </row>
        <row r="23">
          <cell r="D23">
            <v>0</v>
          </cell>
        </row>
        <row r="23">
          <cell r="G23">
            <v>0</v>
          </cell>
        </row>
        <row r="24">
          <cell r="D24">
            <v>0</v>
          </cell>
        </row>
        <row r="24">
          <cell r="G24">
            <v>0</v>
          </cell>
        </row>
        <row r="25">
          <cell r="D25">
            <v>0</v>
          </cell>
        </row>
        <row r="25">
          <cell r="G25">
            <v>0</v>
          </cell>
        </row>
        <row r="26">
          <cell r="D26">
            <v>0</v>
          </cell>
        </row>
        <row r="26">
          <cell r="G26">
            <v>0</v>
          </cell>
        </row>
        <row r="27">
          <cell r="D27">
            <v>0</v>
          </cell>
        </row>
        <row r="27">
          <cell r="G27">
            <v>0</v>
          </cell>
        </row>
        <row r="28">
          <cell r="D28">
            <v>0</v>
          </cell>
        </row>
        <row r="28">
          <cell r="G28">
            <v>0</v>
          </cell>
        </row>
        <row r="29">
          <cell r="D29">
            <v>0</v>
          </cell>
        </row>
        <row r="29">
          <cell r="G29">
            <v>0</v>
          </cell>
        </row>
        <row r="30">
          <cell r="D30">
            <v>0</v>
          </cell>
        </row>
        <row r="30">
          <cell r="G30">
            <v>0</v>
          </cell>
        </row>
        <row r="31">
          <cell r="D31">
            <v>0</v>
          </cell>
        </row>
        <row r="31">
          <cell r="G31">
            <v>0</v>
          </cell>
        </row>
        <row r="32">
          <cell r="D32">
            <v>0</v>
          </cell>
        </row>
        <row r="32">
          <cell r="G32">
            <v>0</v>
          </cell>
        </row>
        <row r="33">
          <cell r="D33">
            <v>0</v>
          </cell>
        </row>
        <row r="33">
          <cell r="G33">
            <v>0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Interest"/>
      <sheetName val="NymexData"/>
      <sheetName val="Desk Positions"/>
      <sheetName val="Cd"/>
      <sheetName val="Module1"/>
      <sheetName val="Module2"/>
    </sheetNames>
    <sheetDataSet>
      <sheetData sheetId="0">
        <row r="12">
          <cell r="H12">
            <v>-10</v>
          </cell>
        </row>
        <row r="13">
          <cell r="H13">
            <v>-10</v>
          </cell>
        </row>
        <row r="14">
          <cell r="H14">
            <v>-2</v>
          </cell>
        </row>
        <row r="15">
          <cell r="H15">
            <v>-2</v>
          </cell>
        </row>
        <row r="16">
          <cell r="H16">
            <v>-2</v>
          </cell>
        </row>
        <row r="17">
          <cell r="H17">
            <v>-5</v>
          </cell>
        </row>
        <row r="18">
          <cell r="H18">
            <v>-5</v>
          </cell>
        </row>
        <row r="19">
          <cell r="H19">
            <v>-5</v>
          </cell>
        </row>
        <row r="20">
          <cell r="H20">
            <v>-2</v>
          </cell>
        </row>
        <row r="21">
          <cell r="H21">
            <v>-2</v>
          </cell>
        </row>
        <row r="22">
          <cell r="H22">
            <v>-2</v>
          </cell>
        </row>
        <row r="23">
          <cell r="H23">
            <v>1</v>
          </cell>
        </row>
        <row r="24">
          <cell r="H24">
            <v>1</v>
          </cell>
        </row>
        <row r="25">
          <cell r="H25">
            <v>1</v>
          </cell>
        </row>
        <row r="26">
          <cell r="H26">
            <v>1</v>
          </cell>
        </row>
        <row r="27">
          <cell r="H27">
            <v>1</v>
          </cell>
        </row>
        <row r="28">
          <cell r="H28">
            <v>1</v>
          </cell>
        </row>
        <row r="29">
          <cell r="H29">
            <v>1</v>
          </cell>
        </row>
        <row r="30">
          <cell r="H30">
            <v>1</v>
          </cell>
        </row>
        <row r="31">
          <cell r="H31">
            <v>1</v>
          </cell>
        </row>
        <row r="32">
          <cell r="H32">
            <v>1</v>
          </cell>
        </row>
        <row r="33">
          <cell r="H33">
            <v>1</v>
          </cell>
        </row>
        <row r="56">
          <cell r="R56">
            <v>-5</v>
          </cell>
        </row>
        <row r="67">
          <cell r="R67">
            <v>1</v>
          </cell>
        </row>
        <row r="68">
          <cell r="R68">
            <v>1</v>
          </cell>
        </row>
        <row r="69">
          <cell r="R69">
            <v>1</v>
          </cell>
        </row>
        <row r="70">
          <cell r="R70">
            <v>1</v>
          </cell>
        </row>
        <row r="71">
          <cell r="R71">
            <v>1</v>
          </cell>
        </row>
        <row r="72">
          <cell r="R72">
            <v>1</v>
          </cell>
        </row>
        <row r="73">
          <cell r="R73">
            <v>1</v>
          </cell>
        </row>
        <row r="74">
          <cell r="R74">
            <v>1</v>
          </cell>
        </row>
        <row r="75">
          <cell r="R75">
            <v>1</v>
          </cell>
        </row>
        <row r="76">
          <cell r="R76">
            <v>1</v>
          </cell>
        </row>
        <row r="77">
          <cell r="R77">
            <v>1</v>
          </cell>
        </row>
      </sheetData>
      <sheetData sheetId="1">
        <row r="12">
          <cell r="AM12">
            <v>0.8</v>
          </cell>
        </row>
        <row r="13">
          <cell r="AM13">
            <v>0.84</v>
          </cell>
        </row>
        <row r="14">
          <cell r="AM14">
            <v>0.61</v>
          </cell>
        </row>
        <row r="15">
          <cell r="AM15">
            <v>0.485</v>
          </cell>
        </row>
        <row r="16">
          <cell r="AM16">
            <v>0.475</v>
          </cell>
        </row>
        <row r="17">
          <cell r="AM17">
            <v>0.475</v>
          </cell>
        </row>
        <row r="18">
          <cell r="AM18">
            <v>0.475</v>
          </cell>
        </row>
        <row r="19">
          <cell r="AM19">
            <v>0.4775</v>
          </cell>
        </row>
        <row r="20">
          <cell r="AM20">
            <v>0.4775</v>
          </cell>
        </row>
        <row r="21">
          <cell r="AM21">
            <v>0.4825</v>
          </cell>
        </row>
        <row r="22">
          <cell r="AM22">
            <v>0.4825</v>
          </cell>
        </row>
        <row r="23">
          <cell r="AM23">
            <v>0.4825</v>
          </cell>
        </row>
        <row r="24">
          <cell r="AM24">
            <v>0.47</v>
          </cell>
        </row>
        <row r="25">
          <cell r="AM25">
            <v>0.435</v>
          </cell>
        </row>
        <row r="26">
          <cell r="AM26">
            <v>0.36</v>
          </cell>
        </row>
        <row r="27">
          <cell r="AM27">
            <v>0.335</v>
          </cell>
        </row>
        <row r="28">
          <cell r="AM28">
            <v>0.3275</v>
          </cell>
        </row>
        <row r="29">
          <cell r="AM29">
            <v>0.3225</v>
          </cell>
        </row>
        <row r="30">
          <cell r="AM30">
            <v>0.3225</v>
          </cell>
        </row>
        <row r="31">
          <cell r="AM31">
            <v>0.3225</v>
          </cell>
        </row>
        <row r="32">
          <cell r="AM32">
            <v>0.325</v>
          </cell>
        </row>
        <row r="33">
          <cell r="AM33">
            <v>0.33</v>
          </cell>
        </row>
        <row r="34">
          <cell r="AM34">
            <v>0.3325</v>
          </cell>
        </row>
        <row r="35">
          <cell r="AM35">
            <v>0.3325</v>
          </cell>
        </row>
        <row r="36">
          <cell r="AM36">
            <v>0.32</v>
          </cell>
        </row>
        <row r="37">
          <cell r="AM37">
            <v>0.31</v>
          </cell>
        </row>
        <row r="38">
          <cell r="AM38">
            <v>0.3</v>
          </cell>
        </row>
        <row r="39">
          <cell r="AM39">
            <v>0.295</v>
          </cell>
        </row>
        <row r="40">
          <cell r="AM40">
            <v>0.295</v>
          </cell>
        </row>
        <row r="41">
          <cell r="AM41">
            <v>0.295</v>
          </cell>
        </row>
        <row r="42">
          <cell r="AM42">
            <v>0.295</v>
          </cell>
        </row>
        <row r="43">
          <cell r="AM43">
            <v>0.295</v>
          </cell>
        </row>
        <row r="44">
          <cell r="AM44">
            <v>0.295</v>
          </cell>
        </row>
        <row r="45">
          <cell r="AM45">
            <v>0.295</v>
          </cell>
        </row>
        <row r="46">
          <cell r="AM46">
            <v>0.2975</v>
          </cell>
        </row>
        <row r="47">
          <cell r="AM47">
            <v>0.2975</v>
          </cell>
        </row>
        <row r="48">
          <cell r="AM48">
            <v>0.295</v>
          </cell>
        </row>
        <row r="49">
          <cell r="AM49">
            <v>0.2925</v>
          </cell>
        </row>
        <row r="50">
          <cell r="AM50">
            <v>0.2825</v>
          </cell>
        </row>
        <row r="51">
          <cell r="AM51">
            <v>0.2825</v>
          </cell>
        </row>
        <row r="52">
          <cell r="AM52">
            <v>0.28</v>
          </cell>
        </row>
        <row r="53">
          <cell r="AM53">
            <v>0.2775</v>
          </cell>
        </row>
        <row r="54">
          <cell r="AM54">
            <v>0.2775</v>
          </cell>
        </row>
        <row r="55">
          <cell r="AM55">
            <v>0.28</v>
          </cell>
        </row>
        <row r="56">
          <cell r="AM56">
            <v>0.28</v>
          </cell>
        </row>
        <row r="57">
          <cell r="AM57">
            <v>0.2825</v>
          </cell>
        </row>
        <row r="58">
          <cell r="AM58">
            <v>0.285</v>
          </cell>
        </row>
        <row r="59">
          <cell r="AM59">
            <v>0.285</v>
          </cell>
        </row>
        <row r="60">
          <cell r="AM60">
            <v>0.28</v>
          </cell>
        </row>
        <row r="61">
          <cell r="AM61">
            <v>0.275</v>
          </cell>
        </row>
        <row r="62">
          <cell r="AM62">
            <v>0.255</v>
          </cell>
        </row>
        <row r="63">
          <cell r="AM63">
            <v>0.25</v>
          </cell>
        </row>
        <row r="64">
          <cell r="AM64">
            <v>0.245</v>
          </cell>
        </row>
        <row r="65">
          <cell r="AM65">
            <v>0.245</v>
          </cell>
        </row>
        <row r="66">
          <cell r="AM66">
            <v>0.245</v>
          </cell>
        </row>
        <row r="67">
          <cell r="AM67">
            <v>0.245</v>
          </cell>
        </row>
        <row r="68">
          <cell r="AM68">
            <v>0.245</v>
          </cell>
        </row>
        <row r="69">
          <cell r="AM69">
            <v>0.245</v>
          </cell>
        </row>
        <row r="70">
          <cell r="AM70">
            <v>0.2475</v>
          </cell>
        </row>
        <row r="71">
          <cell r="AM71">
            <v>0.2475</v>
          </cell>
        </row>
        <row r="72">
          <cell r="AM72">
            <v>0.245</v>
          </cell>
        </row>
        <row r="73">
          <cell r="AM73">
            <v>0.2375</v>
          </cell>
        </row>
        <row r="74">
          <cell r="AM74">
            <v>0.2375</v>
          </cell>
        </row>
        <row r="75">
          <cell r="AM75">
            <v>0.235</v>
          </cell>
        </row>
        <row r="76">
          <cell r="AM76">
            <v>0.235</v>
          </cell>
        </row>
        <row r="77">
          <cell r="AM77">
            <v>0.235</v>
          </cell>
        </row>
        <row r="78">
          <cell r="AM78">
            <v>0.235</v>
          </cell>
        </row>
        <row r="79">
          <cell r="AM79">
            <v>0.235</v>
          </cell>
        </row>
        <row r="80">
          <cell r="AM80">
            <v>0.235</v>
          </cell>
        </row>
        <row r="81">
          <cell r="AM81">
            <v>0.2375</v>
          </cell>
        </row>
        <row r="82">
          <cell r="AM82">
            <v>0.245</v>
          </cell>
        </row>
        <row r="83">
          <cell r="AM83">
            <v>0.2475</v>
          </cell>
        </row>
        <row r="84">
          <cell r="AM84">
            <v>0.235</v>
          </cell>
        </row>
        <row r="85">
          <cell r="AM85">
            <v>0.2275</v>
          </cell>
        </row>
        <row r="86">
          <cell r="AM86">
            <v>0.2275</v>
          </cell>
        </row>
        <row r="87">
          <cell r="AM87">
            <v>0.2275</v>
          </cell>
        </row>
        <row r="88">
          <cell r="AM88">
            <v>0.2175</v>
          </cell>
        </row>
        <row r="89">
          <cell r="AM89">
            <v>0.2175</v>
          </cell>
        </row>
        <row r="90">
          <cell r="AM90">
            <v>0.2175</v>
          </cell>
        </row>
        <row r="91">
          <cell r="AM91">
            <v>0.2175</v>
          </cell>
        </row>
        <row r="92">
          <cell r="AM92">
            <v>0.2175</v>
          </cell>
        </row>
        <row r="93">
          <cell r="AM93">
            <v>0.2175</v>
          </cell>
        </row>
        <row r="94">
          <cell r="AM94">
            <v>0.2175</v>
          </cell>
        </row>
        <row r="95">
          <cell r="AM95">
            <v>0.2175</v>
          </cell>
        </row>
        <row r="96">
          <cell r="AM96">
            <v>0.2125</v>
          </cell>
        </row>
        <row r="97">
          <cell r="AM97">
            <v>0.2075</v>
          </cell>
        </row>
        <row r="98">
          <cell r="AM98">
            <v>0.2075</v>
          </cell>
        </row>
        <row r="99">
          <cell r="AM99">
            <v>0.2075</v>
          </cell>
        </row>
        <row r="100">
          <cell r="AM100">
            <v>0.2075</v>
          </cell>
        </row>
        <row r="101">
          <cell r="AM101">
            <v>0.2025</v>
          </cell>
        </row>
        <row r="102">
          <cell r="AM102">
            <v>0.2025</v>
          </cell>
        </row>
        <row r="103">
          <cell r="AM103">
            <v>0.2025</v>
          </cell>
        </row>
        <row r="104">
          <cell r="AM104">
            <v>0.2025</v>
          </cell>
        </row>
        <row r="105">
          <cell r="AM105">
            <v>0.2025</v>
          </cell>
        </row>
        <row r="106">
          <cell r="AM106">
            <v>0.205</v>
          </cell>
        </row>
        <row r="107">
          <cell r="AM107">
            <v>0.205</v>
          </cell>
        </row>
        <row r="108">
          <cell r="AM108">
            <v>0.2</v>
          </cell>
        </row>
        <row r="109">
          <cell r="AM109">
            <v>0.19</v>
          </cell>
        </row>
        <row r="110">
          <cell r="AM110">
            <v>0.19</v>
          </cell>
        </row>
        <row r="111">
          <cell r="AM111">
            <v>0.19</v>
          </cell>
        </row>
        <row r="112">
          <cell r="AM112">
            <v>0.19</v>
          </cell>
        </row>
        <row r="113">
          <cell r="AM113">
            <v>0.19</v>
          </cell>
        </row>
        <row r="114">
          <cell r="AM114">
            <v>0.19</v>
          </cell>
        </row>
        <row r="115">
          <cell r="AM115">
            <v>0.19</v>
          </cell>
        </row>
        <row r="116">
          <cell r="AM116">
            <v>0.19</v>
          </cell>
        </row>
        <row r="117">
          <cell r="AM117">
            <v>0.19</v>
          </cell>
        </row>
        <row r="118">
          <cell r="AM118">
            <v>0.1925</v>
          </cell>
        </row>
        <row r="119">
          <cell r="AM119">
            <v>0.1925</v>
          </cell>
        </row>
        <row r="120">
          <cell r="AM120">
            <v>0.1875</v>
          </cell>
        </row>
        <row r="121">
          <cell r="AM121">
            <v>0.185</v>
          </cell>
        </row>
        <row r="122">
          <cell r="AM122">
            <v>0.185</v>
          </cell>
        </row>
        <row r="123">
          <cell r="AM123">
            <v>0.185</v>
          </cell>
        </row>
        <row r="124">
          <cell r="AM124">
            <v>0.185</v>
          </cell>
        </row>
        <row r="125">
          <cell r="AM125">
            <v>0.185</v>
          </cell>
        </row>
        <row r="126">
          <cell r="AM126">
            <v>0.185</v>
          </cell>
        </row>
        <row r="127">
          <cell r="AM127">
            <v>0.185</v>
          </cell>
        </row>
        <row r="128">
          <cell r="AM128">
            <v>0.185</v>
          </cell>
        </row>
        <row r="129">
          <cell r="AM129">
            <v>0.185</v>
          </cell>
        </row>
        <row r="130">
          <cell r="AM130">
            <v>0.185</v>
          </cell>
        </row>
        <row r="131">
          <cell r="AM131">
            <v>0.185</v>
          </cell>
        </row>
        <row r="132">
          <cell r="AM132">
            <v>0.185</v>
          </cell>
        </row>
        <row r="133">
          <cell r="AM133">
            <v>0.18</v>
          </cell>
        </row>
        <row r="134">
          <cell r="AM134">
            <v>0.18</v>
          </cell>
        </row>
        <row r="135">
          <cell r="AM135">
            <v>0.18</v>
          </cell>
        </row>
        <row r="136">
          <cell r="AM136">
            <v>0.18</v>
          </cell>
        </row>
        <row r="137">
          <cell r="AM137">
            <v>0.18</v>
          </cell>
        </row>
        <row r="138">
          <cell r="AM138">
            <v>0.18</v>
          </cell>
        </row>
        <row r="139">
          <cell r="AM139">
            <v>0.18</v>
          </cell>
        </row>
        <row r="140">
          <cell r="AM140">
            <v>0.18</v>
          </cell>
        </row>
        <row r="141">
          <cell r="AM141">
            <v>0.18</v>
          </cell>
        </row>
        <row r="142">
          <cell r="AM142">
            <v>0.18</v>
          </cell>
        </row>
        <row r="143">
          <cell r="AM143">
            <v>0.18</v>
          </cell>
        </row>
        <row r="144">
          <cell r="AM144">
            <v>0.175</v>
          </cell>
        </row>
        <row r="145">
          <cell r="AM145">
            <v>0.17</v>
          </cell>
        </row>
        <row r="146">
          <cell r="AM146">
            <v>0.17</v>
          </cell>
        </row>
        <row r="147">
          <cell r="AM147">
            <v>0.17</v>
          </cell>
        </row>
        <row r="148">
          <cell r="AM148">
            <v>0.17</v>
          </cell>
        </row>
        <row r="149">
          <cell r="AM149">
            <v>0.17</v>
          </cell>
        </row>
        <row r="150">
          <cell r="AM150">
            <v>0.17</v>
          </cell>
        </row>
        <row r="151">
          <cell r="AM151">
            <v>0.17</v>
          </cell>
        </row>
        <row r="152">
          <cell r="AM152">
            <v>0.17</v>
          </cell>
        </row>
        <row r="153">
          <cell r="AM153">
            <v>0.17</v>
          </cell>
        </row>
        <row r="154">
          <cell r="AM154">
            <v>0.17</v>
          </cell>
        </row>
        <row r="155">
          <cell r="AM155">
            <v>0.17</v>
          </cell>
        </row>
        <row r="156">
          <cell r="AM156">
            <v>0.17</v>
          </cell>
        </row>
        <row r="157">
          <cell r="AM157">
            <v>0.17</v>
          </cell>
        </row>
        <row r="158">
          <cell r="AM158">
            <v>0.17</v>
          </cell>
        </row>
        <row r="159">
          <cell r="AM159">
            <v>0.17</v>
          </cell>
        </row>
        <row r="160">
          <cell r="AM160">
            <v>0.17</v>
          </cell>
        </row>
        <row r="161">
          <cell r="AM161">
            <v>0.17</v>
          </cell>
        </row>
        <row r="162">
          <cell r="AM162">
            <v>0.17</v>
          </cell>
        </row>
        <row r="163">
          <cell r="AM163">
            <v>0.17</v>
          </cell>
        </row>
        <row r="164">
          <cell r="AM164">
            <v>0.17</v>
          </cell>
        </row>
        <row r="165">
          <cell r="AM165">
            <v>0.17</v>
          </cell>
        </row>
        <row r="166">
          <cell r="AM166">
            <v>0.17</v>
          </cell>
        </row>
        <row r="167">
          <cell r="AM167">
            <v>0.17</v>
          </cell>
        </row>
        <row r="168">
          <cell r="AM168">
            <v>0.17</v>
          </cell>
        </row>
        <row r="169">
          <cell r="AM169">
            <v>0.17</v>
          </cell>
        </row>
        <row r="170">
          <cell r="AM170">
            <v>0.17</v>
          </cell>
        </row>
        <row r="171">
          <cell r="AM171">
            <v>0.17</v>
          </cell>
        </row>
        <row r="172">
          <cell r="AM172">
            <v>0.17</v>
          </cell>
        </row>
        <row r="173">
          <cell r="AM173">
            <v>0.17</v>
          </cell>
        </row>
        <row r="174">
          <cell r="AM174">
            <v>0.17</v>
          </cell>
        </row>
        <row r="175">
          <cell r="AM175">
            <v>0.17</v>
          </cell>
        </row>
        <row r="176">
          <cell r="AM176">
            <v>0.17</v>
          </cell>
        </row>
        <row r="177">
          <cell r="AM177">
            <v>0.17</v>
          </cell>
        </row>
        <row r="178">
          <cell r="AM178">
            <v>0.17</v>
          </cell>
        </row>
        <row r="179">
          <cell r="AM179">
            <v>0.17</v>
          </cell>
        </row>
        <row r="180">
          <cell r="AM180">
            <v>0.17</v>
          </cell>
        </row>
        <row r="181">
          <cell r="AM181">
            <v>0.17</v>
          </cell>
        </row>
        <row r="182">
          <cell r="AM182">
            <v>0.17</v>
          </cell>
        </row>
        <row r="183">
          <cell r="AM183">
            <v>0.17</v>
          </cell>
        </row>
        <row r="184">
          <cell r="AM184">
            <v>0.17</v>
          </cell>
        </row>
        <row r="185">
          <cell r="AM185">
            <v>0.17</v>
          </cell>
        </row>
        <row r="186">
          <cell r="AM186">
            <v>0.17</v>
          </cell>
        </row>
        <row r="187">
          <cell r="AM187">
            <v>0.17</v>
          </cell>
        </row>
        <row r="188">
          <cell r="AM188">
            <v>0.17</v>
          </cell>
        </row>
        <row r="189">
          <cell r="AM189">
            <v>0.17</v>
          </cell>
        </row>
        <row r="190">
          <cell r="AM190">
            <v>0.17</v>
          </cell>
        </row>
        <row r="191">
          <cell r="AM191">
            <v>0.17</v>
          </cell>
        </row>
        <row r="192">
          <cell r="AM192">
            <v>0.17</v>
          </cell>
        </row>
        <row r="193">
          <cell r="AM193">
            <v>0.17</v>
          </cell>
        </row>
        <row r="194">
          <cell r="AM194">
            <v>0.17</v>
          </cell>
        </row>
        <row r="195">
          <cell r="AM195">
            <v>0.17</v>
          </cell>
        </row>
        <row r="196">
          <cell r="AM196">
            <v>0.17</v>
          </cell>
        </row>
        <row r="197">
          <cell r="AM197">
            <v>0.17</v>
          </cell>
        </row>
        <row r="198">
          <cell r="AM198">
            <v>0.17</v>
          </cell>
        </row>
        <row r="199">
          <cell r="AM199">
            <v>0.17</v>
          </cell>
        </row>
        <row r="200">
          <cell r="AM200">
            <v>0.17</v>
          </cell>
        </row>
        <row r="201">
          <cell r="AM201">
            <v>0.17</v>
          </cell>
        </row>
        <row r="202">
          <cell r="AM202">
            <v>0.17</v>
          </cell>
        </row>
        <row r="203">
          <cell r="AM203">
            <v>0.17</v>
          </cell>
        </row>
        <row r="204">
          <cell r="AM204">
            <v>0.17</v>
          </cell>
        </row>
        <row r="205">
          <cell r="AM205">
            <v>0.17</v>
          </cell>
        </row>
        <row r="206">
          <cell r="AM206">
            <v>0.17</v>
          </cell>
        </row>
        <row r="207">
          <cell r="AM207">
            <v>0.17</v>
          </cell>
        </row>
        <row r="208">
          <cell r="AM208">
            <v>0.17</v>
          </cell>
        </row>
        <row r="209">
          <cell r="AM209">
            <v>0.17</v>
          </cell>
        </row>
        <row r="210">
          <cell r="AM210">
            <v>0.17</v>
          </cell>
        </row>
        <row r="211">
          <cell r="AM211">
            <v>0.17</v>
          </cell>
        </row>
        <row r="212">
          <cell r="AM212">
            <v>0.17</v>
          </cell>
        </row>
        <row r="213">
          <cell r="AM213">
            <v>0.17</v>
          </cell>
        </row>
        <row r="214">
          <cell r="AM214">
            <v>0.17</v>
          </cell>
        </row>
        <row r="215">
          <cell r="AM215">
            <v>0.17</v>
          </cell>
        </row>
        <row r="216">
          <cell r="AM216">
            <v>0.17</v>
          </cell>
        </row>
        <row r="217">
          <cell r="AM217">
            <v>0.17</v>
          </cell>
        </row>
        <row r="218">
          <cell r="AM218">
            <v>0.17</v>
          </cell>
        </row>
        <row r="219">
          <cell r="AM219">
            <v>0.17</v>
          </cell>
        </row>
        <row r="220">
          <cell r="AM220">
            <v>0.17</v>
          </cell>
        </row>
        <row r="221">
          <cell r="AM221">
            <v>0.17</v>
          </cell>
        </row>
        <row r="222">
          <cell r="AM222">
            <v>0.17</v>
          </cell>
        </row>
        <row r="223">
          <cell r="AM223">
            <v>0.17</v>
          </cell>
        </row>
        <row r="224">
          <cell r="AM224">
            <v>0.17</v>
          </cell>
        </row>
        <row r="225">
          <cell r="AM225">
            <v>0.17</v>
          </cell>
        </row>
        <row r="226">
          <cell r="AM226">
            <v>0.17</v>
          </cell>
        </row>
        <row r="227">
          <cell r="AM227">
            <v>0.17</v>
          </cell>
        </row>
        <row r="228">
          <cell r="AM228">
            <v>0.17</v>
          </cell>
        </row>
        <row r="229">
          <cell r="AM229">
            <v>0.17</v>
          </cell>
        </row>
        <row r="230">
          <cell r="AM230">
            <v>0.17</v>
          </cell>
        </row>
        <row r="231">
          <cell r="AM231">
            <v>0.17</v>
          </cell>
        </row>
        <row r="232">
          <cell r="AM232">
            <v>0.17</v>
          </cell>
        </row>
        <row r="233">
          <cell r="AM233">
            <v>0.17</v>
          </cell>
        </row>
        <row r="234">
          <cell r="AM234">
            <v>0.17</v>
          </cell>
        </row>
        <row r="235">
          <cell r="AM235">
            <v>0.17</v>
          </cell>
        </row>
        <row r="236">
          <cell r="AM236">
            <v>0.17</v>
          </cell>
        </row>
        <row r="237">
          <cell r="AM237">
            <v>0.17</v>
          </cell>
        </row>
        <row r="238">
          <cell r="AM238">
            <v>0.17</v>
          </cell>
        </row>
        <row r="239">
          <cell r="AM239">
            <v>0.17</v>
          </cell>
        </row>
        <row r="240">
          <cell r="AM240">
            <v>0.17</v>
          </cell>
        </row>
        <row r="241">
          <cell r="AM241">
            <v>0.17</v>
          </cell>
        </row>
        <row r="242">
          <cell r="AM242">
            <v>0.17</v>
          </cell>
        </row>
        <row r="243">
          <cell r="AM243">
            <v>0.17</v>
          </cell>
        </row>
        <row r="244">
          <cell r="AM244">
            <v>0.17</v>
          </cell>
        </row>
        <row r="245">
          <cell r="AM245">
            <v>0.17</v>
          </cell>
        </row>
        <row r="246">
          <cell r="AM246">
            <v>0.17</v>
          </cell>
        </row>
        <row r="247">
          <cell r="AM247">
            <v>0.17</v>
          </cell>
        </row>
        <row r="248">
          <cell r="AM248">
            <v>0.17</v>
          </cell>
        </row>
        <row r="249">
          <cell r="AM249">
            <v>0.17</v>
          </cell>
        </row>
        <row r="250">
          <cell r="AM250">
            <v>0.17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5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28"/>
    <col collapsed="false" customWidth="true" hidden="false" outlineLevel="0" max="2" min="2" style="0" width="10.99"/>
    <col collapsed="false" customWidth="true" hidden="false" outlineLevel="0" max="4" min="3" style="0" width="10.41"/>
    <col collapsed="false" customWidth="true" hidden="false" outlineLevel="0" max="5" min="5" style="0" width="10.13"/>
    <col collapsed="false" customWidth="true" hidden="false" outlineLevel="0" max="6" min="6" style="0" width="3.14"/>
    <col collapsed="false" customWidth="true" hidden="false" outlineLevel="0" max="7" min="7" style="0" width="25.41"/>
    <col collapsed="false" customWidth="true" hidden="false" outlineLevel="0" max="8" min="8" style="1" width="53.71"/>
  </cols>
  <sheetData>
    <row r="1" customFormat="false" ht="12.75" hidden="false" customHeight="false" outlineLevel="0" collapsed="false">
      <c r="A1" s="2" t="s">
        <v>0</v>
      </c>
      <c r="B1" s="3"/>
      <c r="C1" s="3"/>
      <c r="D1" s="3"/>
      <c r="E1" s="3"/>
      <c r="F1" s="3"/>
      <c r="G1" s="3"/>
      <c r="H1" s="4"/>
    </row>
    <row r="2" customFormat="false" ht="12.75" hidden="false" customHeight="false" outlineLevel="0" collapsed="false">
      <c r="A2" s="5" t="s">
        <v>1</v>
      </c>
    </row>
    <row r="3" customFormat="false" ht="12.75" hidden="false" customHeight="false" outlineLevel="0" collapsed="false">
      <c r="A3" s="6"/>
      <c r="B3" s="7" t="s">
        <v>2</v>
      </c>
      <c r="C3" s="7" t="s">
        <v>3</v>
      </c>
      <c r="D3" s="8" t="s">
        <v>4</v>
      </c>
      <c r="E3" s="8" t="s">
        <v>5</v>
      </c>
      <c r="F3" s="9"/>
      <c r="H3" s="10" t="s">
        <v>6</v>
      </c>
      <c r="K3" s="9"/>
      <c r="L3" s="11"/>
    </row>
    <row r="4" customFormat="false" ht="12.75" hidden="false" customHeight="false" outlineLevel="0" collapsed="false">
      <c r="A4" s="12" t="s">
        <v>7</v>
      </c>
      <c r="B4" s="13" t="n">
        <v>36908</v>
      </c>
      <c r="C4" s="14" t="b">
        <f aca="false">FALSE()</f>
        <v>0</v>
      </c>
      <c r="D4" s="15" t="e">
        <f aca="true">IF(C4,WORKDAY(TODAY(),0,Holidays),B4)</f>
        <v>#VALUE!</v>
      </c>
      <c r="E4" s="16" t="n">
        <v>36908</v>
      </c>
      <c r="H4" s="10" t="s">
        <v>8</v>
      </c>
      <c r="K4" s="9"/>
    </row>
    <row r="5" customFormat="false" ht="13.5" hidden="false" customHeight="true" outlineLevel="0" collapsed="false">
      <c r="A5" s="12" t="s">
        <v>9</v>
      </c>
      <c r="B5" s="13" t="n">
        <v>36907</v>
      </c>
      <c r="C5" s="17" t="b">
        <f aca="false">FALSE()</f>
        <v>0</v>
      </c>
      <c r="D5" s="18" t="e">
        <f aca="false">IF(C5,WORKDAY(D4,-1,Holidays),B5)</f>
        <v>#VALUE!</v>
      </c>
      <c r="E5" s="19" t="n">
        <v>36907</v>
      </c>
      <c r="H5" s="0"/>
    </row>
    <row r="6" customFormat="false" ht="12.75" hidden="false" customHeight="false" outlineLevel="0" collapsed="false">
      <c r="A6" s="20" t="s">
        <v>10</v>
      </c>
      <c r="B6" s="21"/>
      <c r="C6" s="21"/>
      <c r="D6" s="22"/>
      <c r="E6" s="22"/>
      <c r="H6" s="10" t="s">
        <v>11</v>
      </c>
    </row>
    <row r="7" customFormat="false" ht="12.75" hidden="false" customHeight="false" outlineLevel="0" collapsed="false">
      <c r="A7" s="23" t="s">
        <v>12</v>
      </c>
      <c r="B7" s="24"/>
      <c r="C7" s="24"/>
      <c r="D7" s="25"/>
      <c r="E7" s="25"/>
      <c r="H7" s="10" t="s">
        <v>13</v>
      </c>
    </row>
    <row r="8" customFormat="false" ht="12.75" hidden="false" customHeight="false" outlineLevel="0" collapsed="false">
      <c r="H8" s="10" t="s">
        <v>14</v>
      </c>
    </row>
    <row r="9" customFormat="false" ht="12.75" hidden="false" customHeight="false" outlineLevel="0" collapsed="false">
      <c r="A9" s="5" t="s">
        <v>15</v>
      </c>
      <c r="H9" s="10" t="s">
        <v>16</v>
      </c>
    </row>
    <row r="10" customFormat="false" ht="12.75" hidden="false" customHeight="false" outlineLevel="0" collapsed="false">
      <c r="A10" s="26" t="s">
        <v>17</v>
      </c>
      <c r="B10" s="27" t="b">
        <f aca="false">TRUE()</f>
        <v>1</v>
      </c>
      <c r="C10" s="28"/>
      <c r="D10" s="29"/>
      <c r="E10" s="30"/>
      <c r="F10" s="9"/>
    </row>
    <row r="11" customFormat="false" ht="12.75" hidden="false" customHeight="false" outlineLevel="0" collapsed="false">
      <c r="A11" s="31" t="s">
        <v>18</v>
      </c>
      <c r="B11" s="32" t="b">
        <f aca="false">TRUE()</f>
        <v>1</v>
      </c>
      <c r="C11" s="33"/>
      <c r="D11" s="34"/>
      <c r="E11" s="30"/>
      <c r="H11" s="10" t="s">
        <v>19</v>
      </c>
    </row>
    <row r="12" customFormat="false" ht="12.75" hidden="false" customHeight="false" outlineLevel="0" collapsed="false">
      <c r="A12" s="35" t="s">
        <v>20</v>
      </c>
      <c r="B12" s="33" t="s">
        <v>21</v>
      </c>
      <c r="C12" s="33"/>
      <c r="D12" s="34"/>
      <c r="E12" s="30"/>
      <c r="H12" s="0"/>
    </row>
    <row r="13" customFormat="false" ht="12.75" hidden="false" customHeight="false" outlineLevel="0" collapsed="false">
      <c r="A13" s="35" t="s">
        <v>22</v>
      </c>
      <c r="B13" s="33" t="s">
        <v>23</v>
      </c>
      <c r="C13" s="33"/>
      <c r="D13" s="34"/>
      <c r="E13" s="30"/>
      <c r="H13" s="0"/>
    </row>
    <row r="14" customFormat="false" ht="12.75" hidden="false" customHeight="false" outlineLevel="0" collapsed="false">
      <c r="A14" s="35" t="s">
        <v>24</v>
      </c>
      <c r="B14" s="33" t="s">
        <v>25</v>
      </c>
      <c r="C14" s="33"/>
      <c r="D14" s="34"/>
      <c r="E14" s="30"/>
      <c r="H14" s="0"/>
    </row>
    <row r="15" customFormat="false" ht="12.75" hidden="false" customHeight="false" outlineLevel="0" collapsed="false">
      <c r="A15" s="31" t="s">
        <v>26</v>
      </c>
      <c r="B15" s="36" t="n">
        <v>1</v>
      </c>
      <c r="C15" s="37"/>
      <c r="D15" s="34"/>
      <c r="E15" s="30"/>
      <c r="F15" s="9"/>
    </row>
    <row r="16" customFormat="false" ht="12.75" hidden="false" customHeight="false" outlineLevel="0" collapsed="false">
      <c r="A16" s="38" t="s">
        <v>27</v>
      </c>
      <c r="B16" s="39" t="s">
        <v>28</v>
      </c>
      <c r="C16" s="40"/>
      <c r="D16" s="41"/>
      <c r="E16" s="30"/>
      <c r="H16" s="10" t="s">
        <v>29</v>
      </c>
    </row>
    <row r="17" customFormat="false" ht="12.75" hidden="false" customHeight="false" outlineLevel="0" collapsed="false">
      <c r="E17" s="42"/>
      <c r="F17" s="9"/>
      <c r="H17" s="0"/>
    </row>
    <row r="18" customFormat="false" ht="12.75" hidden="false" customHeight="false" outlineLevel="0" collapsed="false">
      <c r="A18" s="5" t="s">
        <v>30</v>
      </c>
      <c r="C18" s="9"/>
      <c r="E18" s="42"/>
      <c r="F18" s="9"/>
      <c r="G18" s="43"/>
    </row>
    <row r="19" customFormat="false" ht="12.75" hidden="false" customHeight="false" outlineLevel="0" collapsed="false">
      <c r="A19" s="6" t="s">
        <v>31</v>
      </c>
      <c r="B19" s="28" t="s">
        <v>32</v>
      </c>
      <c r="C19" s="44"/>
      <c r="D19" s="29"/>
      <c r="E19" s="30"/>
      <c r="F19" s="9"/>
      <c r="G19" s="43"/>
      <c r="H19" s="10" t="s">
        <v>33</v>
      </c>
    </row>
    <row r="20" customFormat="false" ht="12.75" hidden="false" customHeight="false" outlineLevel="0" collapsed="false">
      <c r="A20" s="35" t="s">
        <v>34</v>
      </c>
      <c r="B20" s="33" t="str">
        <f aca="false">CONCATENATE($B$19,$B$22,$B$21)</f>
        <v>m:\power2\curve\alberta\alberta40117</v>
      </c>
      <c r="C20" s="45"/>
      <c r="D20" s="34"/>
      <c r="E20" s="30"/>
      <c r="F20" s="9"/>
      <c r="G20" s="43"/>
    </row>
    <row r="21" customFormat="false" ht="12.75" hidden="false" customHeight="false" outlineLevel="0" collapsed="false">
      <c r="A21" s="35" t="s">
        <v>35</v>
      </c>
      <c r="B21" s="36" t="n">
        <f aca="false">IF(DAY($E$4)&lt;10,CONCATENATE("0",DAY($E$4)),DAY($E$4))</f>
        <v>17</v>
      </c>
      <c r="C21" s="45"/>
      <c r="D21" s="34"/>
      <c r="E21" s="30"/>
      <c r="F21" s="9"/>
      <c r="G21" s="43"/>
    </row>
    <row r="22" customFormat="false" ht="12.75" hidden="false" customHeight="false" outlineLevel="0" collapsed="false">
      <c r="A22" s="46" t="s">
        <v>36</v>
      </c>
      <c r="B22" s="47" t="str">
        <f aca="false">IF(MONTH($E$4)&lt;10,CONCATENATE("0",MONTH($E$4)),MONTH($E$4))</f>
        <v>01</v>
      </c>
      <c r="C22" s="40"/>
      <c r="D22" s="41"/>
      <c r="E22" s="30"/>
      <c r="F22" s="9"/>
      <c r="G22" s="43"/>
      <c r="H22" s="10" t="s">
        <v>37</v>
      </c>
    </row>
    <row r="23" customFormat="false" ht="12.75" hidden="false" customHeight="false" outlineLevel="0" collapsed="false">
      <c r="A23" s="9"/>
      <c r="B23" s="9"/>
      <c r="C23" s="9"/>
      <c r="G23" s="43"/>
      <c r="H23" s="10" t="s">
        <v>38</v>
      </c>
    </row>
    <row r="24" customFormat="false" ht="12.75" hidden="false" customHeight="false" outlineLevel="0" collapsed="false">
      <c r="A24" s="3" t="s">
        <v>39</v>
      </c>
      <c r="B24" s="3" t="s">
        <v>40</v>
      </c>
      <c r="C24" s="3"/>
      <c r="D24" s="3"/>
      <c r="E24" s="3"/>
    </row>
    <row r="25" customFormat="false" ht="12.75" hidden="false" customHeight="false" outlineLevel="0" collapsed="false">
      <c r="A25" s="9"/>
      <c r="B25" s="9"/>
      <c r="C25" s="9"/>
    </row>
    <row r="26" customFormat="false" ht="12.75" hidden="false" customHeight="false" outlineLevel="0" collapsed="false">
      <c r="A26" s="9"/>
      <c r="B26" s="9"/>
      <c r="C26" s="9"/>
    </row>
    <row r="27" customFormat="false" ht="12.75" hidden="false" customHeight="false" outlineLevel="0" collapsed="false">
      <c r="A27" s="9"/>
      <c r="B27" s="30"/>
      <c r="C27" s="9"/>
    </row>
    <row r="28" customFormat="false" ht="12.75" hidden="false" customHeight="false" outlineLevel="0" collapsed="false">
      <c r="A28" s="48"/>
      <c r="B28" s="9"/>
      <c r="C28" s="9"/>
    </row>
    <row r="29" customFormat="false" ht="12.75" hidden="false" customHeight="false" outlineLevel="0" collapsed="false">
      <c r="A29" s="49"/>
      <c r="B29" s="9"/>
      <c r="C29" s="9"/>
    </row>
    <row r="30" customFormat="false" ht="12.75" hidden="false" customHeight="false" outlineLevel="0" collapsed="false">
      <c r="A30" s="49"/>
      <c r="B30" s="9"/>
      <c r="C30" s="9"/>
    </row>
    <row r="31" customFormat="false" ht="12.75" hidden="false" customHeight="false" outlineLevel="0" collapsed="false">
      <c r="A31" s="49"/>
      <c r="B31" s="9"/>
      <c r="C31" s="9"/>
    </row>
    <row r="32" customFormat="false" ht="12.75" hidden="false" customHeight="false" outlineLevel="0" collapsed="false">
      <c r="A32" s="49"/>
      <c r="B32" s="9"/>
      <c r="C32" s="9"/>
    </row>
    <row r="33" customFormat="false" ht="12.75" hidden="false" customHeight="false" outlineLevel="0" collapsed="false">
      <c r="A33" s="49"/>
      <c r="B33" s="9"/>
      <c r="C33" s="9"/>
    </row>
    <row r="34" customFormat="false" ht="12.75" hidden="false" customHeight="false" outlineLevel="0" collapsed="false">
      <c r="A34" s="9"/>
      <c r="B34" s="9"/>
      <c r="C34" s="9"/>
    </row>
    <row r="35" customFormat="false" ht="12.75" hidden="false" customHeight="false" outlineLevel="0" collapsed="false">
      <c r="A35" s="9"/>
      <c r="B35" s="9"/>
      <c r="C35" s="9"/>
    </row>
    <row r="36" customFormat="false" ht="12.75" hidden="false" customHeight="false" outlineLevel="0" collapsed="false">
      <c r="A36" s="9"/>
      <c r="B36" s="9"/>
      <c r="C36" s="9"/>
    </row>
    <row r="37" customFormat="false" ht="12.75" hidden="false" customHeight="false" outlineLevel="0" collapsed="false">
      <c r="A37" s="9"/>
      <c r="B37" s="9"/>
      <c r="C37" s="9"/>
    </row>
    <row r="38" customFormat="false" ht="12.75" hidden="false" customHeight="false" outlineLevel="0" collapsed="false">
      <c r="A38" s="9"/>
      <c r="B38" s="9"/>
      <c r="C38" s="9"/>
    </row>
    <row r="39" customFormat="false" ht="12.75" hidden="false" customHeight="false" outlineLevel="0" collapsed="false">
      <c r="A39" s="9"/>
      <c r="B39" s="9"/>
      <c r="C39" s="9"/>
    </row>
    <row r="40" customFormat="false" ht="12.75" hidden="false" customHeight="false" outlineLevel="0" collapsed="false">
      <c r="A40" s="9"/>
      <c r="B40" s="9"/>
      <c r="C40" s="9"/>
    </row>
    <row r="41" customFormat="false" ht="12.75" hidden="false" customHeight="false" outlineLevel="0" collapsed="false">
      <c r="A41" s="9"/>
      <c r="B41" s="9"/>
      <c r="C41" s="9"/>
    </row>
    <row r="42" customFormat="false" ht="12.75" hidden="false" customHeight="false" outlineLevel="0" collapsed="false">
      <c r="A42" s="9"/>
      <c r="B42" s="9"/>
      <c r="C42" s="9"/>
    </row>
    <row r="43" customFormat="false" ht="12.75" hidden="false" customHeight="false" outlineLevel="0" collapsed="false">
      <c r="A43" s="9"/>
      <c r="B43" s="9"/>
      <c r="C43" s="9"/>
    </row>
    <row r="44" customFormat="false" ht="12.75" hidden="false" customHeight="false" outlineLevel="0" collapsed="false">
      <c r="A44" s="9"/>
      <c r="B44" s="9"/>
      <c r="C44" s="9"/>
    </row>
    <row r="45" customFormat="false" ht="12.75" hidden="false" customHeight="false" outlineLevel="0" collapsed="false">
      <c r="A45" s="9"/>
      <c r="B45" s="9"/>
      <c r="C45" s="9"/>
    </row>
    <row r="46" customFormat="false" ht="12.75" hidden="false" customHeight="false" outlineLevel="0" collapsed="false">
      <c r="A46" s="9"/>
      <c r="B46" s="9"/>
      <c r="C46" s="9"/>
    </row>
    <row r="47" customFormat="false" ht="12.75" hidden="false" customHeight="false" outlineLevel="0" collapsed="false">
      <c r="A47" s="9"/>
      <c r="B47" s="9"/>
      <c r="C47" s="9"/>
    </row>
    <row r="48" customFormat="false" ht="12.75" hidden="false" customHeight="false" outlineLevel="0" collapsed="false">
      <c r="A48" s="9"/>
      <c r="B48" s="9"/>
      <c r="C48" s="9"/>
    </row>
    <row r="49" customFormat="false" ht="12.75" hidden="false" customHeight="false" outlineLevel="0" collapsed="false">
      <c r="A49" s="9"/>
      <c r="B49" s="9"/>
      <c r="C49" s="9"/>
    </row>
    <row r="50" customFormat="false" ht="12.75" hidden="false" customHeight="false" outlineLevel="0" collapsed="false">
      <c r="A50" s="9"/>
      <c r="B50" s="9"/>
      <c r="C50" s="9"/>
    </row>
    <row r="51" customFormat="false" ht="12.75" hidden="false" customHeight="false" outlineLevel="0" collapsed="false">
      <c r="A51" s="9"/>
      <c r="B51" s="9"/>
    </row>
    <row r="52" customFormat="false" ht="12.75" hidden="false" customHeight="false" outlineLevel="0" collapsed="false">
      <c r="A52" s="9"/>
      <c r="B52" s="9"/>
    </row>
  </sheetData>
  <sheetProtection sheet="true" objects="true" scenarios="true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LoadAll">
              <controlPr defaultSize="0" print="false" autoFill="0" autoPict="0" macro="xls.Cd.CallDownLoadAll">
                <anchor moveWithCells="true" sizeWithCells="false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3960</xdr:colOff>
                    <xdr:row>3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">
              <controlPr defaultSize="0" locked="1" autoFill="0" autoLine="0" autoPict="0" print="true" altText="Check Box 2">
                <anchor moveWithCells="true" sizeWithCells="false">
                  <from>
                    <xdr:col>2</xdr:col>
                    <xdr:colOff>10080</xdr:colOff>
                    <xdr:row>3</xdr:row>
                    <xdr:rowOff>142920</xdr:rowOff>
                  </from>
                  <to>
                    <xdr:col>3</xdr:col>
                    <xdr:colOff>-411480</xdr:colOff>
                    <xdr:row>5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">
              <controlPr defaultSize="0" locked="1" autoFill="0" autoLine="0" autoPict="0" print="true" altText="Check Box 3">
                <anchor moveWithCells="true" sizeWithCells="false">
                  <from>
                    <xdr:col>2</xdr:col>
                    <xdr:colOff>10080</xdr:colOff>
                    <xdr:row>2</xdr:row>
                    <xdr:rowOff>133200</xdr:rowOff>
                  </from>
                  <to>
                    <xdr:col>3</xdr:col>
                    <xdr:colOff>-401400</xdr:colOff>
                    <xdr:row>4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LoadPrices">
              <controlPr defaultSize="0" print="false" autoFill="0" autoPict="0" macro="xls.Cd.CurrPriceLoad">
                <anchor moveWithCells="true" sizeWithCells="false">
                  <from>
                    <xdr:col>6</xdr:col>
                    <xdr:colOff>0</xdr:colOff>
                    <xdr:row>21</xdr:row>
                    <xdr:rowOff>0</xdr:rowOff>
                  </from>
                  <to>
                    <xdr:col>7</xdr:col>
                    <xdr:colOff>3960</xdr:colOff>
                    <xdr:row>22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 macro="xls.Cd.CallUpdatePosn">
                <anchor moveWithCells="true" sizeWithCells="false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7</xdr:col>
                    <xdr:colOff>3960</xdr:colOff>
                    <xdr:row>16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 macro="xls.Cd.CallOtherPosn">
                <anchor moveWithCells="true" sizeWithCells="false">
                  <from>
                    <xdr:col>6</xdr:col>
                    <xdr:colOff>0</xdr:colOff>
                    <xdr:row>18</xdr:row>
                    <xdr:rowOff>0</xdr:rowOff>
                  </from>
                  <to>
                    <xdr:col>7</xdr:col>
                    <xdr:colOff>3960</xdr:colOff>
                    <xdr:row>19</xdr:row>
                    <xdr:rowOff>161640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8">
              <controlPr defaultSize="0" print="false" autoFill="0" autoPict="0" macro="xls.Cd.CallUpdateLinks">
                <anchor moveWithCells="true" sizeWithCells="false">
                  <from>
                    <xdr:col>6</xdr:col>
                    <xdr:colOff>0</xdr:colOff>
                    <xdr:row>10</xdr:row>
                    <xdr:rowOff>0</xdr:rowOff>
                  </from>
                  <to>
                    <xdr:col>7</xdr:col>
                    <xdr:colOff>3960</xdr:colOff>
                    <xdr:row>11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9">
              <controlPr defaultSize="0" print="false" autoFill="0" autoPict="0" macro="xls.Cd.CallRoll">
                <anchor moveWithCells="true" sizeWithCells="false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3960</xdr:colOff>
                    <xdr:row>6</xdr:row>
                    <xdr:rowOff>162000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7.28"/>
    <col collapsed="false" customWidth="true" hidden="false" outlineLevel="0" max="2" min="2" style="0" width="10.71"/>
    <col collapsed="false" customWidth="true" hidden="false" outlineLevel="0" max="3" min="3" style="0" width="5.56"/>
    <col collapsed="false" customWidth="true" hidden="false" outlineLevel="0" max="4" min="4" style="0" width="8.85"/>
    <col collapsed="false" customWidth="true" hidden="true" outlineLevel="0" max="5" min="5" style="0" width="9.28"/>
    <col collapsed="false" customWidth="false" hidden="true" outlineLevel="0" max="6" min="6" style="0" width="9.06"/>
    <col collapsed="false" customWidth="true" hidden="true" outlineLevel="0" max="7" min="7" style="0" width="7.7"/>
    <col collapsed="false" customWidth="false" hidden="true" outlineLevel="0" max="9" min="8" style="0" width="9.06"/>
    <col collapsed="false" customWidth="true" hidden="true" outlineLevel="0" max="10" min="10" style="0" width="7.7"/>
    <col collapsed="false" customWidth="false" hidden="true" outlineLevel="0" max="12" min="11" style="0" width="9.06"/>
    <col collapsed="false" customWidth="true" hidden="true" outlineLevel="0" max="13" min="13" style="0" width="7.7"/>
    <col collapsed="false" customWidth="true" hidden="false" outlineLevel="0" max="14" min="14" style="50" width="11.99"/>
    <col collapsed="false" customWidth="true" hidden="false" outlineLevel="0" max="15" min="15" style="50" width="11.13"/>
    <col collapsed="false" customWidth="true" hidden="false" outlineLevel="0" max="16" min="16" style="50" width="10.41"/>
    <col collapsed="false" customWidth="true" hidden="false" outlineLevel="0" max="17" min="17" style="50" width="8.41"/>
    <col collapsed="false" customWidth="true" hidden="false" outlineLevel="0" max="20" min="20" style="0" width="10.13"/>
  </cols>
  <sheetData>
    <row r="1" customFormat="false" ht="12.75" hidden="false" customHeight="false" outlineLevel="0" collapsed="false">
      <c r="A1" s="2" t="s">
        <v>41</v>
      </c>
      <c r="B1" s="3"/>
      <c r="C1" s="3"/>
      <c r="D1" s="3"/>
      <c r="E1" s="51" t="s">
        <v>42</v>
      </c>
      <c r="F1" s="3"/>
      <c r="G1" s="3"/>
      <c r="H1" s="51" t="s">
        <v>43</v>
      </c>
      <c r="I1" s="3"/>
      <c r="J1" s="3"/>
      <c r="K1" s="51" t="s">
        <v>44</v>
      </c>
      <c r="L1" s="3"/>
      <c r="M1" s="3"/>
      <c r="N1" s="52"/>
      <c r="O1" s="3"/>
      <c r="P1" s="3"/>
      <c r="Q1" s="3"/>
      <c r="R1" s="52"/>
      <c r="S1" s="3"/>
      <c r="T1" s="3"/>
      <c r="U1" s="3"/>
      <c r="V1" s="53"/>
    </row>
    <row r="2" customFormat="false" ht="12.75" hidden="false" customHeight="false" outlineLevel="0" collapsed="false">
      <c r="A2" s="3" t="s">
        <v>45</v>
      </c>
      <c r="B2" s="3" t="s">
        <v>46</v>
      </c>
      <c r="C2" s="3" t="s">
        <v>47</v>
      </c>
      <c r="D2" s="3" t="s">
        <v>48</v>
      </c>
      <c r="E2" s="52" t="s">
        <v>49</v>
      </c>
      <c r="F2" s="3" t="s">
        <v>5</v>
      </c>
      <c r="G2" s="3" t="s">
        <v>50</v>
      </c>
      <c r="H2" s="52" t="s">
        <v>49</v>
      </c>
      <c r="I2" s="3" t="s">
        <v>5</v>
      </c>
      <c r="J2" s="3" t="s">
        <v>50</v>
      </c>
      <c r="K2" s="52" t="s">
        <v>49</v>
      </c>
      <c r="L2" s="3" t="s">
        <v>5</v>
      </c>
      <c r="M2" s="3" t="s">
        <v>50</v>
      </c>
      <c r="N2" s="54" t="s">
        <v>51</v>
      </c>
      <c r="O2" s="55" t="s">
        <v>52</v>
      </c>
      <c r="P2" s="55" t="s">
        <v>53</v>
      </c>
      <c r="Q2" s="55" t="s">
        <v>54</v>
      </c>
      <c r="R2" s="52" t="s">
        <v>55</v>
      </c>
      <c r="S2" s="3" t="s">
        <v>56</v>
      </c>
      <c r="T2" s="3" t="s">
        <v>57</v>
      </c>
      <c r="U2" s="3" t="s">
        <v>58</v>
      </c>
      <c r="V2" s="53" t="s">
        <v>59</v>
      </c>
    </row>
    <row r="3" customFormat="false" ht="12.75" hidden="false" customHeight="false" outlineLevel="0" collapsed="false">
      <c r="D3" s="43"/>
      <c r="E3" s="56"/>
      <c r="F3" s="57"/>
      <c r="G3" s="57"/>
      <c r="H3" s="56"/>
      <c r="I3" s="57"/>
      <c r="J3" s="57"/>
      <c r="K3" s="56"/>
      <c r="L3" s="57"/>
      <c r="M3" s="57"/>
      <c r="N3" s="58"/>
      <c r="O3" s="59"/>
      <c r="P3" s="59"/>
      <c r="Q3" s="59"/>
      <c r="R3" s="60"/>
      <c r="S3" s="43"/>
      <c r="T3" s="43"/>
      <c r="U3" s="43"/>
      <c r="V3" s="61"/>
    </row>
    <row r="4" customFormat="false" ht="12.75" hidden="false" customHeight="false" outlineLevel="0" collapsed="false">
      <c r="D4" s="43"/>
      <c r="E4" s="56"/>
      <c r="F4" s="57"/>
      <c r="G4" s="57"/>
      <c r="H4" s="56"/>
      <c r="I4" s="57"/>
      <c r="J4" s="57"/>
      <c r="K4" s="56"/>
      <c r="L4" s="57"/>
      <c r="M4" s="57"/>
      <c r="N4" s="58"/>
      <c r="O4" s="59"/>
      <c r="P4" s="59"/>
      <c r="Q4" s="59"/>
      <c r="R4" s="60"/>
      <c r="S4" s="43"/>
      <c r="T4" s="43"/>
      <c r="U4" s="43"/>
      <c r="V4" s="61"/>
    </row>
    <row r="5" customFormat="false" ht="12.75" hidden="false" customHeight="false" outlineLevel="0" collapsed="false">
      <c r="D5" s="43"/>
      <c r="E5" s="56"/>
      <c r="F5" s="57"/>
      <c r="G5" s="57"/>
      <c r="H5" s="56"/>
      <c r="I5" s="57"/>
      <c r="J5" s="57"/>
      <c r="K5" s="56"/>
      <c r="L5" s="57"/>
      <c r="M5" s="57"/>
      <c r="N5" s="58"/>
      <c r="O5" s="59"/>
      <c r="P5" s="59"/>
      <c r="Q5" s="59"/>
      <c r="R5" s="60"/>
      <c r="S5" s="43"/>
      <c r="T5" s="43"/>
      <c r="U5" s="43"/>
      <c r="V5" s="61"/>
    </row>
    <row r="6" customFormat="false" ht="12.75" hidden="false" customHeight="false" outlineLevel="0" collapsed="false">
      <c r="D6" s="43"/>
      <c r="E6" s="56"/>
      <c r="F6" s="57"/>
      <c r="G6" s="57"/>
      <c r="H6" s="56"/>
      <c r="I6" s="57"/>
      <c r="J6" s="57"/>
      <c r="K6" s="56"/>
      <c r="L6" s="57"/>
      <c r="M6" s="57"/>
      <c r="N6" s="58"/>
      <c r="O6" s="59"/>
      <c r="P6" s="59"/>
      <c r="Q6" s="59"/>
      <c r="R6" s="60"/>
      <c r="S6" s="43"/>
      <c r="T6" s="43"/>
      <c r="U6" s="43"/>
      <c r="V6" s="61"/>
    </row>
    <row r="7" customFormat="false" ht="12.75" hidden="false" customHeight="false" outlineLevel="0" collapsed="false">
      <c r="D7" s="43"/>
      <c r="E7" s="56"/>
      <c r="F7" s="57"/>
      <c r="G7" s="57"/>
      <c r="H7" s="56"/>
      <c r="I7" s="57"/>
      <c r="J7" s="57"/>
      <c r="K7" s="56"/>
      <c r="L7" s="57"/>
      <c r="M7" s="57"/>
      <c r="N7" s="58"/>
      <c r="O7" s="59"/>
      <c r="P7" s="59"/>
      <c r="Q7" s="59"/>
      <c r="R7" s="60"/>
      <c r="S7" s="43"/>
      <c r="T7" s="43"/>
      <c r="U7" s="43"/>
      <c r="V7" s="61"/>
    </row>
    <row r="8" customFormat="false" ht="12.75" hidden="false" customHeight="false" outlineLevel="0" collapsed="false">
      <c r="D8" s="43"/>
      <c r="E8" s="56"/>
      <c r="F8" s="57"/>
      <c r="G8" s="57"/>
      <c r="H8" s="56"/>
      <c r="I8" s="57"/>
      <c r="J8" s="57"/>
      <c r="K8" s="56"/>
      <c r="L8" s="57"/>
      <c r="M8" s="57"/>
      <c r="N8" s="58"/>
      <c r="O8" s="59"/>
      <c r="P8" s="59"/>
      <c r="Q8" s="59"/>
      <c r="R8" s="60"/>
      <c r="S8" s="43"/>
      <c r="T8" s="43"/>
      <c r="U8" s="43"/>
      <c r="V8" s="61"/>
    </row>
    <row r="9" customFormat="false" ht="12.75" hidden="false" customHeight="false" outlineLevel="0" collapsed="false">
      <c r="D9" s="43"/>
      <c r="E9" s="56"/>
      <c r="F9" s="57"/>
      <c r="G9" s="57"/>
      <c r="H9" s="56"/>
      <c r="I9" s="57"/>
      <c r="J9" s="57"/>
      <c r="K9" s="56"/>
      <c r="L9" s="57"/>
      <c r="M9" s="57"/>
      <c r="N9" s="58"/>
      <c r="O9" s="59"/>
      <c r="P9" s="59"/>
      <c r="Q9" s="59"/>
      <c r="R9" s="60"/>
      <c r="S9" s="43"/>
      <c r="T9" s="43"/>
      <c r="U9" s="43"/>
      <c r="V9" s="61"/>
    </row>
    <row r="10" customFormat="false" ht="12.75" hidden="false" customHeight="false" outlineLevel="0" collapsed="false">
      <c r="D10" s="43"/>
      <c r="E10" s="56"/>
      <c r="F10" s="57"/>
      <c r="G10" s="57"/>
      <c r="H10" s="56"/>
      <c r="I10" s="57"/>
      <c r="J10" s="57"/>
      <c r="K10" s="56"/>
      <c r="L10" s="57"/>
      <c r="M10" s="57"/>
      <c r="N10" s="58"/>
      <c r="O10" s="59"/>
      <c r="P10" s="59"/>
      <c r="Q10" s="59"/>
      <c r="R10" s="60"/>
      <c r="S10" s="43"/>
      <c r="T10" s="43"/>
      <c r="U10" s="43"/>
      <c r="V10" s="61"/>
    </row>
    <row r="11" customFormat="false" ht="12.75" hidden="false" customHeight="false" outlineLevel="0" collapsed="false">
      <c r="D11" s="43"/>
      <c r="E11" s="56"/>
      <c r="F11" s="57"/>
      <c r="G11" s="57"/>
      <c r="H11" s="56"/>
      <c r="I11" s="57"/>
      <c r="J11" s="57"/>
      <c r="K11" s="56"/>
      <c r="L11" s="57"/>
      <c r="M11" s="57"/>
      <c r="N11" s="58"/>
      <c r="O11" s="59"/>
      <c r="P11" s="59"/>
      <c r="Q11" s="59"/>
      <c r="R11" s="60"/>
      <c r="S11" s="43"/>
      <c r="T11" s="43"/>
      <c r="U11" s="43"/>
      <c r="V11" s="61"/>
    </row>
    <row r="12" customFormat="false" ht="12.75" hidden="false" customHeight="false" outlineLevel="0" collapsed="false">
      <c r="D12" s="43"/>
      <c r="E12" s="56"/>
      <c r="F12" s="57"/>
      <c r="G12" s="57"/>
      <c r="H12" s="56"/>
      <c r="I12" s="57"/>
      <c r="J12" s="57"/>
      <c r="K12" s="56"/>
      <c r="L12" s="57"/>
      <c r="M12" s="57"/>
      <c r="N12" s="58"/>
      <c r="O12" s="59"/>
      <c r="P12" s="59"/>
      <c r="Q12" s="59"/>
      <c r="R12" s="60"/>
      <c r="S12" s="43"/>
      <c r="T12" s="43"/>
      <c r="U12" s="43"/>
      <c r="V12" s="61"/>
    </row>
    <row r="13" customFormat="false" ht="12.75" hidden="false" customHeight="false" outlineLevel="0" collapsed="false">
      <c r="D13" s="43"/>
      <c r="E13" s="56"/>
      <c r="F13" s="57"/>
      <c r="G13" s="57"/>
      <c r="H13" s="56"/>
      <c r="I13" s="57"/>
      <c r="J13" s="57"/>
      <c r="K13" s="56"/>
      <c r="L13" s="57"/>
      <c r="M13" s="57"/>
      <c r="N13" s="58"/>
      <c r="O13" s="59"/>
      <c r="P13" s="59"/>
      <c r="Q13" s="59"/>
      <c r="R13" s="60"/>
      <c r="S13" s="43"/>
      <c r="T13" s="43"/>
      <c r="U13" s="43"/>
      <c r="V13" s="61"/>
    </row>
    <row r="14" customFormat="false" ht="12.75" hidden="false" customHeight="false" outlineLevel="0" collapsed="false">
      <c r="D14" s="43"/>
      <c r="E14" s="56"/>
      <c r="F14" s="57"/>
      <c r="G14" s="57"/>
      <c r="H14" s="56"/>
      <c r="I14" s="57"/>
      <c r="J14" s="57"/>
      <c r="K14" s="56"/>
      <c r="L14" s="57"/>
      <c r="M14" s="57"/>
      <c r="N14" s="58"/>
      <c r="O14" s="59"/>
      <c r="P14" s="59"/>
      <c r="Q14" s="59"/>
      <c r="R14" s="60"/>
      <c r="S14" s="43"/>
      <c r="T14" s="43"/>
      <c r="U14" s="43"/>
      <c r="V14" s="61"/>
    </row>
    <row r="15" customFormat="false" ht="12.75" hidden="false" customHeight="false" outlineLevel="0" collapsed="false">
      <c r="D15" s="43"/>
      <c r="E15" s="56"/>
      <c r="F15" s="57"/>
      <c r="G15" s="57"/>
      <c r="H15" s="56"/>
      <c r="I15" s="57"/>
      <c r="J15" s="57"/>
      <c r="K15" s="56"/>
      <c r="L15" s="57"/>
      <c r="M15" s="57"/>
      <c r="N15" s="58"/>
      <c r="O15" s="59"/>
      <c r="P15" s="59"/>
      <c r="Q15" s="59"/>
      <c r="R15" s="60"/>
      <c r="S15" s="43"/>
      <c r="T15" s="43"/>
      <c r="U15" s="43"/>
      <c r="V15" s="61"/>
    </row>
    <row r="16" customFormat="false" ht="12.75" hidden="false" customHeight="false" outlineLevel="0" collapsed="false">
      <c r="D16" s="43"/>
      <c r="E16" s="56"/>
      <c r="F16" s="57"/>
      <c r="G16" s="57"/>
      <c r="H16" s="56"/>
      <c r="I16" s="57"/>
      <c r="J16" s="57"/>
      <c r="K16" s="56"/>
      <c r="L16" s="57"/>
      <c r="M16" s="57"/>
      <c r="N16" s="58"/>
      <c r="O16" s="59"/>
      <c r="P16" s="59"/>
      <c r="Q16" s="59"/>
      <c r="R16" s="60"/>
      <c r="S16" s="43"/>
      <c r="T16" s="43"/>
      <c r="U16" s="43"/>
      <c r="V16" s="61"/>
    </row>
    <row r="17" customFormat="false" ht="12.75" hidden="false" customHeight="false" outlineLevel="0" collapsed="false">
      <c r="D17" s="43"/>
      <c r="E17" s="56"/>
      <c r="F17" s="57"/>
      <c r="G17" s="57"/>
      <c r="H17" s="56"/>
      <c r="I17" s="57"/>
      <c r="J17" s="57"/>
      <c r="K17" s="56"/>
      <c r="L17" s="57"/>
      <c r="M17" s="57"/>
      <c r="N17" s="58"/>
      <c r="O17" s="59"/>
      <c r="P17" s="59"/>
      <c r="Q17" s="59"/>
      <c r="R17" s="60"/>
      <c r="S17" s="43"/>
      <c r="T17" s="43"/>
      <c r="U17" s="43"/>
      <c r="V17" s="61"/>
    </row>
    <row r="18" customFormat="false" ht="12.75" hidden="false" customHeight="false" outlineLevel="0" collapsed="false">
      <c r="D18" s="43"/>
      <c r="E18" s="56"/>
      <c r="F18" s="57"/>
      <c r="G18" s="57"/>
      <c r="H18" s="56"/>
      <c r="I18" s="57"/>
      <c r="J18" s="57"/>
      <c r="K18" s="56"/>
      <c r="L18" s="57"/>
      <c r="M18" s="57"/>
      <c r="N18" s="58"/>
      <c r="O18" s="59"/>
      <c r="P18" s="59"/>
      <c r="Q18" s="59"/>
      <c r="R18" s="60"/>
      <c r="S18" s="43"/>
      <c r="T18" s="43"/>
      <c r="U18" s="43"/>
      <c r="V18" s="61"/>
    </row>
    <row r="19" customFormat="false" ht="12.75" hidden="false" customHeight="false" outlineLevel="0" collapsed="false">
      <c r="D19" s="43"/>
      <c r="E19" s="56"/>
      <c r="F19" s="57"/>
      <c r="G19" s="57"/>
      <c r="H19" s="56"/>
      <c r="I19" s="57"/>
      <c r="J19" s="57"/>
      <c r="K19" s="56"/>
      <c r="L19" s="57"/>
      <c r="M19" s="57"/>
      <c r="N19" s="58"/>
      <c r="O19" s="59"/>
      <c r="P19" s="59"/>
      <c r="Q19" s="59"/>
      <c r="R19" s="60"/>
      <c r="S19" s="43"/>
      <c r="T19" s="43"/>
      <c r="U19" s="43"/>
      <c r="V19" s="61"/>
    </row>
    <row r="20" customFormat="false" ht="12.75" hidden="false" customHeight="false" outlineLevel="0" collapsed="false">
      <c r="D20" s="43"/>
      <c r="E20" s="56"/>
      <c r="F20" s="57"/>
      <c r="G20" s="57"/>
      <c r="H20" s="56"/>
      <c r="I20" s="57"/>
      <c r="J20" s="57"/>
      <c r="K20" s="56"/>
      <c r="L20" s="57"/>
      <c r="M20" s="57"/>
      <c r="N20" s="58"/>
      <c r="O20" s="59"/>
      <c r="P20" s="59"/>
      <c r="Q20" s="59"/>
      <c r="R20" s="60"/>
      <c r="S20" s="43"/>
      <c r="T20" s="43"/>
      <c r="U20" s="43"/>
      <c r="V20" s="61"/>
    </row>
    <row r="21" customFormat="false" ht="12.75" hidden="false" customHeight="false" outlineLevel="0" collapsed="false">
      <c r="D21" s="43"/>
      <c r="E21" s="56"/>
      <c r="F21" s="57"/>
      <c r="G21" s="57"/>
      <c r="H21" s="56"/>
      <c r="I21" s="57"/>
      <c r="J21" s="57"/>
      <c r="K21" s="56"/>
      <c r="L21" s="57"/>
      <c r="M21" s="57"/>
      <c r="N21" s="58"/>
      <c r="O21" s="59"/>
      <c r="P21" s="59"/>
      <c r="Q21" s="59"/>
      <c r="R21" s="60"/>
      <c r="S21" s="43"/>
      <c r="T21" s="43"/>
      <c r="U21" s="43"/>
      <c r="V21" s="61"/>
    </row>
    <row r="22" customFormat="false" ht="12.75" hidden="false" customHeight="false" outlineLevel="0" collapsed="false">
      <c r="D22" s="43"/>
      <c r="E22" s="56"/>
      <c r="F22" s="57"/>
      <c r="G22" s="57"/>
      <c r="H22" s="56"/>
      <c r="I22" s="57"/>
      <c r="J22" s="57"/>
      <c r="K22" s="56"/>
      <c r="L22" s="57"/>
      <c r="M22" s="57"/>
      <c r="N22" s="58"/>
      <c r="O22" s="59"/>
      <c r="P22" s="59"/>
      <c r="Q22" s="59"/>
      <c r="R22" s="60"/>
      <c r="S22" s="43"/>
      <c r="T22" s="43"/>
      <c r="U22" s="43"/>
      <c r="V22" s="61"/>
    </row>
    <row r="23" customFormat="false" ht="12.75" hidden="false" customHeight="false" outlineLevel="0" collapsed="false">
      <c r="D23" s="43"/>
      <c r="E23" s="56"/>
      <c r="F23" s="57"/>
      <c r="G23" s="57"/>
      <c r="H23" s="56"/>
      <c r="I23" s="57"/>
      <c r="J23" s="57"/>
      <c r="K23" s="56"/>
      <c r="L23" s="57"/>
      <c r="M23" s="57"/>
      <c r="N23" s="58"/>
      <c r="O23" s="59"/>
      <c r="P23" s="59"/>
      <c r="Q23" s="59"/>
      <c r="R23" s="60"/>
      <c r="S23" s="43"/>
      <c r="T23" s="43"/>
      <c r="U23" s="43"/>
      <c r="V23" s="61"/>
    </row>
    <row r="24" customFormat="false" ht="12.75" hidden="false" customHeight="false" outlineLevel="0" collapsed="false">
      <c r="D24" s="43"/>
      <c r="E24" s="56"/>
      <c r="F24" s="57"/>
      <c r="G24" s="57"/>
      <c r="H24" s="56"/>
      <c r="I24" s="57"/>
      <c r="J24" s="57"/>
      <c r="K24" s="56"/>
      <c r="L24" s="57"/>
      <c r="M24" s="57"/>
      <c r="N24" s="58"/>
      <c r="O24" s="59"/>
      <c r="P24" s="59"/>
      <c r="Q24" s="59"/>
      <c r="R24" s="60"/>
      <c r="S24" s="43"/>
      <c r="T24" s="43"/>
      <c r="U24" s="43"/>
      <c r="V24" s="61"/>
    </row>
    <row r="25" customFormat="false" ht="12.75" hidden="false" customHeight="false" outlineLevel="0" collapsed="false">
      <c r="D25" s="43"/>
      <c r="E25" s="56"/>
      <c r="F25" s="57"/>
      <c r="G25" s="57"/>
      <c r="H25" s="56"/>
      <c r="I25" s="57"/>
      <c r="J25" s="57"/>
      <c r="K25" s="56"/>
      <c r="L25" s="57"/>
      <c r="M25" s="57"/>
      <c r="N25" s="58"/>
      <c r="O25" s="59"/>
      <c r="P25" s="59"/>
      <c r="Q25" s="59"/>
      <c r="R25" s="60"/>
      <c r="S25" s="43"/>
      <c r="T25" s="43"/>
      <c r="U25" s="43"/>
      <c r="V25" s="61"/>
    </row>
    <row r="26" customFormat="false" ht="12.75" hidden="false" customHeight="false" outlineLevel="0" collapsed="false">
      <c r="D26" s="43"/>
      <c r="E26" s="56"/>
      <c r="F26" s="57"/>
      <c r="G26" s="57"/>
      <c r="H26" s="56"/>
      <c r="I26" s="57"/>
      <c r="J26" s="57"/>
      <c r="K26" s="56"/>
      <c r="L26" s="57"/>
      <c r="M26" s="57"/>
      <c r="N26" s="58"/>
      <c r="O26" s="59"/>
      <c r="P26" s="59"/>
      <c r="Q26" s="59"/>
      <c r="R26" s="60"/>
      <c r="S26" s="43"/>
      <c r="T26" s="43"/>
      <c r="U26" s="43"/>
      <c r="V26" s="61"/>
    </row>
    <row r="27" customFormat="false" ht="12.75" hidden="false" customHeight="false" outlineLevel="0" collapsed="false">
      <c r="D27" s="43"/>
      <c r="E27" s="56"/>
      <c r="F27" s="57"/>
      <c r="G27" s="57"/>
      <c r="H27" s="56"/>
      <c r="I27" s="57"/>
      <c r="J27" s="57"/>
      <c r="K27" s="56"/>
      <c r="L27" s="57"/>
      <c r="M27" s="57"/>
      <c r="N27" s="58"/>
      <c r="O27" s="59"/>
      <c r="P27" s="59"/>
      <c r="Q27" s="59"/>
      <c r="R27" s="60"/>
      <c r="S27" s="43"/>
      <c r="T27" s="43"/>
      <c r="U27" s="43"/>
      <c r="V27" s="61"/>
    </row>
    <row r="28" customFormat="false" ht="12.75" hidden="false" customHeight="false" outlineLevel="0" collapsed="false">
      <c r="D28" s="43"/>
      <c r="E28" s="56"/>
      <c r="F28" s="57"/>
      <c r="G28" s="57"/>
      <c r="H28" s="56"/>
      <c r="I28" s="57"/>
      <c r="J28" s="57"/>
      <c r="K28" s="56"/>
      <c r="L28" s="57"/>
      <c r="M28" s="57"/>
      <c r="N28" s="58"/>
      <c r="O28" s="59"/>
      <c r="P28" s="59"/>
      <c r="Q28" s="59"/>
      <c r="R28" s="60"/>
      <c r="S28" s="43"/>
      <c r="T28" s="43"/>
      <c r="U28" s="43"/>
      <c r="V28" s="61"/>
    </row>
    <row r="29" customFormat="false" ht="12.75" hidden="false" customHeight="false" outlineLevel="0" collapsed="false">
      <c r="D29" s="43"/>
      <c r="E29" s="56"/>
      <c r="F29" s="57"/>
      <c r="G29" s="57"/>
      <c r="H29" s="56"/>
      <c r="I29" s="57"/>
      <c r="J29" s="57"/>
      <c r="K29" s="56"/>
      <c r="L29" s="57"/>
      <c r="M29" s="57"/>
      <c r="N29" s="58"/>
      <c r="O29" s="59"/>
      <c r="P29" s="59"/>
      <c r="Q29" s="59"/>
      <c r="R29" s="60"/>
      <c r="S29" s="43"/>
      <c r="T29" s="43"/>
      <c r="U29" s="43"/>
      <c r="V29" s="61"/>
    </row>
    <row r="30" customFormat="false" ht="12.75" hidden="false" customHeight="false" outlineLevel="0" collapsed="false">
      <c r="D30" s="43"/>
      <c r="E30" s="56"/>
      <c r="F30" s="57"/>
      <c r="G30" s="57"/>
      <c r="H30" s="56"/>
      <c r="I30" s="57"/>
      <c r="J30" s="57"/>
      <c r="K30" s="56"/>
      <c r="L30" s="57"/>
      <c r="M30" s="57"/>
      <c r="N30" s="58"/>
      <c r="O30" s="59"/>
      <c r="P30" s="59"/>
      <c r="Q30" s="59"/>
      <c r="R30" s="60"/>
      <c r="S30" s="43"/>
      <c r="T30" s="43"/>
      <c r="U30" s="43"/>
      <c r="V30" s="61"/>
    </row>
    <row r="31" customFormat="false" ht="12.75" hidden="false" customHeight="false" outlineLevel="0" collapsed="false">
      <c r="D31" s="43"/>
      <c r="E31" s="56"/>
      <c r="F31" s="57"/>
      <c r="G31" s="57"/>
      <c r="H31" s="56"/>
      <c r="I31" s="57"/>
      <c r="J31" s="57"/>
      <c r="K31" s="56"/>
      <c r="L31" s="57"/>
      <c r="M31" s="57"/>
      <c r="N31" s="58"/>
      <c r="O31" s="59"/>
      <c r="P31" s="59"/>
      <c r="Q31" s="59"/>
      <c r="R31" s="60"/>
      <c r="S31" s="43"/>
      <c r="T31" s="43"/>
      <c r="U31" s="43"/>
      <c r="V31" s="61"/>
    </row>
    <row r="32" customFormat="false" ht="12.75" hidden="false" customHeight="false" outlineLevel="0" collapsed="false">
      <c r="D32" s="43"/>
      <c r="E32" s="56"/>
      <c r="F32" s="57"/>
      <c r="G32" s="57"/>
      <c r="H32" s="56"/>
      <c r="I32" s="57"/>
      <c r="J32" s="57"/>
      <c r="K32" s="56"/>
      <c r="L32" s="57"/>
      <c r="M32" s="57"/>
      <c r="N32" s="58"/>
      <c r="O32" s="59"/>
      <c r="P32" s="59"/>
      <c r="Q32" s="59"/>
      <c r="R32" s="60"/>
      <c r="S32" s="43"/>
      <c r="T32" s="43"/>
      <c r="U32" s="43"/>
      <c r="V32" s="61"/>
    </row>
    <row r="33" customFormat="false" ht="12.75" hidden="false" customHeight="false" outlineLevel="0" collapsed="false">
      <c r="D33" s="43"/>
      <c r="E33" s="56"/>
      <c r="F33" s="57"/>
      <c r="G33" s="57"/>
      <c r="H33" s="56"/>
      <c r="I33" s="57"/>
      <c r="J33" s="57"/>
      <c r="K33" s="56"/>
      <c r="L33" s="57"/>
      <c r="M33" s="57"/>
      <c r="N33" s="58"/>
      <c r="O33" s="59"/>
      <c r="P33" s="59"/>
      <c r="Q33" s="59"/>
      <c r="R33" s="60"/>
      <c r="S33" s="43"/>
      <c r="T33" s="43"/>
      <c r="U33" s="43"/>
      <c r="V33" s="61"/>
    </row>
    <row r="34" customFormat="false" ht="12.75" hidden="false" customHeight="false" outlineLevel="0" collapsed="false">
      <c r="D34" s="43"/>
      <c r="E34" s="56"/>
      <c r="F34" s="57"/>
      <c r="G34" s="57"/>
      <c r="H34" s="56"/>
      <c r="I34" s="57"/>
      <c r="J34" s="57"/>
      <c r="K34" s="56"/>
      <c r="L34" s="57"/>
      <c r="M34" s="57"/>
      <c r="N34" s="58"/>
      <c r="O34" s="59"/>
      <c r="P34" s="59"/>
      <c r="Q34" s="59"/>
      <c r="R34" s="60"/>
      <c r="S34" s="43"/>
      <c r="T34" s="43"/>
      <c r="U34" s="43"/>
      <c r="V34" s="61"/>
    </row>
    <row r="35" customFormat="false" ht="12.75" hidden="false" customHeight="false" outlineLevel="0" collapsed="false">
      <c r="D35" s="43"/>
      <c r="E35" s="56"/>
      <c r="F35" s="57"/>
      <c r="G35" s="57"/>
      <c r="H35" s="56"/>
      <c r="I35" s="57"/>
      <c r="J35" s="57"/>
      <c r="K35" s="56"/>
      <c r="L35" s="57"/>
      <c r="M35" s="57"/>
      <c r="N35" s="58"/>
      <c r="O35" s="59"/>
      <c r="P35" s="59"/>
      <c r="Q35" s="59"/>
      <c r="R35" s="60"/>
      <c r="S35" s="43"/>
      <c r="T35" s="43"/>
      <c r="U35" s="43"/>
      <c r="V35" s="61"/>
    </row>
    <row r="36" customFormat="false" ht="12.75" hidden="false" customHeight="false" outlineLevel="0" collapsed="false">
      <c r="D36" s="43"/>
      <c r="E36" s="56"/>
      <c r="F36" s="57"/>
      <c r="G36" s="57"/>
      <c r="H36" s="56"/>
      <c r="I36" s="57"/>
      <c r="J36" s="57"/>
      <c r="K36" s="56"/>
      <c r="L36" s="57"/>
      <c r="M36" s="57"/>
      <c r="N36" s="58"/>
      <c r="O36" s="59"/>
      <c r="P36" s="59"/>
      <c r="Q36" s="59"/>
      <c r="R36" s="60"/>
      <c r="S36" s="43"/>
      <c r="T36" s="43"/>
      <c r="U36" s="43"/>
      <c r="V36" s="61"/>
    </row>
    <row r="37" customFormat="false" ht="12.75" hidden="false" customHeight="false" outlineLevel="0" collapsed="false">
      <c r="D37" s="43"/>
      <c r="E37" s="56"/>
      <c r="F37" s="57"/>
      <c r="G37" s="57"/>
      <c r="H37" s="56"/>
      <c r="I37" s="57"/>
      <c r="J37" s="57"/>
      <c r="K37" s="56"/>
      <c r="L37" s="57"/>
      <c r="M37" s="57"/>
      <c r="N37" s="58"/>
      <c r="O37" s="59"/>
      <c r="P37" s="59"/>
      <c r="Q37" s="59"/>
      <c r="R37" s="60"/>
      <c r="S37" s="43"/>
      <c r="T37" s="43"/>
      <c r="U37" s="43"/>
      <c r="V37" s="61"/>
    </row>
    <row r="38" customFormat="false" ht="12.75" hidden="false" customHeight="false" outlineLevel="0" collapsed="false">
      <c r="D38" s="43"/>
      <c r="E38" s="56"/>
      <c r="F38" s="57"/>
      <c r="G38" s="57"/>
      <c r="H38" s="56"/>
      <c r="I38" s="57"/>
      <c r="J38" s="57"/>
      <c r="K38" s="56"/>
      <c r="L38" s="57"/>
      <c r="M38" s="57"/>
      <c r="N38" s="58"/>
      <c r="O38" s="59"/>
      <c r="P38" s="59"/>
      <c r="Q38" s="59"/>
      <c r="R38" s="60"/>
      <c r="S38" s="43"/>
      <c r="T38" s="43"/>
      <c r="U38" s="43"/>
      <c r="V38" s="61"/>
    </row>
    <row r="39" customFormat="false" ht="12.75" hidden="false" customHeight="false" outlineLevel="0" collapsed="false">
      <c r="D39" s="43"/>
      <c r="E39" s="56"/>
      <c r="F39" s="57"/>
      <c r="G39" s="57"/>
      <c r="H39" s="56"/>
      <c r="I39" s="57"/>
      <c r="J39" s="57"/>
      <c r="K39" s="56"/>
      <c r="L39" s="57"/>
      <c r="M39" s="57"/>
      <c r="N39" s="58"/>
      <c r="O39" s="59"/>
      <c r="P39" s="59"/>
      <c r="Q39" s="59"/>
      <c r="R39" s="60"/>
      <c r="S39" s="43"/>
      <c r="T39" s="43"/>
      <c r="U39" s="43"/>
      <c r="V39" s="61"/>
    </row>
    <row r="40" customFormat="false" ht="12.75" hidden="false" customHeight="false" outlineLevel="0" collapsed="false">
      <c r="D40" s="43"/>
      <c r="E40" s="56"/>
      <c r="F40" s="57"/>
      <c r="G40" s="57"/>
      <c r="H40" s="56"/>
      <c r="I40" s="57"/>
      <c r="J40" s="57"/>
      <c r="K40" s="56"/>
      <c r="L40" s="57"/>
      <c r="M40" s="57"/>
      <c r="N40" s="58"/>
      <c r="O40" s="59"/>
      <c r="P40" s="59"/>
      <c r="Q40" s="59"/>
      <c r="R40" s="60"/>
      <c r="S40" s="43"/>
      <c r="T40" s="43"/>
      <c r="U40" s="43"/>
      <c r="V40" s="61"/>
    </row>
    <row r="41" customFormat="false" ht="12.75" hidden="false" customHeight="false" outlineLevel="0" collapsed="false">
      <c r="D41" s="43"/>
      <c r="E41" s="56"/>
      <c r="F41" s="57"/>
      <c r="G41" s="57"/>
      <c r="H41" s="56"/>
      <c r="I41" s="57"/>
      <c r="J41" s="57"/>
      <c r="K41" s="56"/>
      <c r="L41" s="57"/>
      <c r="M41" s="57"/>
      <c r="N41" s="58"/>
      <c r="O41" s="59"/>
      <c r="P41" s="59"/>
      <c r="Q41" s="59"/>
      <c r="R41" s="60"/>
      <c r="S41" s="43"/>
      <c r="T41" s="43"/>
      <c r="U41" s="43"/>
      <c r="V41" s="61"/>
    </row>
    <row r="42" customFormat="false" ht="12.75" hidden="false" customHeight="false" outlineLevel="0" collapsed="false">
      <c r="D42" s="43"/>
      <c r="E42" s="56"/>
      <c r="F42" s="57"/>
      <c r="G42" s="57"/>
      <c r="H42" s="56"/>
      <c r="I42" s="57"/>
      <c r="J42" s="57"/>
      <c r="K42" s="56"/>
      <c r="L42" s="57"/>
      <c r="M42" s="57"/>
      <c r="N42" s="58"/>
      <c r="O42" s="59"/>
      <c r="P42" s="59"/>
      <c r="Q42" s="59"/>
      <c r="R42" s="60"/>
      <c r="S42" s="43"/>
      <c r="T42" s="43"/>
      <c r="U42" s="43"/>
      <c r="V42" s="61"/>
    </row>
    <row r="43" customFormat="false" ht="12.75" hidden="false" customHeight="false" outlineLevel="0" collapsed="false">
      <c r="D43" s="43"/>
      <c r="E43" s="56"/>
      <c r="F43" s="57"/>
      <c r="G43" s="57"/>
      <c r="H43" s="56"/>
      <c r="I43" s="57"/>
      <c r="J43" s="57"/>
      <c r="K43" s="56"/>
      <c r="L43" s="57"/>
      <c r="M43" s="57"/>
      <c r="N43" s="58"/>
      <c r="O43" s="59"/>
      <c r="P43" s="59"/>
      <c r="Q43" s="59"/>
      <c r="R43" s="60"/>
      <c r="S43" s="43"/>
      <c r="T43" s="43"/>
      <c r="U43" s="43"/>
      <c r="V43" s="61"/>
    </row>
    <row r="44" customFormat="false" ht="12.75" hidden="false" customHeight="false" outlineLevel="0" collapsed="false">
      <c r="D44" s="43"/>
      <c r="E44" s="56"/>
      <c r="F44" s="57"/>
      <c r="G44" s="57"/>
      <c r="H44" s="56"/>
      <c r="I44" s="57"/>
      <c r="J44" s="57"/>
      <c r="K44" s="56"/>
      <c r="L44" s="57"/>
      <c r="M44" s="57"/>
      <c r="N44" s="58"/>
      <c r="O44" s="59"/>
      <c r="P44" s="59"/>
      <c r="Q44" s="59"/>
      <c r="R44" s="60"/>
      <c r="S44" s="43"/>
      <c r="T44" s="43"/>
      <c r="U44" s="43"/>
      <c r="V44" s="61"/>
    </row>
    <row r="45" customFormat="false" ht="12.75" hidden="false" customHeight="false" outlineLevel="0" collapsed="false">
      <c r="D45" s="43"/>
      <c r="E45" s="56"/>
      <c r="F45" s="57"/>
      <c r="G45" s="57"/>
      <c r="H45" s="56"/>
      <c r="I45" s="57"/>
      <c r="J45" s="57"/>
      <c r="K45" s="56"/>
      <c r="L45" s="57"/>
      <c r="M45" s="57"/>
      <c r="N45" s="58"/>
      <c r="O45" s="59"/>
      <c r="P45" s="59"/>
      <c r="Q45" s="59"/>
      <c r="R45" s="60"/>
      <c r="S45" s="43"/>
      <c r="T45" s="43"/>
      <c r="U45" s="43"/>
      <c r="V45" s="61"/>
    </row>
    <row r="46" customFormat="false" ht="12.75" hidden="false" customHeight="false" outlineLevel="0" collapsed="false">
      <c r="D46" s="43"/>
      <c r="E46" s="56"/>
      <c r="F46" s="57"/>
      <c r="G46" s="57"/>
      <c r="H46" s="56"/>
      <c r="I46" s="57"/>
      <c r="J46" s="57"/>
      <c r="K46" s="56"/>
      <c r="L46" s="57"/>
      <c r="M46" s="57"/>
      <c r="N46" s="58"/>
      <c r="O46" s="59"/>
      <c r="P46" s="59"/>
      <c r="Q46" s="59"/>
      <c r="R46" s="60"/>
      <c r="S46" s="43"/>
      <c r="T46" s="43"/>
      <c r="U46" s="43"/>
      <c r="V46" s="61"/>
    </row>
    <row r="47" customFormat="false" ht="12.75" hidden="false" customHeight="false" outlineLevel="0" collapsed="false">
      <c r="D47" s="43"/>
      <c r="E47" s="56"/>
      <c r="F47" s="57"/>
      <c r="G47" s="57"/>
      <c r="H47" s="56"/>
      <c r="I47" s="57"/>
      <c r="J47" s="57"/>
      <c r="K47" s="56"/>
      <c r="L47" s="57"/>
      <c r="M47" s="57"/>
      <c r="N47" s="58"/>
      <c r="O47" s="59"/>
      <c r="P47" s="59"/>
      <c r="Q47" s="59"/>
      <c r="R47" s="60"/>
      <c r="S47" s="43"/>
      <c r="T47" s="43"/>
      <c r="U47" s="43"/>
      <c r="V47" s="61"/>
    </row>
    <row r="48" customFormat="false" ht="12.75" hidden="false" customHeight="false" outlineLevel="0" collapsed="false">
      <c r="D48" s="43"/>
      <c r="E48" s="56"/>
      <c r="F48" s="57"/>
      <c r="G48" s="57"/>
      <c r="H48" s="56"/>
      <c r="I48" s="57"/>
      <c r="J48" s="57"/>
      <c r="K48" s="56"/>
      <c r="L48" s="57"/>
      <c r="M48" s="57"/>
      <c r="N48" s="58"/>
      <c r="O48" s="59"/>
      <c r="P48" s="59"/>
      <c r="Q48" s="59"/>
      <c r="R48" s="60"/>
      <c r="S48" s="43"/>
      <c r="T48" s="43"/>
      <c r="U48" s="43"/>
      <c r="V48" s="61"/>
    </row>
    <row r="49" customFormat="false" ht="12.75" hidden="false" customHeight="false" outlineLevel="0" collapsed="false">
      <c r="D49" s="43"/>
      <c r="E49" s="56"/>
      <c r="F49" s="57"/>
      <c r="G49" s="57"/>
      <c r="H49" s="56"/>
      <c r="I49" s="57"/>
      <c r="J49" s="57"/>
      <c r="K49" s="56"/>
      <c r="L49" s="57"/>
      <c r="M49" s="57"/>
      <c r="N49" s="58"/>
      <c r="O49" s="59"/>
      <c r="P49" s="59"/>
      <c r="Q49" s="59"/>
      <c r="R49" s="60"/>
      <c r="S49" s="43"/>
      <c r="T49" s="43"/>
      <c r="U49" s="43"/>
      <c r="V49" s="61"/>
    </row>
    <row r="50" customFormat="false" ht="12.75" hidden="false" customHeight="false" outlineLevel="0" collapsed="false">
      <c r="D50" s="43"/>
      <c r="E50" s="56"/>
      <c r="F50" s="57"/>
      <c r="G50" s="57"/>
      <c r="H50" s="56"/>
      <c r="I50" s="57"/>
      <c r="J50" s="57"/>
      <c r="K50" s="56"/>
      <c r="L50" s="57"/>
      <c r="M50" s="57"/>
      <c r="N50" s="58"/>
      <c r="O50" s="59"/>
      <c r="P50" s="59"/>
      <c r="Q50" s="59"/>
      <c r="R50" s="60"/>
      <c r="S50" s="43"/>
      <c r="T50" s="43"/>
      <c r="U50" s="43"/>
      <c r="V50" s="61"/>
    </row>
    <row r="51" customFormat="false" ht="12.75" hidden="false" customHeight="false" outlineLevel="0" collapsed="false">
      <c r="D51" s="43"/>
      <c r="E51" s="56"/>
      <c r="F51" s="57"/>
      <c r="G51" s="57"/>
      <c r="H51" s="56"/>
      <c r="I51" s="57"/>
      <c r="J51" s="57"/>
      <c r="K51" s="56"/>
      <c r="L51" s="57"/>
      <c r="M51" s="57"/>
      <c r="N51" s="58"/>
      <c r="O51" s="59"/>
      <c r="P51" s="59"/>
      <c r="Q51" s="59"/>
      <c r="R51" s="60"/>
      <c r="S51" s="43"/>
      <c r="T51" s="43"/>
      <c r="U51" s="43"/>
      <c r="V51" s="61"/>
    </row>
    <row r="52" customFormat="false" ht="12.75" hidden="false" customHeight="false" outlineLevel="0" collapsed="false">
      <c r="D52" s="43"/>
      <c r="E52" s="56"/>
      <c r="F52" s="57"/>
      <c r="G52" s="57"/>
      <c r="H52" s="56"/>
      <c r="I52" s="57"/>
      <c r="J52" s="57"/>
      <c r="K52" s="56"/>
      <c r="L52" s="57"/>
      <c r="M52" s="57"/>
      <c r="N52" s="58"/>
      <c r="O52" s="59"/>
      <c r="P52" s="59"/>
      <c r="Q52" s="59"/>
      <c r="R52" s="60"/>
      <c r="S52" s="43"/>
      <c r="T52" s="43"/>
      <c r="U52" s="43"/>
      <c r="V52" s="61"/>
    </row>
    <row r="53" customFormat="false" ht="12.75" hidden="false" customHeight="false" outlineLevel="0" collapsed="false">
      <c r="D53" s="43"/>
      <c r="E53" s="56"/>
      <c r="F53" s="57"/>
      <c r="G53" s="57"/>
      <c r="H53" s="56"/>
      <c r="I53" s="57"/>
      <c r="J53" s="57"/>
      <c r="K53" s="56"/>
      <c r="L53" s="57"/>
      <c r="M53" s="57"/>
      <c r="N53" s="58"/>
      <c r="O53" s="59"/>
      <c r="P53" s="59"/>
      <c r="Q53" s="59"/>
      <c r="R53" s="60"/>
      <c r="S53" s="43"/>
      <c r="T53" s="43"/>
      <c r="U53" s="43"/>
      <c r="V53" s="61"/>
    </row>
    <row r="54" customFormat="false" ht="12.75" hidden="false" customHeight="false" outlineLevel="0" collapsed="false">
      <c r="D54" s="43"/>
      <c r="E54" s="56"/>
      <c r="F54" s="57"/>
      <c r="G54" s="57"/>
      <c r="H54" s="56"/>
      <c r="I54" s="57"/>
      <c r="J54" s="57"/>
      <c r="K54" s="56"/>
      <c r="L54" s="57"/>
      <c r="M54" s="57"/>
      <c r="N54" s="58"/>
      <c r="O54" s="59"/>
      <c r="P54" s="59"/>
      <c r="Q54" s="59"/>
      <c r="R54" s="60"/>
      <c r="S54" s="43"/>
      <c r="T54" s="43"/>
      <c r="U54" s="43"/>
      <c r="V54" s="61"/>
    </row>
    <row r="55" customFormat="false" ht="12.75" hidden="false" customHeight="false" outlineLevel="0" collapsed="false">
      <c r="D55" s="43"/>
      <c r="E55" s="56"/>
      <c r="F55" s="57"/>
      <c r="G55" s="57"/>
      <c r="H55" s="56"/>
      <c r="I55" s="57"/>
      <c r="J55" s="57"/>
      <c r="K55" s="56"/>
      <c r="L55" s="57"/>
      <c r="M55" s="57"/>
      <c r="N55" s="58"/>
      <c r="O55" s="59"/>
      <c r="P55" s="59"/>
      <c r="Q55" s="59"/>
      <c r="R55" s="60"/>
      <c r="S55" s="43"/>
      <c r="T55" s="43"/>
      <c r="U55" s="43"/>
      <c r="V55" s="61"/>
    </row>
    <row r="56" customFormat="false" ht="12.75" hidden="false" customHeight="false" outlineLevel="0" collapsed="false">
      <c r="D56" s="43"/>
      <c r="E56" s="56"/>
      <c r="F56" s="57"/>
      <c r="G56" s="57"/>
      <c r="H56" s="56"/>
      <c r="I56" s="57"/>
      <c r="J56" s="57"/>
      <c r="K56" s="56"/>
      <c r="L56" s="57"/>
      <c r="M56" s="57"/>
      <c r="N56" s="58"/>
      <c r="O56" s="59"/>
      <c r="P56" s="59"/>
      <c r="Q56" s="59"/>
      <c r="R56" s="60"/>
      <c r="S56" s="43"/>
      <c r="T56" s="43"/>
      <c r="U56" s="43"/>
      <c r="V56" s="61"/>
    </row>
    <row r="57" customFormat="false" ht="12.75" hidden="false" customHeight="false" outlineLevel="0" collapsed="false">
      <c r="D57" s="43"/>
      <c r="E57" s="56"/>
      <c r="F57" s="57"/>
      <c r="G57" s="57"/>
      <c r="H57" s="56"/>
      <c r="I57" s="57"/>
      <c r="J57" s="57"/>
      <c r="K57" s="56"/>
      <c r="L57" s="57"/>
      <c r="M57" s="57"/>
      <c r="N57" s="58"/>
      <c r="O57" s="59"/>
      <c r="P57" s="59"/>
      <c r="Q57" s="59"/>
      <c r="R57" s="60"/>
      <c r="S57" s="43"/>
      <c r="T57" s="43"/>
      <c r="U57" s="43"/>
      <c r="V57" s="61"/>
    </row>
    <row r="58" customFormat="false" ht="12.75" hidden="false" customHeight="false" outlineLevel="0" collapsed="false">
      <c r="D58" s="43"/>
      <c r="E58" s="56"/>
      <c r="F58" s="57"/>
      <c r="G58" s="57"/>
      <c r="H58" s="56"/>
      <c r="I58" s="57"/>
      <c r="J58" s="57"/>
      <c r="K58" s="56"/>
      <c r="L58" s="57"/>
      <c r="M58" s="57"/>
      <c r="N58" s="58"/>
      <c r="O58" s="59"/>
      <c r="P58" s="59"/>
      <c r="Q58" s="59"/>
      <c r="R58" s="60"/>
      <c r="S58" s="43"/>
      <c r="T58" s="43"/>
      <c r="U58" s="43"/>
      <c r="V58" s="61"/>
    </row>
    <row r="59" customFormat="false" ht="12.75" hidden="false" customHeight="false" outlineLevel="0" collapsed="false">
      <c r="D59" s="43"/>
      <c r="E59" s="56"/>
      <c r="F59" s="57"/>
      <c r="G59" s="57"/>
      <c r="H59" s="56"/>
      <c r="I59" s="57"/>
      <c r="J59" s="57"/>
      <c r="K59" s="56"/>
      <c r="L59" s="57"/>
      <c r="M59" s="57"/>
      <c r="N59" s="58"/>
      <c r="O59" s="59"/>
      <c r="P59" s="59"/>
      <c r="Q59" s="59"/>
      <c r="R59" s="60"/>
      <c r="S59" s="43"/>
      <c r="T59" s="43"/>
      <c r="U59" s="43"/>
      <c r="V59" s="61"/>
    </row>
    <row r="60" customFormat="false" ht="12.75" hidden="false" customHeight="false" outlineLevel="0" collapsed="false">
      <c r="D60" s="43"/>
      <c r="E60" s="56"/>
      <c r="F60" s="57"/>
      <c r="G60" s="57"/>
      <c r="H60" s="56"/>
      <c r="I60" s="57"/>
      <c r="J60" s="57"/>
      <c r="K60" s="56"/>
      <c r="L60" s="57"/>
      <c r="M60" s="57"/>
      <c r="N60" s="58"/>
      <c r="O60" s="59"/>
      <c r="P60" s="59"/>
      <c r="Q60" s="59"/>
      <c r="R60" s="60"/>
      <c r="S60" s="43"/>
      <c r="T60" s="43"/>
      <c r="U60" s="43"/>
      <c r="V60" s="61"/>
    </row>
    <row r="61" customFormat="false" ht="12.75" hidden="false" customHeight="false" outlineLevel="0" collapsed="false">
      <c r="D61" s="43"/>
      <c r="E61" s="56"/>
      <c r="F61" s="57"/>
      <c r="G61" s="57"/>
      <c r="H61" s="56"/>
      <c r="I61" s="57"/>
      <c r="J61" s="57"/>
      <c r="K61" s="56"/>
      <c r="L61" s="57"/>
      <c r="M61" s="57"/>
      <c r="N61" s="58"/>
      <c r="O61" s="59"/>
      <c r="P61" s="59"/>
      <c r="Q61" s="59"/>
      <c r="R61" s="60"/>
      <c r="S61" s="43"/>
      <c r="T61" s="43"/>
      <c r="U61" s="43"/>
      <c r="V61" s="61"/>
    </row>
    <row r="62" customFormat="false" ht="12.75" hidden="false" customHeight="false" outlineLevel="0" collapsed="false">
      <c r="D62" s="43"/>
      <c r="E62" s="56"/>
      <c r="F62" s="57"/>
      <c r="G62" s="57"/>
      <c r="H62" s="56"/>
      <c r="I62" s="57"/>
      <c r="J62" s="57"/>
      <c r="K62" s="56"/>
      <c r="L62" s="57"/>
      <c r="M62" s="57"/>
      <c r="N62" s="58"/>
      <c r="O62" s="59"/>
      <c r="P62" s="59"/>
      <c r="Q62" s="59"/>
      <c r="R62" s="60"/>
      <c r="S62" s="43"/>
      <c r="T62" s="43"/>
      <c r="U62" s="43"/>
      <c r="V62" s="61"/>
    </row>
    <row r="63" customFormat="false" ht="12.75" hidden="false" customHeight="false" outlineLevel="0" collapsed="false">
      <c r="D63" s="43"/>
      <c r="E63" s="56"/>
      <c r="F63" s="57"/>
      <c r="G63" s="57"/>
      <c r="H63" s="56"/>
      <c r="I63" s="57"/>
      <c r="J63" s="57"/>
      <c r="K63" s="56"/>
      <c r="L63" s="57"/>
      <c r="M63" s="57"/>
      <c r="N63" s="58"/>
      <c r="O63" s="59"/>
      <c r="P63" s="59"/>
      <c r="Q63" s="59"/>
      <c r="R63" s="60"/>
      <c r="S63" s="43"/>
      <c r="T63" s="43"/>
      <c r="U63" s="43"/>
      <c r="V63" s="61"/>
    </row>
    <row r="64" customFormat="false" ht="12.75" hidden="false" customHeight="false" outlineLevel="0" collapsed="false">
      <c r="D64" s="43"/>
      <c r="E64" s="56"/>
      <c r="F64" s="57"/>
      <c r="G64" s="57"/>
      <c r="H64" s="56"/>
      <c r="I64" s="57"/>
      <c r="J64" s="57"/>
      <c r="K64" s="56"/>
      <c r="L64" s="57"/>
      <c r="M64" s="57"/>
      <c r="N64" s="58"/>
      <c r="O64" s="59"/>
      <c r="P64" s="59"/>
      <c r="Q64" s="59"/>
      <c r="R64" s="60"/>
      <c r="S64" s="43"/>
      <c r="T64" s="43"/>
      <c r="U64" s="43"/>
      <c r="V64" s="61"/>
    </row>
    <row r="65" customFormat="false" ht="12.75" hidden="false" customHeight="false" outlineLevel="0" collapsed="false">
      <c r="D65" s="43"/>
      <c r="E65" s="56"/>
      <c r="F65" s="57"/>
      <c r="G65" s="57"/>
      <c r="H65" s="56"/>
      <c r="I65" s="57"/>
      <c r="J65" s="57"/>
      <c r="K65" s="56"/>
      <c r="L65" s="57"/>
      <c r="M65" s="57"/>
      <c r="N65" s="58"/>
      <c r="O65" s="59"/>
      <c r="P65" s="59"/>
      <c r="Q65" s="59"/>
      <c r="R65" s="60"/>
      <c r="S65" s="43"/>
      <c r="T65" s="43"/>
      <c r="U65" s="43"/>
      <c r="V65" s="61"/>
    </row>
    <row r="66" customFormat="false" ht="12.75" hidden="false" customHeight="false" outlineLevel="0" collapsed="false">
      <c r="D66" s="43"/>
      <c r="E66" s="56"/>
      <c r="F66" s="57"/>
      <c r="G66" s="57"/>
      <c r="H66" s="56"/>
      <c r="I66" s="57"/>
      <c r="J66" s="57"/>
      <c r="K66" s="56"/>
      <c r="L66" s="57"/>
      <c r="M66" s="57"/>
      <c r="N66" s="58"/>
      <c r="O66" s="59"/>
      <c r="P66" s="59"/>
      <c r="Q66" s="59"/>
      <c r="R66" s="60"/>
      <c r="S66" s="43"/>
      <c r="T66" s="43"/>
      <c r="U66" s="43"/>
      <c r="V66" s="61"/>
    </row>
    <row r="67" customFormat="false" ht="12.75" hidden="false" customHeight="false" outlineLevel="0" collapsed="false">
      <c r="D67" s="43"/>
      <c r="E67" s="56"/>
      <c r="F67" s="57"/>
      <c r="G67" s="57"/>
      <c r="H67" s="56"/>
      <c r="I67" s="57"/>
      <c r="J67" s="57"/>
      <c r="K67" s="56"/>
      <c r="L67" s="57"/>
      <c r="M67" s="57"/>
      <c r="N67" s="58"/>
      <c r="O67" s="59"/>
      <c r="P67" s="59"/>
      <c r="Q67" s="59"/>
      <c r="R67" s="60"/>
      <c r="S67" s="43"/>
      <c r="T67" s="43"/>
      <c r="U67" s="43"/>
      <c r="V67" s="61"/>
    </row>
    <row r="68" customFormat="false" ht="12.75" hidden="false" customHeight="false" outlineLevel="0" collapsed="false">
      <c r="D68" s="43"/>
      <c r="E68" s="56"/>
      <c r="F68" s="57"/>
      <c r="G68" s="57"/>
      <c r="H68" s="56"/>
      <c r="I68" s="57"/>
      <c r="J68" s="57"/>
      <c r="K68" s="56"/>
      <c r="L68" s="57"/>
      <c r="M68" s="57"/>
      <c r="N68" s="58"/>
      <c r="O68" s="59"/>
      <c r="P68" s="59"/>
      <c r="Q68" s="59"/>
      <c r="R68" s="60"/>
      <c r="S68" s="43"/>
      <c r="T68" s="43"/>
      <c r="U68" s="43"/>
      <c r="V68" s="61"/>
    </row>
    <row r="69" customFormat="false" ht="12.75" hidden="false" customHeight="false" outlineLevel="0" collapsed="false">
      <c r="D69" s="43"/>
      <c r="E69" s="56"/>
      <c r="F69" s="57"/>
      <c r="G69" s="57"/>
      <c r="H69" s="56"/>
      <c r="I69" s="57"/>
      <c r="J69" s="57"/>
      <c r="K69" s="56"/>
      <c r="L69" s="57"/>
      <c r="M69" s="57"/>
      <c r="N69" s="58"/>
      <c r="O69" s="59"/>
      <c r="P69" s="59"/>
      <c r="Q69" s="59"/>
      <c r="R69" s="60"/>
      <c r="S69" s="43"/>
      <c r="T69" s="43"/>
      <c r="U69" s="43"/>
      <c r="V69" s="61"/>
    </row>
    <row r="70" customFormat="false" ht="12.75" hidden="false" customHeight="false" outlineLevel="0" collapsed="false">
      <c r="D70" s="43"/>
      <c r="E70" s="56"/>
      <c r="F70" s="57"/>
      <c r="G70" s="57"/>
      <c r="H70" s="56"/>
      <c r="I70" s="57"/>
      <c r="J70" s="57"/>
      <c r="K70" s="56"/>
      <c r="L70" s="57"/>
      <c r="M70" s="57"/>
      <c r="N70" s="58"/>
      <c r="O70" s="59"/>
      <c r="P70" s="59"/>
      <c r="Q70" s="59"/>
      <c r="R70" s="60"/>
      <c r="S70" s="43"/>
      <c r="T70" s="43"/>
      <c r="U70" s="43"/>
      <c r="V70" s="61"/>
    </row>
    <row r="71" customFormat="false" ht="12.75" hidden="false" customHeight="false" outlineLevel="0" collapsed="false">
      <c r="D71" s="43"/>
      <c r="E71" s="56"/>
      <c r="F71" s="57"/>
      <c r="G71" s="57"/>
      <c r="H71" s="56"/>
      <c r="I71" s="57"/>
      <c r="J71" s="57"/>
      <c r="K71" s="56"/>
      <c r="L71" s="57"/>
      <c r="M71" s="57"/>
      <c r="N71" s="58"/>
      <c r="O71" s="59"/>
      <c r="P71" s="59"/>
      <c r="Q71" s="59"/>
      <c r="R71" s="60"/>
      <c r="S71" s="43"/>
      <c r="T71" s="43"/>
      <c r="U71" s="43"/>
      <c r="V71" s="61"/>
    </row>
    <row r="72" customFormat="false" ht="12.75" hidden="false" customHeight="false" outlineLevel="0" collapsed="false">
      <c r="D72" s="43"/>
      <c r="E72" s="56"/>
      <c r="F72" s="57"/>
      <c r="G72" s="57"/>
      <c r="H72" s="56"/>
      <c r="I72" s="57"/>
      <c r="J72" s="57"/>
      <c r="K72" s="56"/>
      <c r="L72" s="57"/>
      <c r="M72" s="57"/>
      <c r="N72" s="58"/>
      <c r="O72" s="59"/>
      <c r="P72" s="59"/>
      <c r="Q72" s="59"/>
      <c r="R72" s="60"/>
      <c r="S72" s="43"/>
      <c r="T72" s="43"/>
      <c r="U72" s="43"/>
      <c r="V72" s="61"/>
    </row>
    <row r="73" customFormat="false" ht="12.75" hidden="false" customHeight="false" outlineLevel="0" collapsed="false">
      <c r="D73" s="43"/>
      <c r="E73" s="56"/>
      <c r="F73" s="57"/>
      <c r="G73" s="57"/>
      <c r="H73" s="56"/>
      <c r="I73" s="57"/>
      <c r="J73" s="57"/>
      <c r="K73" s="56"/>
      <c r="L73" s="57"/>
      <c r="M73" s="57"/>
      <c r="N73" s="58"/>
      <c r="O73" s="59"/>
      <c r="P73" s="59"/>
      <c r="Q73" s="59"/>
      <c r="R73" s="60"/>
      <c r="S73" s="43"/>
      <c r="T73" s="43"/>
      <c r="U73" s="43"/>
      <c r="V73" s="61"/>
    </row>
    <row r="74" customFormat="false" ht="12.75" hidden="false" customHeight="false" outlineLevel="0" collapsed="false">
      <c r="D74" s="43"/>
      <c r="E74" s="56"/>
      <c r="F74" s="57"/>
      <c r="G74" s="57"/>
      <c r="H74" s="56"/>
      <c r="I74" s="57"/>
      <c r="J74" s="57"/>
      <c r="K74" s="56"/>
      <c r="L74" s="57"/>
      <c r="M74" s="57"/>
      <c r="N74" s="58"/>
      <c r="O74" s="59"/>
      <c r="P74" s="59"/>
      <c r="Q74" s="59"/>
      <c r="R74" s="60"/>
      <c r="S74" s="43"/>
      <c r="T74" s="43"/>
      <c r="U74" s="43"/>
      <c r="V74" s="61"/>
    </row>
    <row r="75" customFormat="false" ht="12.75" hidden="false" customHeight="false" outlineLevel="0" collapsed="false">
      <c r="D75" s="43"/>
      <c r="E75" s="56"/>
      <c r="F75" s="57"/>
      <c r="G75" s="57"/>
      <c r="H75" s="56"/>
      <c r="I75" s="57"/>
      <c r="J75" s="57"/>
      <c r="K75" s="56"/>
      <c r="L75" s="57"/>
      <c r="M75" s="57"/>
      <c r="N75" s="58"/>
      <c r="O75" s="59"/>
      <c r="P75" s="59"/>
      <c r="Q75" s="59"/>
      <c r="R75" s="60"/>
      <c r="S75" s="43"/>
      <c r="T75" s="43"/>
      <c r="U75" s="43"/>
      <c r="V75" s="61"/>
    </row>
    <row r="76" customFormat="false" ht="12.75" hidden="false" customHeight="false" outlineLevel="0" collapsed="false">
      <c r="D76" s="43"/>
      <c r="E76" s="56"/>
      <c r="F76" s="57"/>
      <c r="G76" s="57"/>
      <c r="H76" s="56"/>
      <c r="I76" s="57"/>
      <c r="J76" s="57"/>
      <c r="K76" s="56"/>
      <c r="L76" s="57"/>
      <c r="M76" s="57"/>
      <c r="N76" s="58"/>
      <c r="O76" s="59"/>
      <c r="P76" s="59"/>
      <c r="Q76" s="59"/>
      <c r="R76" s="60"/>
      <c r="S76" s="43"/>
      <c r="T76" s="43"/>
      <c r="U76" s="43"/>
      <c r="V76" s="61"/>
    </row>
    <row r="77" customFormat="false" ht="12.75" hidden="false" customHeight="false" outlineLevel="0" collapsed="false">
      <c r="D77" s="43"/>
      <c r="E77" s="56"/>
      <c r="F77" s="57"/>
      <c r="G77" s="57"/>
      <c r="H77" s="56"/>
      <c r="I77" s="57"/>
      <c r="J77" s="57"/>
      <c r="K77" s="56"/>
      <c r="L77" s="57"/>
      <c r="M77" s="57"/>
      <c r="N77" s="58"/>
      <c r="O77" s="59"/>
      <c r="P77" s="59"/>
      <c r="Q77" s="59"/>
      <c r="R77" s="60"/>
      <c r="S77" s="43"/>
      <c r="T77" s="43"/>
      <c r="U77" s="43"/>
      <c r="V77" s="61"/>
    </row>
    <row r="78" customFormat="false" ht="12.75" hidden="false" customHeight="false" outlineLevel="0" collapsed="false">
      <c r="D78" s="43"/>
      <c r="E78" s="56"/>
      <c r="F78" s="57"/>
      <c r="G78" s="57"/>
      <c r="H78" s="56"/>
      <c r="I78" s="57"/>
      <c r="J78" s="57"/>
      <c r="K78" s="56"/>
      <c r="L78" s="57"/>
      <c r="M78" s="57"/>
      <c r="N78" s="58"/>
      <c r="O78" s="59"/>
      <c r="P78" s="59"/>
      <c r="Q78" s="59"/>
      <c r="R78" s="60"/>
      <c r="S78" s="43"/>
      <c r="T78" s="43"/>
      <c r="U78" s="43"/>
      <c r="V78" s="61"/>
    </row>
    <row r="79" customFormat="false" ht="12.75" hidden="false" customHeight="false" outlineLevel="0" collapsed="false">
      <c r="D79" s="43"/>
      <c r="E79" s="56"/>
      <c r="F79" s="57"/>
      <c r="G79" s="57"/>
      <c r="H79" s="56"/>
      <c r="I79" s="57"/>
      <c r="J79" s="57"/>
      <c r="K79" s="56"/>
      <c r="L79" s="57"/>
      <c r="M79" s="57"/>
      <c r="N79" s="58"/>
      <c r="O79" s="59"/>
      <c r="P79" s="59"/>
      <c r="Q79" s="59"/>
      <c r="R79" s="60"/>
      <c r="S79" s="43"/>
      <c r="T79" s="43"/>
      <c r="U79" s="43"/>
      <c r="V79" s="61"/>
    </row>
    <row r="80" customFormat="false" ht="12.75" hidden="false" customHeight="false" outlineLevel="0" collapsed="false">
      <c r="D80" s="43"/>
      <c r="E80" s="56"/>
      <c r="F80" s="57"/>
      <c r="G80" s="57"/>
      <c r="H80" s="56"/>
      <c r="I80" s="57"/>
      <c r="J80" s="57"/>
      <c r="K80" s="56"/>
      <c r="L80" s="57"/>
      <c r="M80" s="57"/>
      <c r="N80" s="58"/>
      <c r="O80" s="59"/>
      <c r="P80" s="59"/>
      <c r="Q80" s="59"/>
      <c r="R80" s="60"/>
      <c r="S80" s="43"/>
      <c r="T80" s="43"/>
      <c r="U80" s="43"/>
      <c r="V80" s="61"/>
    </row>
    <row r="81" customFormat="false" ht="12.75" hidden="false" customHeight="false" outlineLevel="0" collapsed="false">
      <c r="D81" s="43"/>
      <c r="E81" s="56"/>
      <c r="F81" s="57"/>
      <c r="G81" s="57"/>
      <c r="H81" s="56"/>
      <c r="I81" s="57"/>
      <c r="J81" s="57"/>
      <c r="K81" s="56"/>
      <c r="L81" s="57"/>
      <c r="M81" s="57"/>
      <c r="N81" s="58"/>
      <c r="O81" s="59"/>
      <c r="P81" s="59"/>
      <c r="Q81" s="59"/>
      <c r="R81" s="60"/>
      <c r="S81" s="43"/>
      <c r="T81" s="43"/>
      <c r="U81" s="43"/>
      <c r="V81" s="61"/>
    </row>
    <row r="82" customFormat="false" ht="12.75" hidden="false" customHeight="false" outlineLevel="0" collapsed="false">
      <c r="D82" s="43"/>
      <c r="E82" s="56"/>
      <c r="F82" s="57"/>
      <c r="G82" s="57"/>
      <c r="H82" s="56"/>
      <c r="I82" s="57"/>
      <c r="J82" s="57"/>
      <c r="K82" s="56"/>
      <c r="L82" s="57"/>
      <c r="M82" s="57"/>
      <c r="N82" s="58"/>
      <c r="O82" s="59"/>
      <c r="P82" s="59"/>
      <c r="Q82" s="59"/>
      <c r="R82" s="60"/>
      <c r="S82" s="43"/>
      <c r="T82" s="43"/>
      <c r="U82" s="43"/>
      <c r="V82" s="61"/>
    </row>
    <row r="83" customFormat="false" ht="12.75" hidden="false" customHeight="false" outlineLevel="0" collapsed="false">
      <c r="D83" s="43"/>
      <c r="E83" s="56"/>
      <c r="F83" s="57"/>
      <c r="G83" s="57"/>
      <c r="H83" s="56"/>
      <c r="I83" s="57"/>
      <c r="J83" s="57"/>
      <c r="K83" s="56"/>
      <c r="L83" s="57"/>
      <c r="M83" s="57"/>
      <c r="N83" s="58"/>
      <c r="O83" s="59"/>
      <c r="P83" s="59"/>
      <c r="Q83" s="59"/>
      <c r="R83" s="60"/>
      <c r="S83" s="43"/>
      <c r="T83" s="43"/>
      <c r="U83" s="43"/>
      <c r="V83" s="61"/>
    </row>
    <row r="84" customFormat="false" ht="12.75" hidden="false" customHeight="false" outlineLevel="0" collapsed="false">
      <c r="D84" s="43"/>
      <c r="E84" s="56"/>
      <c r="F84" s="57"/>
      <c r="G84" s="57"/>
      <c r="H84" s="56"/>
      <c r="I84" s="57"/>
      <c r="J84" s="57"/>
      <c r="K84" s="56"/>
      <c r="L84" s="57"/>
      <c r="M84" s="57"/>
      <c r="N84" s="58"/>
      <c r="O84" s="59"/>
      <c r="P84" s="59"/>
      <c r="Q84" s="59"/>
      <c r="R84" s="60"/>
      <c r="S84" s="43"/>
      <c r="T84" s="43"/>
      <c r="U84" s="43"/>
      <c r="V84" s="61"/>
    </row>
    <row r="85" customFormat="false" ht="12.75" hidden="false" customHeight="false" outlineLevel="0" collapsed="false">
      <c r="D85" s="43"/>
      <c r="E85" s="56"/>
      <c r="F85" s="57"/>
      <c r="G85" s="57"/>
      <c r="H85" s="56"/>
      <c r="I85" s="57"/>
      <c r="J85" s="57"/>
      <c r="K85" s="56"/>
      <c r="L85" s="57"/>
      <c r="M85" s="57"/>
      <c r="N85" s="58"/>
      <c r="O85" s="59"/>
      <c r="P85" s="59"/>
      <c r="Q85" s="59"/>
      <c r="R85" s="60"/>
      <c r="S85" s="43"/>
      <c r="T85" s="43"/>
      <c r="U85" s="43"/>
      <c r="V85" s="61"/>
    </row>
    <row r="86" customFormat="false" ht="12.75" hidden="false" customHeight="false" outlineLevel="0" collapsed="false">
      <c r="D86" s="43"/>
      <c r="E86" s="56"/>
      <c r="F86" s="57"/>
      <c r="G86" s="57"/>
      <c r="H86" s="56"/>
      <c r="I86" s="57"/>
      <c r="J86" s="57"/>
      <c r="K86" s="56"/>
      <c r="L86" s="57"/>
      <c r="M86" s="57"/>
      <c r="N86" s="58"/>
      <c r="O86" s="59"/>
      <c r="P86" s="59"/>
      <c r="Q86" s="59"/>
      <c r="R86" s="60"/>
      <c r="S86" s="43"/>
      <c r="T86" s="43"/>
      <c r="U86" s="43"/>
      <c r="V86" s="61"/>
    </row>
    <row r="87" customFormat="false" ht="12.75" hidden="false" customHeight="false" outlineLevel="0" collapsed="false">
      <c r="D87" s="43"/>
      <c r="E87" s="56"/>
      <c r="F87" s="57"/>
      <c r="G87" s="57"/>
      <c r="H87" s="56"/>
      <c r="I87" s="57"/>
      <c r="J87" s="57"/>
      <c r="K87" s="56"/>
      <c r="L87" s="57"/>
      <c r="M87" s="57"/>
      <c r="N87" s="58"/>
      <c r="O87" s="59"/>
      <c r="P87" s="59"/>
      <c r="Q87" s="59"/>
      <c r="R87" s="60"/>
      <c r="S87" s="43"/>
      <c r="T87" s="43"/>
      <c r="U87" s="43"/>
      <c r="V87" s="61"/>
    </row>
    <row r="88" customFormat="false" ht="12.75" hidden="false" customHeight="false" outlineLevel="0" collapsed="false">
      <c r="D88" s="43"/>
      <c r="E88" s="56"/>
      <c r="F88" s="57"/>
      <c r="G88" s="57"/>
      <c r="H88" s="56"/>
      <c r="I88" s="57"/>
      <c r="J88" s="57"/>
      <c r="K88" s="56"/>
      <c r="L88" s="57"/>
      <c r="M88" s="57"/>
      <c r="N88" s="58"/>
      <c r="O88" s="59"/>
      <c r="P88" s="59"/>
      <c r="Q88" s="59"/>
      <c r="R88" s="60"/>
      <c r="S88" s="43"/>
      <c r="T88" s="43"/>
      <c r="U88" s="43"/>
      <c r="V88" s="61"/>
    </row>
    <row r="89" customFormat="false" ht="12.75" hidden="false" customHeight="false" outlineLevel="0" collapsed="false">
      <c r="D89" s="43"/>
      <c r="E89" s="56"/>
      <c r="F89" s="57"/>
      <c r="G89" s="57"/>
      <c r="H89" s="56"/>
      <c r="I89" s="57"/>
      <c r="J89" s="57"/>
      <c r="K89" s="56"/>
      <c r="L89" s="57"/>
      <c r="M89" s="57"/>
      <c r="N89" s="58"/>
      <c r="O89" s="59"/>
      <c r="P89" s="59"/>
      <c r="Q89" s="59"/>
      <c r="R89" s="60"/>
      <c r="S89" s="43"/>
      <c r="T89" s="43"/>
      <c r="U89" s="43"/>
      <c r="V89" s="61"/>
    </row>
    <row r="90" customFormat="false" ht="12.75" hidden="false" customHeight="false" outlineLevel="0" collapsed="false">
      <c r="D90" s="43"/>
      <c r="E90" s="56"/>
      <c r="F90" s="57"/>
      <c r="G90" s="57"/>
      <c r="H90" s="56"/>
      <c r="I90" s="57"/>
      <c r="J90" s="57"/>
      <c r="K90" s="56"/>
      <c r="L90" s="57"/>
      <c r="M90" s="57"/>
      <c r="N90" s="58"/>
      <c r="O90" s="59"/>
      <c r="P90" s="59"/>
      <c r="Q90" s="59"/>
      <c r="R90" s="60"/>
      <c r="S90" s="43"/>
      <c r="T90" s="43"/>
      <c r="U90" s="43"/>
      <c r="V90" s="61"/>
    </row>
    <row r="91" customFormat="false" ht="12.75" hidden="false" customHeight="false" outlineLevel="0" collapsed="false">
      <c r="D91" s="43"/>
      <c r="E91" s="56"/>
      <c r="F91" s="57"/>
      <c r="G91" s="57"/>
      <c r="H91" s="56"/>
      <c r="I91" s="57"/>
      <c r="J91" s="57"/>
      <c r="K91" s="56"/>
      <c r="L91" s="57"/>
      <c r="M91" s="57"/>
      <c r="N91" s="58"/>
      <c r="O91" s="59"/>
      <c r="P91" s="59"/>
      <c r="Q91" s="59"/>
      <c r="R91" s="60"/>
      <c r="S91" s="43"/>
      <c r="T91" s="43"/>
      <c r="U91" s="43"/>
      <c r="V91" s="61"/>
    </row>
    <row r="92" customFormat="false" ht="12.75" hidden="false" customHeight="false" outlineLevel="0" collapsed="false">
      <c r="D92" s="43"/>
      <c r="E92" s="56"/>
      <c r="F92" s="57"/>
      <c r="G92" s="57"/>
      <c r="H92" s="56"/>
      <c r="I92" s="57"/>
      <c r="J92" s="57"/>
      <c r="K92" s="56"/>
      <c r="L92" s="57"/>
      <c r="M92" s="57"/>
      <c r="N92" s="58"/>
      <c r="O92" s="59"/>
      <c r="P92" s="59"/>
      <c r="Q92" s="59"/>
      <c r="R92" s="60"/>
      <c r="S92" s="43"/>
      <c r="T92" s="43"/>
      <c r="U92" s="43"/>
      <c r="V92" s="61"/>
    </row>
    <row r="93" customFormat="false" ht="12.75" hidden="false" customHeight="false" outlineLevel="0" collapsed="false">
      <c r="D93" s="43"/>
      <c r="E93" s="56"/>
      <c r="F93" s="57"/>
      <c r="G93" s="57"/>
      <c r="H93" s="56"/>
      <c r="I93" s="57"/>
      <c r="J93" s="57"/>
      <c r="K93" s="56"/>
      <c r="L93" s="57"/>
      <c r="M93" s="57"/>
      <c r="N93" s="58"/>
      <c r="O93" s="59"/>
      <c r="P93" s="59"/>
      <c r="Q93" s="59"/>
      <c r="R93" s="60"/>
      <c r="S93" s="43"/>
      <c r="T93" s="43"/>
      <c r="U93" s="43"/>
      <c r="V93" s="61"/>
    </row>
    <row r="94" customFormat="false" ht="12.75" hidden="false" customHeight="false" outlineLevel="0" collapsed="false">
      <c r="D94" s="43"/>
      <c r="E94" s="56"/>
      <c r="F94" s="57"/>
      <c r="G94" s="57"/>
      <c r="H94" s="56"/>
      <c r="I94" s="57"/>
      <c r="J94" s="57"/>
      <c r="K94" s="56"/>
      <c r="L94" s="57"/>
      <c r="M94" s="57"/>
      <c r="N94" s="58"/>
      <c r="O94" s="59"/>
      <c r="P94" s="59"/>
      <c r="Q94" s="59"/>
      <c r="R94" s="60"/>
      <c r="S94" s="43"/>
      <c r="T94" s="43"/>
      <c r="U94" s="43"/>
      <c r="V94" s="61"/>
    </row>
    <row r="95" customFormat="false" ht="12.75" hidden="false" customHeight="false" outlineLevel="0" collapsed="false">
      <c r="D95" s="43"/>
      <c r="E95" s="56"/>
      <c r="F95" s="57"/>
      <c r="G95" s="57"/>
      <c r="H95" s="56"/>
      <c r="I95" s="57"/>
      <c r="J95" s="57"/>
      <c r="K95" s="56"/>
      <c r="L95" s="57"/>
      <c r="M95" s="57"/>
      <c r="N95" s="58"/>
      <c r="O95" s="59"/>
      <c r="P95" s="59"/>
      <c r="Q95" s="59"/>
      <c r="R95" s="60"/>
      <c r="S95" s="43"/>
      <c r="T95" s="43"/>
      <c r="U95" s="43"/>
      <c r="V95" s="61"/>
    </row>
    <row r="96" customFormat="false" ht="12.75" hidden="false" customHeight="false" outlineLevel="0" collapsed="false">
      <c r="D96" s="43"/>
      <c r="E96" s="56"/>
      <c r="F96" s="57"/>
      <c r="G96" s="57"/>
      <c r="H96" s="56"/>
      <c r="I96" s="57"/>
      <c r="J96" s="57"/>
      <c r="K96" s="56"/>
      <c r="L96" s="57"/>
      <c r="M96" s="57"/>
      <c r="N96" s="58"/>
      <c r="O96" s="59"/>
      <c r="P96" s="59"/>
      <c r="Q96" s="59"/>
      <c r="R96" s="60"/>
      <c r="S96" s="43"/>
      <c r="T96" s="43"/>
      <c r="U96" s="43"/>
      <c r="V96" s="61"/>
    </row>
    <row r="97" customFormat="false" ht="12.75" hidden="false" customHeight="false" outlineLevel="0" collapsed="false">
      <c r="D97" s="43"/>
      <c r="E97" s="56"/>
      <c r="F97" s="57"/>
      <c r="G97" s="57"/>
      <c r="H97" s="56"/>
      <c r="I97" s="57"/>
      <c r="J97" s="57"/>
      <c r="K97" s="56"/>
      <c r="L97" s="57"/>
      <c r="M97" s="57"/>
      <c r="N97" s="58"/>
      <c r="O97" s="59"/>
      <c r="P97" s="59"/>
      <c r="Q97" s="59"/>
      <c r="R97" s="60"/>
      <c r="S97" s="43"/>
      <c r="T97" s="43"/>
      <c r="U97" s="43"/>
      <c r="V97" s="61"/>
    </row>
    <row r="98" customFormat="false" ht="12.75" hidden="false" customHeight="false" outlineLevel="0" collapsed="false">
      <c r="D98" s="43"/>
      <c r="E98" s="56"/>
      <c r="F98" s="57"/>
      <c r="G98" s="57"/>
      <c r="H98" s="56"/>
      <c r="I98" s="57"/>
      <c r="J98" s="57"/>
      <c r="K98" s="56"/>
      <c r="L98" s="57"/>
      <c r="M98" s="57"/>
      <c r="N98" s="58"/>
      <c r="O98" s="59"/>
      <c r="P98" s="59"/>
      <c r="Q98" s="59"/>
      <c r="R98" s="60"/>
      <c r="S98" s="43"/>
      <c r="T98" s="43"/>
      <c r="U98" s="43"/>
      <c r="V98" s="61"/>
    </row>
    <row r="99" customFormat="false" ht="12.75" hidden="false" customHeight="false" outlineLevel="0" collapsed="false">
      <c r="D99" s="43"/>
      <c r="E99" s="56"/>
      <c r="F99" s="57"/>
      <c r="G99" s="57"/>
      <c r="H99" s="56"/>
      <c r="I99" s="57"/>
      <c r="J99" s="57"/>
      <c r="K99" s="56"/>
      <c r="L99" s="57"/>
      <c r="M99" s="57"/>
      <c r="N99" s="58"/>
      <c r="O99" s="59"/>
      <c r="P99" s="59"/>
      <c r="Q99" s="59"/>
      <c r="R99" s="60"/>
      <c r="S99" s="43"/>
      <c r="T99" s="43"/>
      <c r="U99" s="43"/>
      <c r="V99" s="61"/>
    </row>
    <row r="100" customFormat="false" ht="12.75" hidden="false" customHeight="false" outlineLevel="0" collapsed="false">
      <c r="D100" s="43"/>
      <c r="E100" s="56"/>
      <c r="F100" s="57"/>
      <c r="G100" s="57"/>
      <c r="H100" s="56"/>
      <c r="I100" s="57"/>
      <c r="J100" s="57"/>
      <c r="K100" s="56"/>
      <c r="L100" s="57"/>
      <c r="M100" s="57"/>
      <c r="N100" s="58"/>
      <c r="O100" s="59"/>
      <c r="P100" s="59"/>
      <c r="Q100" s="59"/>
      <c r="R100" s="60"/>
      <c r="S100" s="43"/>
      <c r="T100" s="43"/>
      <c r="U100" s="43"/>
      <c r="V100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U1322"/>
  <sheetViews>
    <sheetView showFormulas="false" showGridLines="true" showRowColHeaders="true" showZeros="true" rightToLeft="false" tabSelected="false" showOutlineSymbols="true" defaultGridColor="true" view="normal" topLeftCell="D48" colorId="64" zoomScale="75" zoomScaleNormal="75" zoomScalePageLayoutView="100" workbookViewId="0">
      <selection pane="topLeft" activeCell="D57" activeCellId="0" sqref="D57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6.41"/>
    <col collapsed="false" customWidth="true" hidden="true" outlineLevel="0" max="2" min="2" style="0" width="8.7"/>
    <col collapsed="false" customWidth="true" hidden="true" outlineLevel="0" max="3" min="3" style="0" width="6.41"/>
    <col collapsed="false" customWidth="true" hidden="false" outlineLevel="0" max="4" min="4" style="62" width="13.28"/>
    <col collapsed="false" customWidth="true" hidden="false" outlineLevel="0" max="5" min="5" style="62" width="6.7"/>
    <col collapsed="false" customWidth="true" hidden="false" outlineLevel="0" max="6" min="6" style="62" width="8.56"/>
    <col collapsed="false" customWidth="true" hidden="false" outlineLevel="0" max="9" min="7" style="62" width="8.7"/>
    <col collapsed="false" customWidth="true" hidden="false" outlineLevel="0" max="10" min="10" style="62" width="5.99"/>
    <col collapsed="false" customWidth="true" hidden="false" outlineLevel="0" max="11" min="11" style="0" width="6.13"/>
    <col collapsed="false" customWidth="true" hidden="false" outlineLevel="0" max="14" min="12" style="0" width="7.14"/>
    <col collapsed="false" customWidth="true" hidden="false" outlineLevel="0" max="15" min="15" style="0" width="12.7"/>
    <col collapsed="false" customWidth="true" hidden="false" outlineLevel="0" max="18" min="16" style="0" width="12.42"/>
    <col collapsed="false" customWidth="true" hidden="false" outlineLevel="0" max="19" min="19" style="0" width="9.7"/>
    <col collapsed="false" customWidth="true" hidden="false" outlineLevel="0" max="20" min="20" style="62" width="12.42"/>
    <col collapsed="false" customWidth="true" hidden="false" outlineLevel="0" max="21" min="21" style="62" width="4.56"/>
    <col collapsed="false" customWidth="true" hidden="false" outlineLevel="0" max="22" min="22" style="62" width="8.56"/>
    <col collapsed="false" customWidth="true" hidden="false" outlineLevel="0" max="23" min="23" style="62" width="6.7"/>
    <col collapsed="false" customWidth="true" hidden="false" outlineLevel="0" max="24" min="24" style="62" width="8.99"/>
    <col collapsed="false" customWidth="true" hidden="false" outlineLevel="0" max="25" min="25" style="62" width="6.99"/>
    <col collapsed="false" customWidth="true" hidden="false" outlineLevel="0" max="26" min="26" style="62" width="7.28"/>
    <col collapsed="false" customWidth="true" hidden="false" outlineLevel="0" max="27" min="27" style="62" width="6.13"/>
    <col collapsed="false" customWidth="true" hidden="false" outlineLevel="0" max="28" min="28" style="62" width="5.99"/>
    <col collapsed="false" customWidth="true" hidden="false" outlineLevel="0" max="29" min="29" style="0" width="6.13"/>
    <col collapsed="false" customWidth="true" hidden="false" outlineLevel="0" max="30" min="30" style="0" width="7.14"/>
    <col collapsed="false" customWidth="true" hidden="false" outlineLevel="0" max="31" min="31" style="0" width="6.13"/>
    <col collapsed="false" customWidth="true" hidden="false" outlineLevel="0" max="32" min="32" style="0" width="5.99"/>
    <col collapsed="false" customWidth="true" hidden="false" outlineLevel="0" max="33" min="33" style="62" width="5.99"/>
    <col collapsed="false" customWidth="true" hidden="false" outlineLevel="0" max="34" min="34" style="0" width="6.13"/>
    <col collapsed="false" customWidth="true" hidden="false" outlineLevel="0" max="35" min="35" style="0" width="7.14"/>
    <col collapsed="false" customWidth="true" hidden="false" outlineLevel="0" max="36" min="36" style="0" width="6.13"/>
    <col collapsed="false" customWidth="true" hidden="false" outlineLevel="0" max="38" min="37" style="0" width="5.99"/>
    <col collapsed="false" customWidth="true" hidden="false" outlineLevel="0" max="39" min="39" style="0" width="6.99"/>
    <col collapsed="false" customWidth="true" hidden="false" outlineLevel="0" max="40" min="40" style="0" width="7.7"/>
    <col collapsed="false" customWidth="true" hidden="false" outlineLevel="0" max="41" min="41" style="0" width="8.28"/>
    <col collapsed="false" customWidth="true" hidden="false" outlineLevel="0" max="42" min="42" style="0" width="9.56"/>
    <col collapsed="false" customWidth="true" hidden="false" outlineLevel="0" max="45" min="43" style="0" width="6.99"/>
    <col collapsed="false" customWidth="true" hidden="false" outlineLevel="0" max="46" min="46" style="0" width="6.56"/>
    <col collapsed="false" customWidth="true" hidden="false" outlineLevel="0" max="47" min="47" style="0" width="6.13"/>
    <col collapsed="false" customWidth="true" hidden="false" outlineLevel="0" max="48" min="48" style="0" width="8.28"/>
    <col collapsed="false" customWidth="true" hidden="false" outlineLevel="0" max="49" min="49" style="0" width="6.99"/>
    <col collapsed="false" customWidth="true" hidden="false" outlineLevel="0" max="50" min="50" style="0" width="8.41"/>
    <col collapsed="false" customWidth="true" hidden="false" outlineLevel="0" max="51" min="51" style="0" width="8.28"/>
    <col collapsed="false" customWidth="true" hidden="false" outlineLevel="0" max="52" min="52" style="0" width="12.56"/>
    <col collapsed="false" customWidth="true" hidden="false" outlineLevel="0" max="53" min="53" style="62" width="4.56"/>
    <col collapsed="false" customWidth="true" hidden="false" outlineLevel="0" max="54" min="54" style="0" width="10.28"/>
    <col collapsed="false" customWidth="true" hidden="false" outlineLevel="0" max="66" min="61" style="0" width="7.99"/>
    <col collapsed="false" customWidth="true" hidden="false" outlineLevel="0" max="67" min="67" style="0" width="6.99"/>
    <col collapsed="false" customWidth="true" hidden="false" outlineLevel="0" max="68" min="68" style="0" width="3.42"/>
    <col collapsed="false" customWidth="true" hidden="false" outlineLevel="0" max="69" min="69" style="63" width="8.7"/>
    <col collapsed="false" customWidth="true" hidden="false" outlineLevel="0" max="70" min="70" style="63" width="9.99"/>
    <col collapsed="false" customWidth="true" hidden="false" outlineLevel="0" max="71" min="71" style="64" width="12.56"/>
    <col collapsed="false" customWidth="true" hidden="false" outlineLevel="0" max="76" min="72" style="63" width="12.42"/>
    <col collapsed="false" customWidth="true" hidden="false" outlineLevel="0" max="77" min="77" style="0" width="3.85"/>
    <col collapsed="false" customWidth="true" hidden="false" outlineLevel="0" max="80" min="80" style="63" width="7.56"/>
    <col collapsed="false" customWidth="true" hidden="false" outlineLevel="0" max="82" min="81" style="63" width="8.41"/>
    <col collapsed="false" customWidth="true" hidden="false" outlineLevel="0" max="83" min="83" style="63" width="8.14"/>
    <col collapsed="false" customWidth="true" hidden="false" outlineLevel="0" max="84" min="84" style="0" width="4.41"/>
    <col collapsed="false" customWidth="true" hidden="false" outlineLevel="0" max="85" min="85" style="0" width="9.7"/>
    <col collapsed="false" customWidth="true" hidden="false" outlineLevel="0" max="97" min="86" style="65" width="7.99"/>
    <col collapsed="false" customWidth="true" hidden="false" outlineLevel="0" max="98" min="98" style="0" width="3.85"/>
    <col collapsed="false" customWidth="true" hidden="false" outlineLevel="0" max="111" min="100" style="65" width="7.42"/>
    <col collapsed="false" customWidth="true" hidden="false" outlineLevel="0" max="112" min="112" style="0" width="3.56"/>
    <col collapsed="false" customWidth="true" hidden="false" outlineLevel="0" max="125" min="114" style="65" width="9.14"/>
  </cols>
  <sheetData>
    <row r="1" customFormat="false" ht="12.75" hidden="false" customHeight="false" outlineLevel="0" collapsed="false">
      <c r="A1" s="2"/>
      <c r="B1" s="3"/>
      <c r="C1" s="3"/>
      <c r="D1" s="66" t="str">
        <f aca="false">INDEX(RegionTable,MATCH(fRegion,RegionList,0),2)</f>
        <v>Alberta</v>
      </c>
      <c r="E1" s="51" t="s">
        <v>60</v>
      </c>
      <c r="F1" s="3"/>
      <c r="G1" s="3"/>
      <c r="H1" s="3"/>
      <c r="I1" s="67" t="s">
        <v>61</v>
      </c>
      <c r="J1" s="51" t="s">
        <v>62</v>
      </c>
      <c r="K1" s="3"/>
      <c r="L1" s="3"/>
      <c r="M1" s="3"/>
      <c r="N1" s="3"/>
      <c r="O1" s="51" t="s">
        <v>63</v>
      </c>
      <c r="P1" s="68"/>
      <c r="Q1" s="68"/>
      <c r="R1" s="68"/>
      <c r="S1" s="69" t="s">
        <v>64</v>
      </c>
      <c r="T1" s="70" t="n">
        <f aca="false">SUM(T3:T273)</f>
        <v>-1603629.33642578</v>
      </c>
      <c r="W1" s="51" t="s">
        <v>65</v>
      </c>
      <c r="X1" s="3"/>
      <c r="Y1" s="3"/>
      <c r="Z1" s="3"/>
      <c r="AA1" s="71"/>
      <c r="AB1" s="51" t="s">
        <v>66</v>
      </c>
      <c r="AC1" s="3"/>
      <c r="AD1" s="3"/>
      <c r="AE1" s="3"/>
      <c r="AF1" s="53"/>
      <c r="AG1" s="51" t="s">
        <v>67</v>
      </c>
      <c r="AH1" s="3"/>
      <c r="AI1" s="3"/>
      <c r="AJ1" s="3"/>
      <c r="AK1" s="53"/>
      <c r="AL1" s="72" t="s">
        <v>68</v>
      </c>
      <c r="AM1" s="53"/>
      <c r="AN1" s="72" t="s">
        <v>69</v>
      </c>
      <c r="AO1" s="33"/>
      <c r="AP1" s="33"/>
      <c r="AQ1" s="73" t="s">
        <v>70</v>
      </c>
      <c r="AR1" s="33"/>
      <c r="AS1" s="33"/>
      <c r="AT1" s="73" t="s">
        <v>71</v>
      </c>
      <c r="AU1" s="33"/>
      <c r="AV1" s="33"/>
      <c r="AW1" s="73" t="s">
        <v>72</v>
      </c>
      <c r="AX1" s="33"/>
      <c r="AY1" s="33"/>
      <c r="AZ1" s="73" t="s">
        <v>73</v>
      </c>
      <c r="BA1" s="74"/>
      <c r="BQ1" s="75"/>
      <c r="BR1" s="76" t="n">
        <f aca="false">COUNTA(EnergyCurve!$BS:$BS)-1</f>
        <v>272</v>
      </c>
      <c r="BS1" s="77"/>
      <c r="BT1" s="51" t="s">
        <v>63</v>
      </c>
      <c r="BU1" s="68"/>
      <c r="BV1" s="68"/>
      <c r="BW1" s="68"/>
      <c r="BX1" s="78"/>
      <c r="BZ1" s="79" t="s">
        <v>74</v>
      </c>
      <c r="CA1" s="68"/>
      <c r="CB1" s="68"/>
      <c r="CC1" s="68"/>
      <c r="CD1" s="68"/>
      <c r="CE1" s="78"/>
    </row>
    <row r="2" customFormat="false" ht="27.75" hidden="false" customHeight="true" outlineLevel="0" collapsed="false">
      <c r="A2" s="80" t="s">
        <v>75</v>
      </c>
      <c r="B2" s="80" t="s">
        <v>76</v>
      </c>
      <c r="C2" s="3" t="s">
        <v>77</v>
      </c>
      <c r="D2" s="80" t="s">
        <v>78</v>
      </c>
      <c r="E2" s="81" t="s">
        <v>79</v>
      </c>
      <c r="F2" s="80" t="s">
        <v>80</v>
      </c>
      <c r="G2" s="80" t="s">
        <v>81</v>
      </c>
      <c r="H2" s="80" t="s">
        <v>82</v>
      </c>
      <c r="I2" s="80" t="s">
        <v>83</v>
      </c>
      <c r="J2" s="81" t="s">
        <v>79</v>
      </c>
      <c r="K2" s="80" t="s">
        <v>80</v>
      </c>
      <c r="L2" s="80" t="s">
        <v>81</v>
      </c>
      <c r="M2" s="80" t="s">
        <v>82</v>
      </c>
      <c r="N2" s="80" t="s">
        <v>83</v>
      </c>
      <c r="O2" s="82" t="s">
        <v>51</v>
      </c>
      <c r="P2" s="83" t="s">
        <v>52</v>
      </c>
      <c r="Q2" s="83" t="s">
        <v>84</v>
      </c>
      <c r="R2" s="83" t="s">
        <v>53</v>
      </c>
      <c r="S2" s="83" t="s">
        <v>85</v>
      </c>
      <c r="T2" s="84" t="s">
        <v>86</v>
      </c>
      <c r="W2" s="81" t="s">
        <v>79</v>
      </c>
      <c r="X2" s="80" t="s">
        <v>80</v>
      </c>
      <c r="Y2" s="80" t="s">
        <v>81</v>
      </c>
      <c r="Z2" s="80" t="s">
        <v>82</v>
      </c>
      <c r="AA2" s="80" t="s">
        <v>83</v>
      </c>
      <c r="AB2" s="81" t="s">
        <v>79</v>
      </c>
      <c r="AC2" s="80" t="s">
        <v>80</v>
      </c>
      <c r="AD2" s="80" t="s">
        <v>81</v>
      </c>
      <c r="AE2" s="80" t="s">
        <v>82</v>
      </c>
      <c r="AF2" s="85" t="s">
        <v>83</v>
      </c>
      <c r="AG2" s="81" t="s">
        <v>79</v>
      </c>
      <c r="AH2" s="80" t="s">
        <v>80</v>
      </c>
      <c r="AI2" s="80" t="s">
        <v>81</v>
      </c>
      <c r="AJ2" s="80" t="s">
        <v>82</v>
      </c>
      <c r="AK2" s="85" t="s">
        <v>83</v>
      </c>
      <c r="AL2" s="86" t="s">
        <v>87</v>
      </c>
      <c r="AM2" s="85" t="s">
        <v>88</v>
      </c>
      <c r="AN2" s="86" t="s">
        <v>89</v>
      </c>
      <c r="AO2" s="86" t="s">
        <v>82</v>
      </c>
      <c r="AP2" s="86" t="s">
        <v>83</v>
      </c>
      <c r="AQ2" s="81" t="s">
        <v>89</v>
      </c>
      <c r="AR2" s="86" t="s">
        <v>82</v>
      </c>
      <c r="AS2" s="86" t="s">
        <v>83</v>
      </c>
      <c r="AT2" s="81" t="s">
        <v>89</v>
      </c>
      <c r="AU2" s="86" t="s">
        <v>82</v>
      </c>
      <c r="AV2" s="86" t="s">
        <v>83</v>
      </c>
      <c r="AW2" s="81" t="s">
        <v>89</v>
      </c>
      <c r="AX2" s="86" t="s">
        <v>82</v>
      </c>
      <c r="AY2" s="86" t="s">
        <v>83</v>
      </c>
      <c r="AZ2" s="81" t="s">
        <v>90</v>
      </c>
      <c r="BA2" s="74"/>
      <c r="BQ2" s="87" t="s">
        <v>91</v>
      </c>
      <c r="BR2" s="88" t="s">
        <v>58</v>
      </c>
      <c r="BS2" s="81" t="s">
        <v>92</v>
      </c>
      <c r="BT2" s="82" t="s">
        <v>51</v>
      </c>
      <c r="BU2" s="83" t="s">
        <v>93</v>
      </c>
      <c r="BV2" s="89" t="s">
        <v>84</v>
      </c>
      <c r="BW2" s="83" t="s">
        <v>53</v>
      </c>
      <c r="BX2" s="84" t="s">
        <v>85</v>
      </c>
      <c r="BZ2" s="81" t="s">
        <v>92</v>
      </c>
      <c r="CA2" s="86" t="s">
        <v>51</v>
      </c>
      <c r="CB2" s="86" t="s">
        <v>52</v>
      </c>
      <c r="CC2" s="86" t="s">
        <v>84</v>
      </c>
      <c r="CD2" s="86" t="s">
        <v>53</v>
      </c>
      <c r="CE2" s="85" t="s">
        <v>85</v>
      </c>
      <c r="CG2" s="90" t="s">
        <v>94</v>
      </c>
      <c r="CU2" s="90" t="s">
        <v>95</v>
      </c>
      <c r="DI2" s="90" t="s">
        <v>96</v>
      </c>
    </row>
    <row r="3" customFormat="false" ht="12.75" hidden="false" customHeight="false" outlineLevel="0" collapsed="false">
      <c r="A3" s="91" t="n">
        <f aca="true">IF(ISERROR(MATCH(D3,iRefDt,0)),"",MATCH(D3,iRefDt,0))</f>
        <v>3</v>
      </c>
      <c r="B3" s="92" t="n">
        <f aca="false">MATCH(YEAR(D3),iSpreads)</f>
        <v>1</v>
      </c>
      <c r="C3" s="0" t="n">
        <f aca="false">MONTH(D3)</f>
        <v>1</v>
      </c>
      <c r="D3" s="93" t="n">
        <f aca="false">TopCurrDate+1</f>
        <v>36909</v>
      </c>
      <c r="E3" s="94" t="n">
        <f aca="false">VLOOKUP($D3,tblPriorPrice,2)</f>
        <v>158</v>
      </c>
      <c r="F3" s="95" t="n">
        <f aca="false">+[2]EnergyCurve!$D3</f>
        <v>-32</v>
      </c>
      <c r="G3" s="96" t="n">
        <f aca="false">E3+F3</f>
        <v>126</v>
      </c>
      <c r="H3" s="96" t="n">
        <f aca="true">G3+OFFSET($CU$4,$B3,$C3)</f>
        <v>121</v>
      </c>
      <c r="I3" s="96" t="n">
        <f aca="true">G3+OFFSET($DI$4,$B3,$C3)</f>
        <v>151</v>
      </c>
      <c r="J3" s="94" t="n">
        <f aca="false">VLOOKUP($D3,tblPriorPrice,3)</f>
        <v>90</v>
      </c>
      <c r="K3" s="95" t="n">
        <f aca="false">+[2]EnergyCurve!$G3</f>
        <v>-5</v>
      </c>
      <c r="L3" s="96" t="n">
        <f aca="false">J3+K3</f>
        <v>85</v>
      </c>
      <c r="M3" s="96" t="n">
        <f aca="true">$L3+OFFSET($CU$27,$B3,$C3)</f>
        <v>80</v>
      </c>
      <c r="N3" s="97" t="n">
        <f aca="true">$L3+OFFSET($DI$27,$B3,$C3)</f>
        <v>90</v>
      </c>
      <c r="O3" s="58" t="n">
        <f aca="true">IF($A3="",0,INDEX(tblPosn,$A3,2))</f>
        <v>2088.01538085938</v>
      </c>
      <c r="P3" s="59" t="n">
        <f aca="true">IF($A3="",0,INDEX(tblPosn,$A3,3))</f>
        <v>1044.00769042969</v>
      </c>
      <c r="Q3" s="59" t="n">
        <f aca="true">IF($A3="",0,INDEX(tblPosn,$A3,4))</f>
        <v>0</v>
      </c>
      <c r="R3" s="59" t="n">
        <f aca="true">IF($A3="",0,INDEX(tblPosn,$A3,5))</f>
        <v>0</v>
      </c>
      <c r="S3" s="59" t="n">
        <f aca="true">IF($A3="",0,INDEX(tblPosn,$A3,6))</f>
        <v>0</v>
      </c>
      <c r="T3" s="98" t="n">
        <f aca="false">O3*F3+P3*K3+R3*AC3+S3*AH3+Q3*X3</f>
        <v>-72036.5306396484</v>
      </c>
      <c r="V3" s="99"/>
      <c r="W3" s="100"/>
      <c r="X3" s="101" t="n">
        <f aca="false">F3</f>
        <v>-32</v>
      </c>
      <c r="Y3" s="102"/>
      <c r="Z3" s="102"/>
      <c r="AA3" s="102"/>
      <c r="AB3" s="100"/>
      <c r="AC3" s="101" t="n">
        <f aca="false">F3</f>
        <v>-32</v>
      </c>
      <c r="AD3" s="102"/>
      <c r="AE3" s="102"/>
      <c r="AF3" s="103"/>
      <c r="AG3" s="100"/>
      <c r="AH3" s="101" t="n">
        <f aca="false">IF(MONTH(D3)=MONTH($V$34),$AH$34,$AH$33)</f>
        <v>0</v>
      </c>
      <c r="AI3" s="102"/>
      <c r="AJ3" s="102"/>
      <c r="AK3" s="103"/>
      <c r="AL3" s="104"/>
      <c r="AM3" s="103"/>
      <c r="AN3" s="104"/>
      <c r="AO3" s="104"/>
      <c r="AP3" s="104"/>
      <c r="AQ3" s="100"/>
      <c r="AR3" s="104"/>
      <c r="AS3" s="104"/>
      <c r="AT3" s="100"/>
      <c r="AU3" s="104"/>
      <c r="AV3" s="104"/>
      <c r="AW3" s="100"/>
      <c r="AX3" s="104"/>
      <c r="AY3" s="104"/>
      <c r="AZ3" s="100"/>
      <c r="BA3" s="74"/>
      <c r="BB3" s="105" t="s">
        <v>94</v>
      </c>
      <c r="BC3" s="106"/>
      <c r="BD3" s="107"/>
      <c r="BQ3" s="108" t="n">
        <v>36907.7428240741</v>
      </c>
      <c r="BR3" s="109" t="n">
        <v>36907.743287037</v>
      </c>
      <c r="BS3" s="110" t="n">
        <v>36907</v>
      </c>
      <c r="BT3" s="111" t="n">
        <v>0</v>
      </c>
      <c r="BU3" s="112" t="n">
        <v>0</v>
      </c>
      <c r="BV3" s="112" t="n">
        <v>0</v>
      </c>
      <c r="BW3" s="112" t="n">
        <v>0</v>
      </c>
      <c r="BX3" s="113" t="n">
        <v>0</v>
      </c>
      <c r="BY3" s="114"/>
      <c r="BZ3" s="115" t="n">
        <v>36908</v>
      </c>
      <c r="CA3" s="116" t="n">
        <v>135</v>
      </c>
      <c r="CB3" s="116" t="n">
        <v>95</v>
      </c>
      <c r="CC3" s="116"/>
      <c r="CD3" s="116"/>
      <c r="CE3" s="117"/>
      <c r="CG3" s="105" t="s">
        <v>51</v>
      </c>
      <c r="CH3" s="118"/>
      <c r="CI3" s="118"/>
      <c r="CJ3" s="119"/>
      <c r="CU3" s="105" t="s">
        <v>51</v>
      </c>
      <c r="CV3" s="118"/>
      <c r="CW3" s="118"/>
      <c r="CX3" s="119"/>
      <c r="DI3" s="105" t="s">
        <v>51</v>
      </c>
      <c r="DJ3" s="118"/>
      <c r="DK3" s="118"/>
      <c r="DL3" s="119"/>
    </row>
    <row r="4" customFormat="false" ht="12.75" hidden="false" customHeight="false" outlineLevel="0" collapsed="false">
      <c r="A4" s="91" t="n">
        <f aca="true">IF(ISERROR(MATCH(D4,iRefDt,0)),"",MATCH(D4,iRefDt,0))</f>
        <v>4</v>
      </c>
      <c r="B4" s="92" t="n">
        <f aca="false">MATCH(YEAR(D4),iSpreads)</f>
        <v>1</v>
      </c>
      <c r="C4" s="0" t="n">
        <f aca="false">MONTH(D4)</f>
        <v>1</v>
      </c>
      <c r="D4" s="93" t="n">
        <f aca="false">D3+1</f>
        <v>36910</v>
      </c>
      <c r="E4" s="94" t="n">
        <f aca="false">VLOOKUP($D4,tblPriorPrice,2)</f>
        <v>158</v>
      </c>
      <c r="F4" s="95" t="n">
        <f aca="false">+[2]EnergyCurve!$D4</f>
        <v>-20</v>
      </c>
      <c r="G4" s="96" t="n">
        <f aca="false">E4+F4</f>
        <v>138</v>
      </c>
      <c r="H4" s="96" t="n">
        <f aca="true">G4+OFFSET($CU$4,$B4,$C4)</f>
        <v>133</v>
      </c>
      <c r="I4" s="96" t="n">
        <f aca="true">G4+OFFSET($DI$4,$B4,$C4)</f>
        <v>163</v>
      </c>
      <c r="J4" s="94" t="n">
        <f aca="false">VLOOKUP($D4,tblPriorPrice,3)</f>
        <v>90</v>
      </c>
      <c r="K4" s="95" t="n">
        <f aca="false">+[2]EnergyCurve!$G4</f>
        <v>-5</v>
      </c>
      <c r="L4" s="96" t="n">
        <f aca="false">J4+K4</f>
        <v>85</v>
      </c>
      <c r="M4" s="96" t="n">
        <f aca="true">$L4+OFFSET($CU$27,$B4,$C4)</f>
        <v>80</v>
      </c>
      <c r="N4" s="97" t="n">
        <f aca="true">$L4+OFFSET($DI$27,$B4,$C4)</f>
        <v>90</v>
      </c>
      <c r="O4" s="58" t="n">
        <f aca="true">IF($A4="",0,INDEX(tblPosn,$A4,2))</f>
        <v>2088.01538085938</v>
      </c>
      <c r="P4" s="59" t="n">
        <f aca="true">IF($A4="",0,INDEX(tblPosn,$A4,3))</f>
        <v>1044.00769042969</v>
      </c>
      <c r="Q4" s="59" t="n">
        <f aca="true">IF($A4="",0,INDEX(tblPosn,$A4,4))</f>
        <v>0</v>
      </c>
      <c r="R4" s="59" t="n">
        <f aca="true">IF($A4="",0,INDEX(tblPosn,$A4,5))</f>
        <v>0</v>
      </c>
      <c r="S4" s="59" t="n">
        <f aca="true">IF($A4="",0,INDEX(tblPosn,$A4,6))</f>
        <v>0</v>
      </c>
      <c r="T4" s="98" t="n">
        <f aca="false">O4*F4+P4*K4+R4*AC4+S4*AH4+Q4*X4</f>
        <v>-46980.3460693359</v>
      </c>
      <c r="V4" s="99"/>
      <c r="W4" s="100"/>
      <c r="X4" s="101" t="n">
        <f aca="false">F4</f>
        <v>-20</v>
      </c>
      <c r="Y4" s="102"/>
      <c r="Z4" s="102"/>
      <c r="AA4" s="102"/>
      <c r="AB4" s="100"/>
      <c r="AC4" s="101" t="n">
        <f aca="false">F4</f>
        <v>-20</v>
      </c>
      <c r="AD4" s="102"/>
      <c r="AE4" s="102"/>
      <c r="AF4" s="103"/>
      <c r="AG4" s="100"/>
      <c r="AH4" s="101" t="n">
        <f aca="false">IF(MONTH(D4)=MONTH($V$34),$AH$34,$AH$33)</f>
        <v>0</v>
      </c>
      <c r="AI4" s="102"/>
      <c r="AJ4" s="102"/>
      <c r="AK4" s="103"/>
      <c r="AL4" s="104"/>
      <c r="AM4" s="103"/>
      <c r="AN4" s="104"/>
      <c r="AO4" s="104"/>
      <c r="AP4" s="104"/>
      <c r="AQ4" s="100"/>
      <c r="AR4" s="104"/>
      <c r="AS4" s="104"/>
      <c r="AT4" s="100"/>
      <c r="AU4" s="104"/>
      <c r="AV4" s="104"/>
      <c r="AW4" s="100"/>
      <c r="AX4" s="104"/>
      <c r="AY4" s="104"/>
      <c r="AZ4" s="100"/>
      <c r="BA4" s="74"/>
      <c r="BB4" s="120" t="s">
        <v>97</v>
      </c>
      <c r="BC4" s="121" t="n">
        <v>1</v>
      </c>
      <c r="BD4" s="122" t="s">
        <v>98</v>
      </c>
      <c r="BQ4" s="108" t="n">
        <v>36907.7428240741</v>
      </c>
      <c r="BR4" s="109" t="n">
        <v>36907.743287037</v>
      </c>
      <c r="BS4" s="110" t="n">
        <v>36908</v>
      </c>
      <c r="BT4" s="111" t="n">
        <v>3721.07177734375</v>
      </c>
      <c r="BU4" s="112" t="n">
        <v>1860.53588867188</v>
      </c>
      <c r="BV4" s="112" t="n">
        <v>0</v>
      </c>
      <c r="BW4" s="112" t="n">
        <v>0</v>
      </c>
      <c r="BX4" s="113" t="n">
        <v>0</v>
      </c>
      <c r="BY4" s="114"/>
      <c r="BZ4" s="115" t="n">
        <v>36909</v>
      </c>
      <c r="CA4" s="116" t="n">
        <v>158</v>
      </c>
      <c r="CB4" s="116" t="n">
        <v>90</v>
      </c>
      <c r="CC4" s="116"/>
      <c r="CD4" s="116"/>
      <c r="CE4" s="117"/>
      <c r="CG4" s="123" t="s">
        <v>99</v>
      </c>
      <c r="CH4" s="124" t="s">
        <v>100</v>
      </c>
      <c r="CI4" s="124" t="s">
        <v>101</v>
      </c>
      <c r="CJ4" s="124" t="s">
        <v>102</v>
      </c>
      <c r="CK4" s="124" t="s">
        <v>103</v>
      </c>
      <c r="CL4" s="124" t="s">
        <v>104</v>
      </c>
      <c r="CM4" s="124" t="s">
        <v>105</v>
      </c>
      <c r="CN4" s="124" t="s">
        <v>106</v>
      </c>
      <c r="CO4" s="124" t="s">
        <v>107</v>
      </c>
      <c r="CP4" s="124" t="s">
        <v>108</v>
      </c>
      <c r="CQ4" s="124" t="s">
        <v>109</v>
      </c>
      <c r="CR4" s="124" t="s">
        <v>110</v>
      </c>
      <c r="CS4" s="124" t="s">
        <v>111</v>
      </c>
      <c r="CU4" s="125" t="s">
        <v>99</v>
      </c>
      <c r="CV4" s="126" t="s">
        <v>100</v>
      </c>
      <c r="CW4" s="126" t="s">
        <v>101</v>
      </c>
      <c r="CX4" s="126" t="s">
        <v>102</v>
      </c>
      <c r="CY4" s="126" t="s">
        <v>103</v>
      </c>
      <c r="CZ4" s="126" t="s">
        <v>104</v>
      </c>
      <c r="DA4" s="126" t="s">
        <v>105</v>
      </c>
      <c r="DB4" s="126" t="s">
        <v>106</v>
      </c>
      <c r="DC4" s="126" t="s">
        <v>107</v>
      </c>
      <c r="DD4" s="126" t="s">
        <v>108</v>
      </c>
      <c r="DE4" s="126" t="s">
        <v>109</v>
      </c>
      <c r="DF4" s="126" t="s">
        <v>110</v>
      </c>
      <c r="DG4" s="126" t="s">
        <v>111</v>
      </c>
      <c r="DI4" s="125" t="s">
        <v>99</v>
      </c>
      <c r="DJ4" s="126" t="s">
        <v>100</v>
      </c>
      <c r="DK4" s="126" t="s">
        <v>101</v>
      </c>
      <c r="DL4" s="126" t="s">
        <v>102</v>
      </c>
      <c r="DM4" s="126" t="s">
        <v>103</v>
      </c>
      <c r="DN4" s="126" t="s">
        <v>104</v>
      </c>
      <c r="DO4" s="126" t="s">
        <v>105</v>
      </c>
      <c r="DP4" s="126" t="s">
        <v>106</v>
      </c>
      <c r="DQ4" s="126" t="s">
        <v>107</v>
      </c>
      <c r="DR4" s="126" t="s">
        <v>108</v>
      </c>
      <c r="DS4" s="126" t="s">
        <v>109</v>
      </c>
      <c r="DT4" s="126" t="s">
        <v>110</v>
      </c>
      <c r="DU4" s="126" t="s">
        <v>111</v>
      </c>
    </row>
    <row r="5" customFormat="false" ht="12.75" hidden="false" customHeight="false" outlineLevel="0" collapsed="false">
      <c r="A5" s="91" t="n">
        <f aca="true">IF(ISERROR(MATCH(D5,iRefDt,0)),"",MATCH(D5,iRefDt,0))</f>
        <v>5</v>
      </c>
      <c r="B5" s="92" t="n">
        <f aca="false">MATCH(YEAR(D5),iSpreads)</f>
        <v>1</v>
      </c>
      <c r="C5" s="0" t="n">
        <f aca="false">MONTH(D5)</f>
        <v>1</v>
      </c>
      <c r="D5" s="93" t="n">
        <f aca="false">D4+1</f>
        <v>36911</v>
      </c>
      <c r="E5" s="94" t="n">
        <f aca="false">VLOOKUP($D5,tblPriorPrice,2)</f>
        <v>130</v>
      </c>
      <c r="F5" s="95" t="n">
        <f aca="false">+[2]EnergyCurve!$D5</f>
        <v>-10</v>
      </c>
      <c r="G5" s="96" t="n">
        <f aca="false">E5+F5</f>
        <v>120</v>
      </c>
      <c r="H5" s="96" t="n">
        <f aca="true">G5+OFFSET($CU$4,$B5,$C5)</f>
        <v>115</v>
      </c>
      <c r="I5" s="96" t="n">
        <f aca="true">G5+OFFSET($DI$4,$B5,$C5)</f>
        <v>145</v>
      </c>
      <c r="J5" s="94" t="n">
        <f aca="false">VLOOKUP($D5,tblPriorPrice,3)</f>
        <v>90</v>
      </c>
      <c r="K5" s="95" t="n">
        <f aca="false">+[2]EnergyCurve!$G5</f>
        <v>-5</v>
      </c>
      <c r="L5" s="96" t="n">
        <f aca="false">J5+K5</f>
        <v>85</v>
      </c>
      <c r="M5" s="96" t="n">
        <f aca="true">$L5+OFFSET($CU$27,$B5,$C5)</f>
        <v>80</v>
      </c>
      <c r="N5" s="97" t="n">
        <f aca="true">$L5+OFFSET($DI$27,$B5,$C5)</f>
        <v>90</v>
      </c>
      <c r="O5" s="58" t="n">
        <f aca="true">IF($A5="",0,INDEX(tblPosn,$A5,2))</f>
        <v>0</v>
      </c>
      <c r="P5" s="59" t="n">
        <f aca="true">IF($A5="",0,INDEX(tblPosn,$A5,3))</f>
        <v>1044.00756835938</v>
      </c>
      <c r="Q5" s="59" t="n">
        <f aca="true">IF($A5="",0,INDEX(tblPosn,$A5,4))</f>
        <v>2088.01538085938</v>
      </c>
      <c r="R5" s="59" t="n">
        <f aca="true">IF($A5="",0,INDEX(tblPosn,$A5,5))</f>
        <v>0</v>
      </c>
      <c r="S5" s="59" t="n">
        <f aca="true">IF($A5="",0,INDEX(tblPosn,$A5,6))</f>
        <v>0</v>
      </c>
      <c r="T5" s="98" t="n">
        <f aca="false">O5*F5+P5*K5+R5*AC5+S5*AH5+Q5*X5</f>
        <v>-26100.1916503906</v>
      </c>
      <c r="V5" s="99"/>
      <c r="W5" s="100"/>
      <c r="X5" s="101" t="n">
        <f aca="false">F5</f>
        <v>-10</v>
      </c>
      <c r="Y5" s="102"/>
      <c r="Z5" s="102"/>
      <c r="AA5" s="102"/>
      <c r="AB5" s="100"/>
      <c r="AC5" s="101" t="n">
        <f aca="false">F5</f>
        <v>-10</v>
      </c>
      <c r="AD5" s="102"/>
      <c r="AE5" s="102"/>
      <c r="AF5" s="103"/>
      <c r="AG5" s="100"/>
      <c r="AH5" s="101" t="n">
        <f aca="false">IF(MONTH(D5)=MONTH($V$34),$AH$34,$AH$33)</f>
        <v>0</v>
      </c>
      <c r="AI5" s="102"/>
      <c r="AJ5" s="102"/>
      <c r="AK5" s="103"/>
      <c r="AL5" s="104"/>
      <c r="AM5" s="103"/>
      <c r="AN5" s="104"/>
      <c r="AO5" s="104"/>
      <c r="AP5" s="104"/>
      <c r="AQ5" s="100"/>
      <c r="AR5" s="104"/>
      <c r="AS5" s="104"/>
      <c r="AT5" s="100"/>
      <c r="AU5" s="104"/>
      <c r="AV5" s="104"/>
      <c r="AW5" s="100"/>
      <c r="AX5" s="104"/>
      <c r="AY5" s="104"/>
      <c r="AZ5" s="100"/>
      <c r="BA5" s="74"/>
      <c r="BB5" s="120" t="s">
        <v>112</v>
      </c>
      <c r="BC5" s="127" t="n">
        <v>1</v>
      </c>
      <c r="BD5" s="122" t="s">
        <v>113</v>
      </c>
      <c r="BQ5" s="108" t="n">
        <v>36907.7428240741</v>
      </c>
      <c r="BR5" s="109" t="n">
        <v>36907.743287037</v>
      </c>
      <c r="BS5" s="110" t="n">
        <v>36909</v>
      </c>
      <c r="BT5" s="111" t="n">
        <v>2088.01538085938</v>
      </c>
      <c r="BU5" s="112" t="n">
        <v>1044.00769042969</v>
      </c>
      <c r="BV5" s="112" t="n">
        <v>0</v>
      </c>
      <c r="BW5" s="112" t="n">
        <v>0</v>
      </c>
      <c r="BX5" s="113" t="n">
        <v>0</v>
      </c>
      <c r="BY5" s="114"/>
      <c r="BZ5" s="115" t="n">
        <v>36910</v>
      </c>
      <c r="CA5" s="116" t="n">
        <v>158</v>
      </c>
      <c r="CB5" s="116" t="n">
        <v>90</v>
      </c>
      <c r="CC5" s="116"/>
      <c r="CD5" s="116"/>
      <c r="CE5" s="117"/>
      <c r="CG5" s="128" t="n">
        <f aca="false">BB10</f>
        <v>2001</v>
      </c>
      <c r="CH5" s="129" t="n">
        <v>0</v>
      </c>
      <c r="CI5" s="130" t="n">
        <v>0</v>
      </c>
      <c r="CJ5" s="130" t="n">
        <v>0</v>
      </c>
      <c r="CK5" s="130" t="n">
        <v>0</v>
      </c>
      <c r="CL5" s="130" t="n">
        <v>0</v>
      </c>
      <c r="CM5" s="130" t="n">
        <v>0</v>
      </c>
      <c r="CN5" s="130" t="n">
        <v>0</v>
      </c>
      <c r="CO5" s="130" t="n">
        <v>0</v>
      </c>
      <c r="CP5" s="130" t="n">
        <v>0</v>
      </c>
      <c r="CQ5" s="130" t="n">
        <v>0</v>
      </c>
      <c r="CR5" s="130" t="n">
        <v>0</v>
      </c>
      <c r="CS5" s="131" t="n">
        <v>0</v>
      </c>
      <c r="CU5" s="128" t="n">
        <f aca="false">BB10</f>
        <v>2001</v>
      </c>
      <c r="CV5" s="129" t="n">
        <v>-5</v>
      </c>
      <c r="CW5" s="130" t="n">
        <v>-5</v>
      </c>
      <c r="CX5" s="130" t="n">
        <v>-5</v>
      </c>
      <c r="CY5" s="130" t="n">
        <v>-5</v>
      </c>
      <c r="CZ5" s="130" t="n">
        <v>-5</v>
      </c>
      <c r="DA5" s="130" t="n">
        <v>-5</v>
      </c>
      <c r="DB5" s="130" t="n">
        <v>-5</v>
      </c>
      <c r="DC5" s="130" t="n">
        <v>-5</v>
      </c>
      <c r="DD5" s="130" t="n">
        <v>-5</v>
      </c>
      <c r="DE5" s="130" t="n">
        <v>-5</v>
      </c>
      <c r="DF5" s="130" t="n">
        <v>-5</v>
      </c>
      <c r="DG5" s="131" t="n">
        <v>-5</v>
      </c>
      <c r="DI5" s="128" t="n">
        <f aca="false">BB10</f>
        <v>2001</v>
      </c>
      <c r="DJ5" s="129" t="n">
        <v>25</v>
      </c>
      <c r="DK5" s="130" t="n">
        <v>25</v>
      </c>
      <c r="DL5" s="130" t="n">
        <v>25</v>
      </c>
      <c r="DM5" s="130" t="n">
        <v>25</v>
      </c>
      <c r="DN5" s="130" t="n">
        <v>25</v>
      </c>
      <c r="DO5" s="130" t="n">
        <v>25</v>
      </c>
      <c r="DP5" s="130" t="n">
        <v>25</v>
      </c>
      <c r="DQ5" s="130" t="n">
        <v>25</v>
      </c>
      <c r="DR5" s="130" t="n">
        <v>25</v>
      </c>
      <c r="DS5" s="130" t="n">
        <v>25</v>
      </c>
      <c r="DT5" s="130" t="n">
        <v>25</v>
      </c>
      <c r="DU5" s="131" t="n">
        <v>25</v>
      </c>
    </row>
    <row r="6" customFormat="false" ht="12.75" hidden="false" customHeight="false" outlineLevel="0" collapsed="false">
      <c r="A6" s="91" t="n">
        <f aca="true">IF(ISERROR(MATCH(D6,iRefDt,0)),"",MATCH(D6,iRefDt,0))</f>
        <v>6</v>
      </c>
      <c r="B6" s="92" t="n">
        <f aca="false">MATCH(YEAR(D6),iSpreads)</f>
        <v>1</v>
      </c>
      <c r="C6" s="0" t="n">
        <f aca="false">MONTH(D6)</f>
        <v>1</v>
      </c>
      <c r="D6" s="93" t="n">
        <f aca="false">D5+1</f>
        <v>36912</v>
      </c>
      <c r="E6" s="94" t="n">
        <f aca="false">VLOOKUP($D6,tblPriorPrice,2)</f>
        <v>120</v>
      </c>
      <c r="F6" s="95" t="n">
        <f aca="false">+[2]EnergyCurve!$D6</f>
        <v>-10</v>
      </c>
      <c r="G6" s="96" t="n">
        <f aca="false">E6+F6</f>
        <v>110</v>
      </c>
      <c r="H6" s="96" t="n">
        <f aca="true">G6+OFFSET($CU$4,$B6,$C6)</f>
        <v>105</v>
      </c>
      <c r="I6" s="96" t="n">
        <f aca="true">G6+OFFSET($DI$4,$B6,$C6)</f>
        <v>135</v>
      </c>
      <c r="J6" s="94" t="n">
        <f aca="false">VLOOKUP($D6,tblPriorPrice,3)</f>
        <v>90</v>
      </c>
      <c r="K6" s="95" t="n">
        <f aca="false">+[2]EnergyCurve!$G6</f>
        <v>-5</v>
      </c>
      <c r="L6" s="96" t="n">
        <f aca="false">J6+K6</f>
        <v>85</v>
      </c>
      <c r="M6" s="96" t="n">
        <f aca="true">$L6+OFFSET($CU$27,$B6,$C6)</f>
        <v>80</v>
      </c>
      <c r="N6" s="97" t="n">
        <f aca="true">$L6+OFFSET($DI$27,$B6,$C6)</f>
        <v>90</v>
      </c>
      <c r="O6" s="58" t="n">
        <f aca="true">IF($A6="",0,INDEX(tblPosn,$A6,2))</f>
        <v>0</v>
      </c>
      <c r="P6" s="59" t="n">
        <f aca="true">IF($A6="",0,INDEX(tblPosn,$A6,3))</f>
        <v>1044.00769042969</v>
      </c>
      <c r="Q6" s="59" t="n">
        <f aca="true">IF($A6="",0,INDEX(tblPosn,$A6,4))</f>
        <v>0</v>
      </c>
      <c r="R6" s="59" t="n">
        <f aca="true">IF($A6="",0,INDEX(tblPosn,$A6,5))</f>
        <v>2088.01538085938</v>
      </c>
      <c r="S6" s="59" t="n">
        <f aca="true">IF($A6="",0,INDEX(tblPosn,$A6,6))</f>
        <v>0</v>
      </c>
      <c r="T6" s="98" t="n">
        <f aca="false">O6*F6+P6*K6+R6*AC6+S6*AH6+Q6*X6</f>
        <v>-26100.1922607422</v>
      </c>
      <c r="V6" s="99"/>
      <c r="W6" s="100"/>
      <c r="X6" s="101" t="n">
        <f aca="false">F6</f>
        <v>-10</v>
      </c>
      <c r="Y6" s="102"/>
      <c r="Z6" s="102"/>
      <c r="AA6" s="102"/>
      <c r="AB6" s="100"/>
      <c r="AC6" s="101" t="n">
        <f aca="false">F6</f>
        <v>-10</v>
      </c>
      <c r="AD6" s="102"/>
      <c r="AE6" s="102"/>
      <c r="AF6" s="103"/>
      <c r="AG6" s="100"/>
      <c r="AH6" s="101" t="n">
        <f aca="false">IF(MONTH(D6)=MONTH($V$34),$AH$34,$AH$33)</f>
        <v>0</v>
      </c>
      <c r="AI6" s="102"/>
      <c r="AJ6" s="102"/>
      <c r="AK6" s="103"/>
      <c r="AL6" s="104"/>
      <c r="AM6" s="103"/>
      <c r="AN6" s="104"/>
      <c r="AO6" s="104"/>
      <c r="AP6" s="104"/>
      <c r="AQ6" s="100"/>
      <c r="AR6" s="104"/>
      <c r="AS6" s="104"/>
      <c r="AT6" s="100"/>
      <c r="AU6" s="104"/>
      <c r="AV6" s="104"/>
      <c r="AW6" s="100"/>
      <c r="AX6" s="104"/>
      <c r="AY6" s="104"/>
      <c r="AZ6" s="100"/>
      <c r="BA6" s="74"/>
      <c r="BB6" s="132" t="s">
        <v>114</v>
      </c>
      <c r="BC6" s="133" t="n">
        <v>1</v>
      </c>
      <c r="BD6" s="134"/>
      <c r="BQ6" s="108" t="n">
        <v>36907.7428240741</v>
      </c>
      <c r="BR6" s="109" t="n">
        <v>36907.743287037</v>
      </c>
      <c r="BS6" s="110" t="n">
        <v>36910</v>
      </c>
      <c r="BT6" s="111" t="n">
        <v>2088.01538085938</v>
      </c>
      <c r="BU6" s="112" t="n">
        <v>1044.00769042969</v>
      </c>
      <c r="BV6" s="112" t="n">
        <v>0</v>
      </c>
      <c r="BW6" s="112" t="n">
        <v>0</v>
      </c>
      <c r="BX6" s="113" t="n">
        <v>0</v>
      </c>
      <c r="BY6" s="114"/>
      <c r="BZ6" s="115" t="n">
        <v>36911</v>
      </c>
      <c r="CA6" s="116" t="n">
        <v>130</v>
      </c>
      <c r="CB6" s="116" t="n">
        <v>90</v>
      </c>
      <c r="CC6" s="116"/>
      <c r="CD6" s="116"/>
      <c r="CE6" s="117"/>
      <c r="CG6" s="135" t="n">
        <f aca="false">BB11</f>
        <v>2002</v>
      </c>
      <c r="CH6" s="136" t="n">
        <v>0</v>
      </c>
      <c r="CI6" s="137" t="n">
        <v>0</v>
      </c>
      <c r="CJ6" s="137" t="n">
        <v>0</v>
      </c>
      <c r="CK6" s="137" t="n">
        <v>0</v>
      </c>
      <c r="CL6" s="137" t="n">
        <v>0</v>
      </c>
      <c r="CM6" s="137" t="n">
        <v>0</v>
      </c>
      <c r="CN6" s="137" t="n">
        <v>0</v>
      </c>
      <c r="CO6" s="137" t="n">
        <v>0</v>
      </c>
      <c r="CP6" s="137" t="n">
        <v>0</v>
      </c>
      <c r="CQ6" s="137" t="n">
        <v>0</v>
      </c>
      <c r="CR6" s="137" t="n">
        <v>0</v>
      </c>
      <c r="CS6" s="138" t="n">
        <v>-30</v>
      </c>
      <c r="CU6" s="135" t="n">
        <f aca="false">BB11</f>
        <v>2002</v>
      </c>
      <c r="CV6" s="136" t="n">
        <v>-5</v>
      </c>
      <c r="CW6" s="137" t="n">
        <v>-5</v>
      </c>
      <c r="CX6" s="137" t="n">
        <v>-5</v>
      </c>
      <c r="CY6" s="137" t="n">
        <v>-5</v>
      </c>
      <c r="CZ6" s="137" t="n">
        <v>-5</v>
      </c>
      <c r="DA6" s="137" t="n">
        <v>-5</v>
      </c>
      <c r="DB6" s="137" t="n">
        <v>-5</v>
      </c>
      <c r="DC6" s="137" t="n">
        <v>-5</v>
      </c>
      <c r="DD6" s="137" t="n">
        <v>-5</v>
      </c>
      <c r="DE6" s="137" t="n">
        <v>-5</v>
      </c>
      <c r="DF6" s="137" t="n">
        <v>-5</v>
      </c>
      <c r="DG6" s="138" t="n">
        <v>-5</v>
      </c>
      <c r="DI6" s="135" t="n">
        <f aca="false">BB11</f>
        <v>2002</v>
      </c>
      <c r="DJ6" s="129" t="n">
        <v>15</v>
      </c>
      <c r="DK6" s="130" t="n">
        <v>15</v>
      </c>
      <c r="DL6" s="130" t="n">
        <v>15</v>
      </c>
      <c r="DM6" s="130" t="n">
        <v>15</v>
      </c>
      <c r="DN6" s="130" t="n">
        <v>15</v>
      </c>
      <c r="DO6" s="130" t="n">
        <v>15</v>
      </c>
      <c r="DP6" s="130" t="n">
        <v>15</v>
      </c>
      <c r="DQ6" s="130" t="n">
        <v>15</v>
      </c>
      <c r="DR6" s="130" t="n">
        <v>15</v>
      </c>
      <c r="DS6" s="130" t="n">
        <v>15</v>
      </c>
      <c r="DT6" s="130" t="n">
        <v>15</v>
      </c>
      <c r="DU6" s="131" t="n">
        <v>15</v>
      </c>
    </row>
    <row r="7" customFormat="false" ht="12.75" hidden="false" customHeight="false" outlineLevel="0" collapsed="false">
      <c r="A7" s="91" t="n">
        <f aca="true">IF(ISERROR(MATCH(D7,iRefDt,0)),"",MATCH(D7,iRefDt,0))</f>
        <v>7</v>
      </c>
      <c r="B7" s="92" t="n">
        <f aca="false">MATCH(YEAR(D7),iSpreads)</f>
        <v>1</v>
      </c>
      <c r="C7" s="0" t="n">
        <f aca="false">MONTH(D7)</f>
        <v>1</v>
      </c>
      <c r="D7" s="93" t="n">
        <f aca="false">D6+1</f>
        <v>36913</v>
      </c>
      <c r="E7" s="94" t="n">
        <f aca="false">VLOOKUP($D7,tblPriorPrice,2)</f>
        <v>158</v>
      </c>
      <c r="F7" s="95" t="n">
        <f aca="false">+[2]EnergyCurve!$D7</f>
        <v>-20</v>
      </c>
      <c r="G7" s="96" t="n">
        <f aca="false">E7+F7</f>
        <v>138</v>
      </c>
      <c r="H7" s="96" t="n">
        <f aca="true">G7+OFFSET($CU$4,$B7,$C7)</f>
        <v>133</v>
      </c>
      <c r="I7" s="96" t="n">
        <f aca="true">G7+OFFSET($DI$4,$B7,$C7)</f>
        <v>163</v>
      </c>
      <c r="J7" s="94" t="n">
        <f aca="false">VLOOKUP($D7,tblPriorPrice,3)</f>
        <v>90</v>
      </c>
      <c r="K7" s="95" t="n">
        <f aca="false">+[2]EnergyCurve!$G7</f>
        <v>-5</v>
      </c>
      <c r="L7" s="96" t="n">
        <f aca="false">J7+K7</f>
        <v>85</v>
      </c>
      <c r="M7" s="96" t="n">
        <f aca="true">$L7+OFFSET($CU$27,$B7,$C7)</f>
        <v>80</v>
      </c>
      <c r="N7" s="97" t="n">
        <f aca="true">$L7+OFFSET($DI$27,$B7,$C7)</f>
        <v>90</v>
      </c>
      <c r="O7" s="58" t="n">
        <f aca="true">IF($A7="",0,INDEX(tblPosn,$A7,2))</f>
        <v>2088.01538085938</v>
      </c>
      <c r="P7" s="59" t="n">
        <f aca="true">IF($A7="",0,INDEX(tblPosn,$A7,3))</f>
        <v>1044.00769042969</v>
      </c>
      <c r="Q7" s="59" t="n">
        <f aca="true">IF($A7="",0,INDEX(tblPosn,$A7,4))</f>
        <v>0</v>
      </c>
      <c r="R7" s="59" t="n">
        <f aca="true">IF($A7="",0,INDEX(tblPosn,$A7,5))</f>
        <v>0</v>
      </c>
      <c r="S7" s="59" t="n">
        <f aca="true">IF($A7="",0,INDEX(tblPosn,$A7,6))</f>
        <v>0</v>
      </c>
      <c r="T7" s="98" t="n">
        <f aca="false">O7*F7+P7*K7+R7*AC7+S7*AH7+Q7*X7</f>
        <v>-46980.3460693359</v>
      </c>
      <c r="V7" s="99"/>
      <c r="W7" s="100"/>
      <c r="X7" s="101" t="n">
        <f aca="false">F7</f>
        <v>-20</v>
      </c>
      <c r="Y7" s="102"/>
      <c r="Z7" s="102"/>
      <c r="AA7" s="102"/>
      <c r="AB7" s="100"/>
      <c r="AC7" s="101" t="n">
        <f aca="false">F7</f>
        <v>-20</v>
      </c>
      <c r="AD7" s="102"/>
      <c r="AE7" s="102"/>
      <c r="AF7" s="103"/>
      <c r="AG7" s="100"/>
      <c r="AH7" s="101" t="n">
        <f aca="false">IF(MONTH(D7)=MONTH($V$34),$AH$34,$AH$33)</f>
        <v>0</v>
      </c>
      <c r="AI7" s="102"/>
      <c r="AJ7" s="102"/>
      <c r="AK7" s="103"/>
      <c r="AL7" s="104"/>
      <c r="AM7" s="103"/>
      <c r="AN7" s="104"/>
      <c r="AO7" s="104"/>
      <c r="AP7" s="104"/>
      <c r="AQ7" s="100"/>
      <c r="AR7" s="104"/>
      <c r="AS7" s="104"/>
      <c r="AT7" s="100"/>
      <c r="AU7" s="104"/>
      <c r="AV7" s="104"/>
      <c r="AW7" s="100"/>
      <c r="AX7" s="104"/>
      <c r="AY7" s="104"/>
      <c r="AZ7" s="100"/>
      <c r="BA7" s="74"/>
      <c r="BB7" s="139" t="s">
        <v>115</v>
      </c>
      <c r="BC7" s="140" t="s">
        <v>51</v>
      </c>
      <c r="BD7" s="140"/>
      <c r="BE7" s="140"/>
      <c r="BF7" s="140" t="s">
        <v>116</v>
      </c>
      <c r="BG7" s="140"/>
      <c r="BH7" s="140"/>
      <c r="BQ7" s="108" t="n">
        <v>36907.7428240741</v>
      </c>
      <c r="BR7" s="109" t="n">
        <v>36907.743287037</v>
      </c>
      <c r="BS7" s="110" t="n">
        <v>36911</v>
      </c>
      <c r="BT7" s="111" t="n">
        <v>0</v>
      </c>
      <c r="BU7" s="112" t="n">
        <v>1044.00756835938</v>
      </c>
      <c r="BV7" s="112" t="n">
        <v>2088.01538085938</v>
      </c>
      <c r="BW7" s="112" t="n">
        <v>0</v>
      </c>
      <c r="BX7" s="113" t="n">
        <v>0</v>
      </c>
      <c r="BY7" s="114"/>
      <c r="BZ7" s="115" t="n">
        <v>36912</v>
      </c>
      <c r="CA7" s="116" t="n">
        <v>120</v>
      </c>
      <c r="CB7" s="116" t="n">
        <v>90</v>
      </c>
      <c r="CC7" s="116"/>
      <c r="CD7" s="116"/>
      <c r="CE7" s="117"/>
      <c r="CG7" s="135" t="n">
        <f aca="false">BB12</f>
        <v>2003</v>
      </c>
      <c r="CH7" s="136" t="n">
        <v>-54</v>
      </c>
      <c r="CI7" s="137" t="n">
        <v>-50</v>
      </c>
      <c r="CJ7" s="137" t="n">
        <v>-39</v>
      </c>
      <c r="CK7" s="137" t="n">
        <v>-18</v>
      </c>
      <c r="CL7" s="137" t="n">
        <v>-18</v>
      </c>
      <c r="CM7" s="137" t="n">
        <v>-19</v>
      </c>
      <c r="CN7" s="137" t="n">
        <v>-24</v>
      </c>
      <c r="CO7" s="137" t="n">
        <v>-33</v>
      </c>
      <c r="CP7" s="137" t="n">
        <v>-26</v>
      </c>
      <c r="CQ7" s="137" t="n">
        <v>-19</v>
      </c>
      <c r="CR7" s="137" t="n">
        <v>-24</v>
      </c>
      <c r="CS7" s="138" t="n">
        <v>-32</v>
      </c>
      <c r="CU7" s="135" t="n">
        <f aca="false">BB12</f>
        <v>2003</v>
      </c>
      <c r="CV7" s="136" t="n">
        <v>-5</v>
      </c>
      <c r="CW7" s="137" t="n">
        <v>-5</v>
      </c>
      <c r="CX7" s="137" t="n">
        <v>-5</v>
      </c>
      <c r="CY7" s="137" t="n">
        <v>-5</v>
      </c>
      <c r="CZ7" s="137" t="n">
        <v>-5</v>
      </c>
      <c r="DA7" s="137" t="n">
        <v>-5</v>
      </c>
      <c r="DB7" s="137" t="n">
        <v>-5</v>
      </c>
      <c r="DC7" s="137" t="n">
        <v>-5</v>
      </c>
      <c r="DD7" s="137" t="n">
        <v>-5</v>
      </c>
      <c r="DE7" s="137" t="n">
        <v>-5</v>
      </c>
      <c r="DF7" s="137" t="n">
        <v>-5</v>
      </c>
      <c r="DG7" s="138" t="n">
        <v>-5</v>
      </c>
      <c r="DH7" s="0" t="s">
        <v>117</v>
      </c>
      <c r="DI7" s="135" t="n">
        <f aca="false">BB12</f>
        <v>2003</v>
      </c>
      <c r="DJ7" s="136" t="n">
        <v>15</v>
      </c>
      <c r="DK7" s="137" t="n">
        <v>15</v>
      </c>
      <c r="DL7" s="137" t="n">
        <v>15</v>
      </c>
      <c r="DM7" s="137" t="n">
        <v>15</v>
      </c>
      <c r="DN7" s="137" t="n">
        <v>15</v>
      </c>
      <c r="DO7" s="137" t="n">
        <v>15</v>
      </c>
      <c r="DP7" s="137" t="n">
        <v>15</v>
      </c>
      <c r="DQ7" s="137" t="n">
        <v>15</v>
      </c>
      <c r="DR7" s="137" t="n">
        <v>15</v>
      </c>
      <c r="DS7" s="137" t="n">
        <v>15</v>
      </c>
      <c r="DT7" s="137" t="n">
        <v>15</v>
      </c>
      <c r="DU7" s="138" t="n">
        <v>15</v>
      </c>
    </row>
    <row r="8" customFormat="false" ht="12.75" hidden="false" customHeight="false" outlineLevel="0" collapsed="false">
      <c r="A8" s="91" t="n">
        <f aca="true">IF(ISERROR(MATCH(D8,iRefDt,0)),"",MATCH(D8,iRefDt,0))</f>
        <v>8</v>
      </c>
      <c r="B8" s="92" t="n">
        <f aca="false">MATCH(YEAR(D8),iSpreads)</f>
        <v>1</v>
      </c>
      <c r="C8" s="0" t="n">
        <f aca="false">MONTH(D8)</f>
        <v>1</v>
      </c>
      <c r="D8" s="93" t="n">
        <f aca="false">D7+1</f>
        <v>36914</v>
      </c>
      <c r="E8" s="94" t="n">
        <f aca="false">VLOOKUP($D8,tblPriorPrice,2)</f>
        <v>158</v>
      </c>
      <c r="F8" s="95" t="n">
        <f aca="false">+[2]EnergyCurve!$D8</f>
        <v>-20</v>
      </c>
      <c r="G8" s="96" t="n">
        <f aca="false">E8+F8</f>
        <v>138</v>
      </c>
      <c r="H8" s="96" t="n">
        <f aca="true">G8+OFFSET($CU$4,$B8,$C8)</f>
        <v>133</v>
      </c>
      <c r="I8" s="96" t="n">
        <f aca="true">G8+OFFSET($DI$4,$B8,$C8)</f>
        <v>163</v>
      </c>
      <c r="J8" s="94" t="n">
        <f aca="false">VLOOKUP($D8,tblPriorPrice,3)</f>
        <v>90</v>
      </c>
      <c r="K8" s="95" t="n">
        <f aca="false">+[2]EnergyCurve!$G8</f>
        <v>-5</v>
      </c>
      <c r="L8" s="96" t="n">
        <f aca="false">J8+K8</f>
        <v>85</v>
      </c>
      <c r="M8" s="96" t="n">
        <f aca="true">$L8+OFFSET($CU$27,$B8,$C8)</f>
        <v>80</v>
      </c>
      <c r="N8" s="97" t="n">
        <f aca="true">$L8+OFFSET($DI$27,$B8,$C8)</f>
        <v>90</v>
      </c>
      <c r="O8" s="58" t="n">
        <f aca="true">IF($A8="",0,INDEX(tblPosn,$A8,2))</f>
        <v>2088.01538085938</v>
      </c>
      <c r="P8" s="59" t="n">
        <f aca="true">IF($A8="",0,INDEX(tblPosn,$A8,3))</f>
        <v>1044.00769042969</v>
      </c>
      <c r="Q8" s="59" t="n">
        <f aca="true">IF($A8="",0,INDEX(tblPosn,$A8,4))</f>
        <v>0</v>
      </c>
      <c r="R8" s="59" t="n">
        <f aca="true">IF($A8="",0,INDEX(tblPosn,$A8,5))</f>
        <v>0</v>
      </c>
      <c r="S8" s="59" t="n">
        <f aca="true">IF($A8="",0,INDEX(tblPosn,$A8,6))</f>
        <v>0</v>
      </c>
      <c r="T8" s="98" t="n">
        <f aca="false">O8*F8+P8*K8+R8*AC8+S8*AH8+Q8*X8</f>
        <v>-46980.3460693359</v>
      </c>
      <c r="V8" s="99"/>
      <c r="W8" s="100"/>
      <c r="X8" s="101" t="n">
        <f aca="false">F8</f>
        <v>-20</v>
      </c>
      <c r="Y8" s="102"/>
      <c r="Z8" s="102"/>
      <c r="AA8" s="102"/>
      <c r="AB8" s="100"/>
      <c r="AC8" s="101" t="n">
        <f aca="false">F8</f>
        <v>-20</v>
      </c>
      <c r="AD8" s="102"/>
      <c r="AE8" s="102"/>
      <c r="AF8" s="103"/>
      <c r="AG8" s="100"/>
      <c r="AH8" s="101" t="n">
        <f aca="false">IF(MONTH(D8)=MONTH($V$34),$AH$34,$AH$33)</f>
        <v>0</v>
      </c>
      <c r="AI8" s="102"/>
      <c r="AJ8" s="102"/>
      <c r="AK8" s="103"/>
      <c r="AL8" s="104"/>
      <c r="AM8" s="103"/>
      <c r="AN8" s="104"/>
      <c r="AO8" s="104"/>
      <c r="AP8" s="104"/>
      <c r="AQ8" s="100"/>
      <c r="AR8" s="104"/>
      <c r="AS8" s="104"/>
      <c r="AT8" s="100"/>
      <c r="AU8" s="104"/>
      <c r="AV8" s="104"/>
      <c r="AW8" s="100"/>
      <c r="AX8" s="104"/>
      <c r="AY8" s="104"/>
      <c r="AZ8" s="100"/>
      <c r="BA8" s="74"/>
      <c r="BB8" s="123"/>
      <c r="BC8" s="123" t="s">
        <v>118</v>
      </c>
      <c r="BD8" s="141" t="s">
        <v>119</v>
      </c>
      <c r="BE8" s="141" t="s">
        <v>89</v>
      </c>
      <c r="BF8" s="123" t="s">
        <v>118</v>
      </c>
      <c r="BG8" s="141" t="s">
        <v>119</v>
      </c>
      <c r="BH8" s="141" t="s">
        <v>89</v>
      </c>
      <c r="BQ8" s="108" t="n">
        <v>36907.7428240741</v>
      </c>
      <c r="BR8" s="109" t="n">
        <v>36907.743287037</v>
      </c>
      <c r="BS8" s="110" t="n">
        <v>36912</v>
      </c>
      <c r="BT8" s="111" t="n">
        <v>0</v>
      </c>
      <c r="BU8" s="112" t="n">
        <v>1044.00769042969</v>
      </c>
      <c r="BV8" s="112" t="n">
        <v>0</v>
      </c>
      <c r="BW8" s="112" t="n">
        <v>2088.01538085938</v>
      </c>
      <c r="BX8" s="113" t="n">
        <v>0</v>
      </c>
      <c r="BY8" s="114"/>
      <c r="BZ8" s="115" t="n">
        <v>36913</v>
      </c>
      <c r="CA8" s="116" t="n">
        <v>158</v>
      </c>
      <c r="CB8" s="116" t="n">
        <v>90</v>
      </c>
      <c r="CC8" s="116"/>
      <c r="CD8" s="116"/>
      <c r="CE8" s="117"/>
      <c r="CG8" s="135" t="n">
        <f aca="false">BB13</f>
        <v>2004</v>
      </c>
      <c r="CH8" s="137" t="n">
        <v>-33</v>
      </c>
      <c r="CI8" s="137" t="n">
        <v>-30</v>
      </c>
      <c r="CJ8" s="137" t="n">
        <v>-24</v>
      </c>
      <c r="CK8" s="137" t="n">
        <v>-15</v>
      </c>
      <c r="CL8" s="137" t="n">
        <v>-16</v>
      </c>
      <c r="CM8" s="137" t="n">
        <v>-18</v>
      </c>
      <c r="CN8" s="137" t="n">
        <v>-24</v>
      </c>
      <c r="CO8" s="137" t="n">
        <v>-32</v>
      </c>
      <c r="CP8" s="137" t="n">
        <v>-25</v>
      </c>
      <c r="CQ8" s="137" t="n">
        <v>-17</v>
      </c>
      <c r="CR8" s="137" t="n">
        <v>-20</v>
      </c>
      <c r="CS8" s="138" t="n">
        <v>-28</v>
      </c>
      <c r="CU8" s="135" t="n">
        <f aca="false">BB13</f>
        <v>2004</v>
      </c>
      <c r="CV8" s="136" t="n">
        <v>-5</v>
      </c>
      <c r="CW8" s="137" t="n">
        <v>-5</v>
      </c>
      <c r="CX8" s="137" t="n">
        <v>-5</v>
      </c>
      <c r="CY8" s="137" t="n">
        <v>-5</v>
      </c>
      <c r="CZ8" s="137" t="n">
        <v>-5</v>
      </c>
      <c r="DA8" s="137" t="n">
        <v>-5</v>
      </c>
      <c r="DB8" s="137" t="n">
        <v>-5</v>
      </c>
      <c r="DC8" s="137" t="n">
        <v>-5</v>
      </c>
      <c r="DD8" s="137" t="n">
        <v>-5</v>
      </c>
      <c r="DE8" s="137" t="n">
        <v>-5</v>
      </c>
      <c r="DF8" s="137" t="n">
        <v>-5</v>
      </c>
      <c r="DG8" s="138" t="n">
        <v>-5</v>
      </c>
      <c r="DI8" s="135" t="n">
        <f aca="false">BB13</f>
        <v>2004</v>
      </c>
      <c r="DJ8" s="136" t="n">
        <v>15</v>
      </c>
      <c r="DK8" s="137" t="n">
        <v>15</v>
      </c>
      <c r="DL8" s="137" t="n">
        <v>15</v>
      </c>
      <c r="DM8" s="137" t="n">
        <v>15</v>
      </c>
      <c r="DN8" s="137" t="n">
        <v>15</v>
      </c>
      <c r="DO8" s="137" t="n">
        <v>15</v>
      </c>
      <c r="DP8" s="137" t="n">
        <v>15</v>
      </c>
      <c r="DQ8" s="137" t="n">
        <v>15</v>
      </c>
      <c r="DR8" s="137" t="n">
        <v>15</v>
      </c>
      <c r="DS8" s="137" t="n">
        <v>15</v>
      </c>
      <c r="DT8" s="137" t="n">
        <v>15</v>
      </c>
      <c r="DU8" s="138" t="n">
        <v>15</v>
      </c>
    </row>
    <row r="9" customFormat="false" ht="12.75" hidden="false" customHeight="false" outlineLevel="0" collapsed="false">
      <c r="A9" s="91" t="n">
        <f aca="true">IF(ISERROR(MATCH(D9,iRefDt,0)),"",MATCH(D9,iRefDt,0))</f>
        <v>9</v>
      </c>
      <c r="B9" s="92" t="n">
        <f aca="false">MATCH(YEAR(D9),iSpreads)</f>
        <v>1</v>
      </c>
      <c r="C9" s="0" t="n">
        <f aca="false">MONTH(D9)</f>
        <v>1</v>
      </c>
      <c r="D9" s="93" t="n">
        <f aca="false">D8+1</f>
        <v>36915</v>
      </c>
      <c r="E9" s="94" t="n">
        <f aca="false">VLOOKUP($D9,tblPriorPrice,2)</f>
        <v>158</v>
      </c>
      <c r="F9" s="95" t="n">
        <f aca="false">+[2]EnergyCurve!$D9</f>
        <v>-20</v>
      </c>
      <c r="G9" s="96" t="n">
        <f aca="false">E9+F9</f>
        <v>138</v>
      </c>
      <c r="H9" s="96" t="n">
        <f aca="true">G9+OFFSET($CU$4,$B9,$C9)</f>
        <v>133</v>
      </c>
      <c r="I9" s="96" t="n">
        <f aca="true">G9+OFFSET($DI$4,$B9,$C9)</f>
        <v>163</v>
      </c>
      <c r="J9" s="94" t="n">
        <f aca="false">VLOOKUP($D9,tblPriorPrice,3)</f>
        <v>90</v>
      </c>
      <c r="K9" s="95" t="n">
        <f aca="false">+[2]EnergyCurve!$G9</f>
        <v>-5</v>
      </c>
      <c r="L9" s="96" t="n">
        <f aca="false">J9+K9</f>
        <v>85</v>
      </c>
      <c r="M9" s="96" t="n">
        <f aca="true">$L9+OFFSET($CU$27,$B9,$C9)</f>
        <v>80</v>
      </c>
      <c r="N9" s="97" t="n">
        <f aca="true">$L9+OFFSET($DI$27,$B9,$C9)</f>
        <v>90</v>
      </c>
      <c r="O9" s="58" t="n">
        <f aca="true">IF($A9="",0,INDEX(tblPosn,$A9,2))</f>
        <v>2088.01538085938</v>
      </c>
      <c r="P9" s="59" t="n">
        <f aca="true">IF($A9="",0,INDEX(tblPosn,$A9,3))</f>
        <v>1044.00769042969</v>
      </c>
      <c r="Q9" s="59" t="n">
        <f aca="true">IF($A9="",0,INDEX(tblPosn,$A9,4))</f>
        <v>0</v>
      </c>
      <c r="R9" s="59" t="n">
        <f aca="true">IF($A9="",0,INDEX(tblPosn,$A9,5))</f>
        <v>0</v>
      </c>
      <c r="S9" s="59" t="n">
        <f aca="true">IF($A9="",0,INDEX(tblPosn,$A9,6))</f>
        <v>0</v>
      </c>
      <c r="T9" s="98" t="n">
        <f aca="false">O9*F9+P9*K9+R9*AC9+S9*AH9+Q9*X9</f>
        <v>-46980.3460693359</v>
      </c>
      <c r="V9" s="99"/>
      <c r="W9" s="100"/>
      <c r="X9" s="101" t="n">
        <f aca="false">F9</f>
        <v>-20</v>
      </c>
      <c r="Y9" s="102"/>
      <c r="Z9" s="102"/>
      <c r="AA9" s="102"/>
      <c r="AB9" s="100"/>
      <c r="AC9" s="101" t="n">
        <f aca="false">F9</f>
        <v>-20</v>
      </c>
      <c r="AD9" s="102"/>
      <c r="AE9" s="102"/>
      <c r="AF9" s="103"/>
      <c r="AG9" s="100"/>
      <c r="AH9" s="101" t="n">
        <f aca="false">IF(MONTH(D9)=MONTH($V$34),$AH$34,$AH$33)</f>
        <v>0</v>
      </c>
      <c r="AI9" s="102"/>
      <c r="AJ9" s="102"/>
      <c r="AK9" s="103"/>
      <c r="AL9" s="104"/>
      <c r="AM9" s="103"/>
      <c r="AN9" s="104"/>
      <c r="AO9" s="104"/>
      <c r="AP9" s="104"/>
      <c r="AQ9" s="100"/>
      <c r="AR9" s="104"/>
      <c r="AS9" s="104"/>
      <c r="AT9" s="100"/>
      <c r="AU9" s="104"/>
      <c r="AV9" s="104"/>
      <c r="AW9" s="100"/>
      <c r="AX9" s="104"/>
      <c r="AY9" s="104"/>
      <c r="AZ9" s="100"/>
      <c r="BA9" s="74"/>
      <c r="BB9" s="142" t="s">
        <v>99</v>
      </c>
      <c r="BC9" s="142" t="s">
        <v>120</v>
      </c>
      <c r="BD9" s="143" t="s">
        <v>120</v>
      </c>
      <c r="BE9" s="143" t="s">
        <v>121</v>
      </c>
      <c r="BF9" s="142" t="s">
        <v>120</v>
      </c>
      <c r="BG9" s="143" t="s">
        <v>120</v>
      </c>
      <c r="BH9" s="143" t="s">
        <v>121</v>
      </c>
      <c r="BQ9" s="108" t="n">
        <v>36907.7428240741</v>
      </c>
      <c r="BR9" s="109" t="n">
        <v>36907.743287037</v>
      </c>
      <c r="BS9" s="110" t="n">
        <v>36913</v>
      </c>
      <c r="BT9" s="111" t="n">
        <v>2088.01538085938</v>
      </c>
      <c r="BU9" s="112" t="n">
        <v>1044.00769042969</v>
      </c>
      <c r="BV9" s="112" t="n">
        <v>0</v>
      </c>
      <c r="BW9" s="112" t="n">
        <v>0</v>
      </c>
      <c r="BX9" s="113" t="n">
        <v>0</v>
      </c>
      <c r="BY9" s="114"/>
      <c r="BZ9" s="115" t="n">
        <v>36914</v>
      </c>
      <c r="CA9" s="116" t="n">
        <v>158</v>
      </c>
      <c r="CB9" s="116" t="n">
        <v>90</v>
      </c>
      <c r="CC9" s="116"/>
      <c r="CD9" s="116"/>
      <c r="CE9" s="117"/>
      <c r="CG9" s="135" t="n">
        <f aca="false">BB14</f>
        <v>2005</v>
      </c>
      <c r="CH9" s="137" t="n">
        <v>-11</v>
      </c>
      <c r="CI9" s="137" t="n">
        <v>-9</v>
      </c>
      <c r="CJ9" s="137" t="n">
        <v>-8</v>
      </c>
      <c r="CK9" s="137" t="n">
        <v>-2</v>
      </c>
      <c r="CL9" s="137" t="n">
        <v>-2</v>
      </c>
      <c r="CM9" s="137" t="n">
        <v>-3</v>
      </c>
      <c r="CN9" s="137" t="n">
        <v>-7</v>
      </c>
      <c r="CO9" s="137" t="n">
        <v>-11</v>
      </c>
      <c r="CP9" s="137" t="n">
        <v>-8</v>
      </c>
      <c r="CQ9" s="137" t="n">
        <v>-4</v>
      </c>
      <c r="CR9" s="137" t="n">
        <v>-5</v>
      </c>
      <c r="CS9" s="138" t="n">
        <v>-9</v>
      </c>
      <c r="CU9" s="135" t="n">
        <f aca="false">BB14</f>
        <v>2005</v>
      </c>
      <c r="CV9" s="136" t="n">
        <v>-5</v>
      </c>
      <c r="CW9" s="137" t="n">
        <v>-5</v>
      </c>
      <c r="CX9" s="137" t="n">
        <v>-5</v>
      </c>
      <c r="CY9" s="137" t="n">
        <v>-5</v>
      </c>
      <c r="CZ9" s="137" t="n">
        <v>-5</v>
      </c>
      <c r="DA9" s="137" t="n">
        <v>-5</v>
      </c>
      <c r="DB9" s="137" t="n">
        <v>-5</v>
      </c>
      <c r="DC9" s="137" t="n">
        <v>-5</v>
      </c>
      <c r="DD9" s="137" t="n">
        <v>-5</v>
      </c>
      <c r="DE9" s="137" t="n">
        <v>-5</v>
      </c>
      <c r="DF9" s="137" t="n">
        <v>-5</v>
      </c>
      <c r="DG9" s="138" t="n">
        <v>-5</v>
      </c>
      <c r="DI9" s="135" t="n">
        <f aca="false">BB14</f>
        <v>2005</v>
      </c>
      <c r="DJ9" s="136" t="n">
        <v>15</v>
      </c>
      <c r="DK9" s="137" t="n">
        <v>15</v>
      </c>
      <c r="DL9" s="137" t="n">
        <v>15</v>
      </c>
      <c r="DM9" s="137" t="n">
        <v>15</v>
      </c>
      <c r="DN9" s="137" t="n">
        <v>15</v>
      </c>
      <c r="DO9" s="137" t="n">
        <v>15</v>
      </c>
      <c r="DP9" s="137" t="n">
        <v>15</v>
      </c>
      <c r="DQ9" s="137" t="n">
        <v>15</v>
      </c>
      <c r="DR9" s="137" t="n">
        <v>15</v>
      </c>
      <c r="DS9" s="137" t="n">
        <v>15</v>
      </c>
      <c r="DT9" s="137" t="n">
        <v>15</v>
      </c>
      <c r="DU9" s="138" t="n">
        <v>15</v>
      </c>
    </row>
    <row r="10" customFormat="false" ht="12.75" hidden="false" customHeight="false" outlineLevel="0" collapsed="false">
      <c r="A10" s="91" t="n">
        <f aca="true">IF(ISERROR(MATCH(D10,iRefDt,0)),"",MATCH(D10,iRefDt,0))</f>
        <v>10</v>
      </c>
      <c r="B10" s="92" t="n">
        <f aca="false">MATCH(YEAR(D10),iSpreads)</f>
        <v>1</v>
      </c>
      <c r="C10" s="0" t="n">
        <f aca="false">MONTH(D10)</f>
        <v>1</v>
      </c>
      <c r="D10" s="93" t="n">
        <f aca="false">D9+1</f>
        <v>36916</v>
      </c>
      <c r="E10" s="94" t="n">
        <f aca="false">VLOOKUP($D10,tblPriorPrice,2)</f>
        <v>158</v>
      </c>
      <c r="F10" s="95" t="n">
        <f aca="false">+[2]EnergyCurve!$D10</f>
        <v>-20</v>
      </c>
      <c r="G10" s="96" t="n">
        <f aca="false">E10+F10</f>
        <v>138</v>
      </c>
      <c r="H10" s="96" t="n">
        <f aca="true">G10+OFFSET($CU$4,$B10,$C10)</f>
        <v>133</v>
      </c>
      <c r="I10" s="96" t="n">
        <f aca="true">G10+OFFSET($DI$4,$B10,$C10)</f>
        <v>163</v>
      </c>
      <c r="J10" s="94" t="n">
        <f aca="false">VLOOKUP($D10,tblPriorPrice,3)</f>
        <v>90</v>
      </c>
      <c r="K10" s="95" t="n">
        <f aca="false">+[2]EnergyCurve!$G10</f>
        <v>-5</v>
      </c>
      <c r="L10" s="96" t="n">
        <f aca="false">J10+K10</f>
        <v>85</v>
      </c>
      <c r="M10" s="96" t="n">
        <f aca="true">$L10+OFFSET($CU$27,$B10,$C10)</f>
        <v>80</v>
      </c>
      <c r="N10" s="97" t="n">
        <f aca="true">$L10+OFFSET($DI$27,$B10,$C10)</f>
        <v>90</v>
      </c>
      <c r="O10" s="58" t="n">
        <f aca="true">IF($A10="",0,INDEX(tblPosn,$A10,2))</f>
        <v>2088.01538085938</v>
      </c>
      <c r="P10" s="59" t="n">
        <f aca="true">IF($A10="",0,INDEX(tblPosn,$A10,3))</f>
        <v>1044.00769042969</v>
      </c>
      <c r="Q10" s="59" t="n">
        <f aca="true">IF($A10="",0,INDEX(tblPosn,$A10,4))</f>
        <v>0</v>
      </c>
      <c r="R10" s="59" t="n">
        <f aca="true">IF($A10="",0,INDEX(tblPosn,$A10,5))</f>
        <v>0</v>
      </c>
      <c r="S10" s="59" t="n">
        <f aca="true">IF($A10="",0,INDEX(tblPosn,$A10,6))</f>
        <v>0</v>
      </c>
      <c r="T10" s="98" t="n">
        <f aca="false">O10*F10+P10*K10+R10*AC10+S10*AH10+Q10*X10</f>
        <v>-46980.3460693359</v>
      </c>
      <c r="V10" s="99"/>
      <c r="W10" s="100"/>
      <c r="X10" s="101" t="n">
        <f aca="false">F10</f>
        <v>-20</v>
      </c>
      <c r="Y10" s="102"/>
      <c r="Z10" s="102"/>
      <c r="AA10" s="102"/>
      <c r="AB10" s="100"/>
      <c r="AC10" s="101" t="n">
        <f aca="false">F10</f>
        <v>-20</v>
      </c>
      <c r="AD10" s="102"/>
      <c r="AE10" s="102"/>
      <c r="AF10" s="103"/>
      <c r="AG10" s="100"/>
      <c r="AH10" s="101" t="n">
        <f aca="false">IF(MONTH(D10)=MONTH($V$34),$AH$34,$AH$33)</f>
        <v>0</v>
      </c>
      <c r="AI10" s="102"/>
      <c r="AJ10" s="102"/>
      <c r="AK10" s="103"/>
      <c r="AL10" s="104"/>
      <c r="AM10" s="103"/>
      <c r="AN10" s="104"/>
      <c r="AO10" s="104"/>
      <c r="AP10" s="104"/>
      <c r="AQ10" s="100"/>
      <c r="AR10" s="104"/>
      <c r="AS10" s="104"/>
      <c r="AT10" s="100"/>
      <c r="AU10" s="104"/>
      <c r="AV10" s="104"/>
      <c r="AW10" s="100"/>
      <c r="AX10" s="104"/>
      <c r="AY10" s="104"/>
      <c r="AZ10" s="100"/>
      <c r="BA10" s="74"/>
      <c r="BB10" s="144" t="n">
        <v>2001</v>
      </c>
      <c r="BC10" s="145" t="n">
        <v>-1.5</v>
      </c>
      <c r="BD10" s="146" t="n">
        <v>1.75</v>
      </c>
      <c r="BE10" s="147" t="n">
        <v>0</v>
      </c>
      <c r="BF10" s="146" t="n">
        <v>-1</v>
      </c>
      <c r="BG10" s="146" t="n">
        <v>1</v>
      </c>
      <c r="BH10" s="147" t="n">
        <v>0</v>
      </c>
      <c r="BQ10" s="108" t="n">
        <v>36907.7428240741</v>
      </c>
      <c r="BR10" s="109" t="n">
        <v>36907.743287037</v>
      </c>
      <c r="BS10" s="110" t="n">
        <v>36914</v>
      </c>
      <c r="BT10" s="111" t="n">
        <v>2088.01538085938</v>
      </c>
      <c r="BU10" s="112" t="n">
        <v>1044.00769042969</v>
      </c>
      <c r="BV10" s="112" t="n">
        <v>0</v>
      </c>
      <c r="BW10" s="112" t="n">
        <v>0</v>
      </c>
      <c r="BX10" s="113" t="n">
        <v>0</v>
      </c>
      <c r="BY10" s="114"/>
      <c r="BZ10" s="115" t="n">
        <v>36915</v>
      </c>
      <c r="CA10" s="116" t="n">
        <v>158</v>
      </c>
      <c r="CB10" s="116" t="n">
        <v>90</v>
      </c>
      <c r="CC10" s="116"/>
      <c r="CD10" s="116"/>
      <c r="CE10" s="117"/>
      <c r="CG10" s="135" t="n">
        <f aca="false">BB15</f>
        <v>2006</v>
      </c>
      <c r="CH10" s="137" t="n">
        <v>-23</v>
      </c>
      <c r="CI10" s="137" t="n">
        <v>-21</v>
      </c>
      <c r="CJ10" s="137" t="n">
        <v>-13</v>
      </c>
      <c r="CK10" s="137" t="n">
        <v>-1</v>
      </c>
      <c r="CL10" s="137" t="n">
        <v>-1</v>
      </c>
      <c r="CM10" s="137" t="n">
        <v>-1</v>
      </c>
      <c r="CN10" s="137" t="n">
        <v>-12</v>
      </c>
      <c r="CO10" s="137" t="n">
        <v>-29</v>
      </c>
      <c r="CP10" s="137" t="n">
        <v>-20</v>
      </c>
      <c r="CQ10" s="137" t="n">
        <v>-1</v>
      </c>
      <c r="CR10" s="137" t="n">
        <v>-7</v>
      </c>
      <c r="CS10" s="138" t="n">
        <v>-22</v>
      </c>
      <c r="CU10" s="135" t="n">
        <f aca="false">BB15</f>
        <v>2006</v>
      </c>
      <c r="CV10" s="136" t="n">
        <v>-5</v>
      </c>
      <c r="CW10" s="137" t="n">
        <v>-5</v>
      </c>
      <c r="CX10" s="137" t="n">
        <v>-5</v>
      </c>
      <c r="CY10" s="137" t="n">
        <v>-5</v>
      </c>
      <c r="CZ10" s="137" t="n">
        <v>-5</v>
      </c>
      <c r="DA10" s="137" t="n">
        <v>-5</v>
      </c>
      <c r="DB10" s="137" t="n">
        <v>-5</v>
      </c>
      <c r="DC10" s="137" t="n">
        <v>-5</v>
      </c>
      <c r="DD10" s="137" t="n">
        <v>-5</v>
      </c>
      <c r="DE10" s="137" t="n">
        <v>-5</v>
      </c>
      <c r="DF10" s="137" t="n">
        <v>-5</v>
      </c>
      <c r="DG10" s="138" t="n">
        <v>-5</v>
      </c>
      <c r="DI10" s="135" t="n">
        <f aca="false">BB15</f>
        <v>2006</v>
      </c>
      <c r="DJ10" s="136" t="n">
        <v>20</v>
      </c>
      <c r="DK10" s="137" t="n">
        <v>20</v>
      </c>
      <c r="DL10" s="137" t="n">
        <v>20</v>
      </c>
      <c r="DM10" s="137" t="n">
        <v>20</v>
      </c>
      <c r="DN10" s="137" t="n">
        <v>20</v>
      </c>
      <c r="DO10" s="137" t="n">
        <v>20</v>
      </c>
      <c r="DP10" s="137" t="n">
        <v>20</v>
      </c>
      <c r="DQ10" s="137" t="n">
        <v>20</v>
      </c>
      <c r="DR10" s="137" t="n">
        <v>20</v>
      </c>
      <c r="DS10" s="137" t="n">
        <v>20</v>
      </c>
      <c r="DT10" s="137" t="n">
        <v>20</v>
      </c>
      <c r="DU10" s="138" t="n">
        <v>20</v>
      </c>
    </row>
    <row r="11" customFormat="false" ht="12.75" hidden="false" customHeight="false" outlineLevel="0" collapsed="false">
      <c r="A11" s="91" t="n">
        <f aca="true">IF(ISERROR(MATCH(D11,iRefDt,0)),"",MATCH(D11,iRefDt,0))</f>
        <v>11</v>
      </c>
      <c r="B11" s="92" t="n">
        <f aca="false">MATCH(YEAR(D11),iSpreads)</f>
        <v>1</v>
      </c>
      <c r="C11" s="0" t="n">
        <f aca="false">MONTH(D11)</f>
        <v>1</v>
      </c>
      <c r="D11" s="93" t="n">
        <f aca="false">D10+1</f>
        <v>36917</v>
      </c>
      <c r="E11" s="94" t="n">
        <f aca="false">VLOOKUP($D11,tblPriorPrice,2)</f>
        <v>158</v>
      </c>
      <c r="F11" s="95" t="n">
        <f aca="false">+[2]EnergyCurve!$D11</f>
        <v>-20</v>
      </c>
      <c r="G11" s="96" t="n">
        <f aca="false">E11+F11</f>
        <v>138</v>
      </c>
      <c r="H11" s="96" t="n">
        <f aca="true">G11+OFFSET($CU$4,$B11,$C11)</f>
        <v>133</v>
      </c>
      <c r="I11" s="96" t="n">
        <f aca="true">G11+OFFSET($DI$4,$B11,$C11)</f>
        <v>163</v>
      </c>
      <c r="J11" s="94" t="n">
        <f aca="false">VLOOKUP($D11,tblPriorPrice,3)</f>
        <v>90</v>
      </c>
      <c r="K11" s="95" t="n">
        <f aca="false">+[2]EnergyCurve!$G11</f>
        <v>-5</v>
      </c>
      <c r="L11" s="96" t="n">
        <f aca="false">J11+K11</f>
        <v>85</v>
      </c>
      <c r="M11" s="96" t="n">
        <f aca="true">$L11+OFFSET($CU$27,$B11,$C11)</f>
        <v>80</v>
      </c>
      <c r="N11" s="97" t="n">
        <f aca="true">$L11+OFFSET($DI$27,$B11,$C11)</f>
        <v>90</v>
      </c>
      <c r="O11" s="58" t="n">
        <f aca="true">IF($A11="",0,INDEX(tblPosn,$A11,2))</f>
        <v>2088.01538085938</v>
      </c>
      <c r="P11" s="59" t="n">
        <f aca="true">IF($A11="",0,INDEX(tblPosn,$A11,3))</f>
        <v>1044.00769042969</v>
      </c>
      <c r="Q11" s="59" t="n">
        <f aca="true">IF($A11="",0,INDEX(tblPosn,$A11,4))</f>
        <v>0</v>
      </c>
      <c r="R11" s="59" t="n">
        <f aca="true">IF($A11="",0,INDEX(tblPosn,$A11,5))</f>
        <v>0</v>
      </c>
      <c r="S11" s="59" t="n">
        <f aca="true">IF($A11="",0,INDEX(tblPosn,$A11,6))</f>
        <v>0</v>
      </c>
      <c r="T11" s="98" t="n">
        <f aca="false">O11*F11+P11*K11+R11*AC11+S11*AH11+Q11*X11</f>
        <v>-46980.3460693359</v>
      </c>
      <c r="V11" s="99"/>
      <c r="W11" s="100"/>
      <c r="X11" s="101" t="n">
        <f aca="false">F11</f>
        <v>-20</v>
      </c>
      <c r="Y11" s="102"/>
      <c r="Z11" s="102"/>
      <c r="AA11" s="102"/>
      <c r="AB11" s="100"/>
      <c r="AC11" s="101" t="n">
        <f aca="false">F11</f>
        <v>-20</v>
      </c>
      <c r="AD11" s="102"/>
      <c r="AE11" s="102"/>
      <c r="AF11" s="103"/>
      <c r="AG11" s="100"/>
      <c r="AH11" s="101" t="n">
        <f aca="false">IF(MONTH(D11)=MONTH($V$34),$AH$34,$AH$33)</f>
        <v>0</v>
      </c>
      <c r="AI11" s="102"/>
      <c r="AJ11" s="102"/>
      <c r="AK11" s="103"/>
      <c r="AL11" s="104"/>
      <c r="AM11" s="103"/>
      <c r="AN11" s="104"/>
      <c r="AO11" s="104"/>
      <c r="AP11" s="104"/>
      <c r="AQ11" s="100"/>
      <c r="AR11" s="104"/>
      <c r="AS11" s="104"/>
      <c r="AT11" s="100"/>
      <c r="AU11" s="104"/>
      <c r="AV11" s="104"/>
      <c r="AW11" s="100"/>
      <c r="AX11" s="104"/>
      <c r="AY11" s="104"/>
      <c r="AZ11" s="100"/>
      <c r="BA11" s="74"/>
      <c r="BB11" s="148" t="n">
        <f aca="false">BB10+1</f>
        <v>2002</v>
      </c>
      <c r="BC11" s="149" t="n">
        <v>-2</v>
      </c>
      <c r="BD11" s="150" t="n">
        <v>2.75</v>
      </c>
      <c r="BE11" s="151" t="n">
        <v>0.65</v>
      </c>
      <c r="BF11" s="150" t="n">
        <v>-2.5</v>
      </c>
      <c r="BG11" s="150" t="n">
        <v>1.25</v>
      </c>
      <c r="BH11" s="151" t="n">
        <v>0</v>
      </c>
      <c r="BQ11" s="108" t="n">
        <v>36907.7428240741</v>
      </c>
      <c r="BR11" s="109" t="n">
        <v>36907.743287037</v>
      </c>
      <c r="BS11" s="110" t="n">
        <v>36915</v>
      </c>
      <c r="BT11" s="111" t="n">
        <v>2088.01538085938</v>
      </c>
      <c r="BU11" s="112" t="n">
        <v>1044.00769042969</v>
      </c>
      <c r="BV11" s="112" t="n">
        <v>0</v>
      </c>
      <c r="BW11" s="112" t="n">
        <v>0</v>
      </c>
      <c r="BX11" s="113" t="n">
        <v>0</v>
      </c>
      <c r="BY11" s="114"/>
      <c r="BZ11" s="115" t="n">
        <v>36916</v>
      </c>
      <c r="CA11" s="116" t="n">
        <v>158</v>
      </c>
      <c r="CB11" s="116" t="n">
        <v>90</v>
      </c>
      <c r="CC11" s="116"/>
      <c r="CD11" s="116"/>
      <c r="CE11" s="117"/>
      <c r="CG11" s="135" t="n">
        <f aca="false">BB16</f>
        <v>2007</v>
      </c>
      <c r="CH11" s="137" t="n">
        <v>-5</v>
      </c>
      <c r="CI11" s="137" t="n">
        <v>-3</v>
      </c>
      <c r="CJ11" s="137" t="n">
        <v>-2</v>
      </c>
      <c r="CK11" s="137" t="n">
        <v>-2</v>
      </c>
      <c r="CL11" s="137" t="n">
        <v>-2</v>
      </c>
      <c r="CM11" s="137" t="n">
        <v>-2</v>
      </c>
      <c r="CN11" s="137" t="n">
        <v>-2</v>
      </c>
      <c r="CO11" s="137" t="n">
        <v>-4</v>
      </c>
      <c r="CP11" s="137" t="n">
        <v>-2</v>
      </c>
      <c r="CQ11" s="137" t="n">
        <v>-2</v>
      </c>
      <c r="CR11" s="137" t="n">
        <v>-2</v>
      </c>
      <c r="CS11" s="138" t="n">
        <v>-4</v>
      </c>
      <c r="CU11" s="135" t="n">
        <f aca="false">BB16</f>
        <v>2007</v>
      </c>
      <c r="CV11" s="136" t="n">
        <v>-5</v>
      </c>
      <c r="CW11" s="137" t="n">
        <v>-5</v>
      </c>
      <c r="CX11" s="137" t="n">
        <v>-5</v>
      </c>
      <c r="CY11" s="137" t="n">
        <v>-5</v>
      </c>
      <c r="CZ11" s="137" t="n">
        <v>-5</v>
      </c>
      <c r="DA11" s="137" t="n">
        <v>-5</v>
      </c>
      <c r="DB11" s="137" t="n">
        <v>-5</v>
      </c>
      <c r="DC11" s="137" t="n">
        <v>-5</v>
      </c>
      <c r="DD11" s="137" t="n">
        <v>-5</v>
      </c>
      <c r="DE11" s="137" t="n">
        <v>-5</v>
      </c>
      <c r="DF11" s="137" t="n">
        <v>-5</v>
      </c>
      <c r="DG11" s="138" t="n">
        <v>-5</v>
      </c>
      <c r="DI11" s="135" t="n">
        <f aca="false">BB16</f>
        <v>2007</v>
      </c>
      <c r="DJ11" s="136" t="n">
        <v>21</v>
      </c>
      <c r="DK11" s="137" t="n">
        <v>21</v>
      </c>
      <c r="DL11" s="137" t="n">
        <v>21</v>
      </c>
      <c r="DM11" s="137" t="n">
        <v>21</v>
      </c>
      <c r="DN11" s="137" t="n">
        <v>21</v>
      </c>
      <c r="DO11" s="137" t="n">
        <v>21</v>
      </c>
      <c r="DP11" s="137" t="n">
        <v>21</v>
      </c>
      <c r="DQ11" s="137" t="n">
        <v>21</v>
      </c>
      <c r="DR11" s="137" t="n">
        <v>21</v>
      </c>
      <c r="DS11" s="137" t="n">
        <v>21</v>
      </c>
      <c r="DT11" s="137" t="n">
        <v>21</v>
      </c>
      <c r="DU11" s="138" t="n">
        <v>21</v>
      </c>
    </row>
    <row r="12" customFormat="false" ht="12.75" hidden="false" customHeight="false" outlineLevel="0" collapsed="false">
      <c r="A12" s="91" t="n">
        <f aca="true">IF(ISERROR(MATCH(D12,iRefDt,0)),"",MATCH(D12,iRefDt,0))</f>
        <v>12</v>
      </c>
      <c r="B12" s="92" t="n">
        <f aca="false">MATCH(YEAR(D12),iSpreads)</f>
        <v>1</v>
      </c>
      <c r="C12" s="0" t="n">
        <f aca="false">MONTH(D12)</f>
        <v>1</v>
      </c>
      <c r="D12" s="93" t="n">
        <f aca="false">D11+1</f>
        <v>36918</v>
      </c>
      <c r="E12" s="94" t="n">
        <f aca="false">VLOOKUP($D12,tblPriorPrice,2)</f>
        <v>130</v>
      </c>
      <c r="F12" s="95" t="n">
        <f aca="false">+[2]EnergyCurve!$D12</f>
        <v>-10</v>
      </c>
      <c r="G12" s="96" t="n">
        <f aca="false">E12+F12</f>
        <v>120</v>
      </c>
      <c r="H12" s="96" t="n">
        <f aca="true">G12+OFFSET($CU$4,$B12,$C12)</f>
        <v>115</v>
      </c>
      <c r="I12" s="96" t="n">
        <f aca="true">G12+OFFSET($DI$4,$B12,$C12)</f>
        <v>145</v>
      </c>
      <c r="J12" s="94" t="n">
        <f aca="false">VLOOKUP($D12,tblPriorPrice,3)</f>
        <v>90</v>
      </c>
      <c r="K12" s="95" t="n">
        <f aca="false">+[2]EnergyCurve!$G12</f>
        <v>-5</v>
      </c>
      <c r="L12" s="96" t="n">
        <f aca="false">J12+K12</f>
        <v>85</v>
      </c>
      <c r="M12" s="96" t="n">
        <f aca="true">$L12+OFFSET($CU$27,$B12,$C12)</f>
        <v>80</v>
      </c>
      <c r="N12" s="97" t="n">
        <f aca="true">$L12+OFFSET($DI$27,$B12,$C12)</f>
        <v>90</v>
      </c>
      <c r="O12" s="58" t="n">
        <f aca="true">IF($A12="",0,INDEX(tblPosn,$A12,2))</f>
        <v>0</v>
      </c>
      <c r="P12" s="59" t="n">
        <f aca="true">IF($A12="",0,INDEX(tblPosn,$A12,3))</f>
        <v>1044.00756835938</v>
      </c>
      <c r="Q12" s="59" t="n">
        <f aca="true">IF($A12="",0,INDEX(tblPosn,$A12,4))</f>
        <v>2088.01538085938</v>
      </c>
      <c r="R12" s="59" t="n">
        <f aca="true">IF($A12="",0,INDEX(tblPosn,$A12,5))</f>
        <v>0</v>
      </c>
      <c r="S12" s="59" t="n">
        <f aca="true">IF($A12="",0,INDEX(tblPosn,$A12,6))</f>
        <v>0</v>
      </c>
      <c r="T12" s="98" t="n">
        <f aca="false">O12*F12+P12*K12+R12*AC12+S12*AH12+Q12*X12</f>
        <v>-26100.1916503906</v>
      </c>
      <c r="V12" s="99"/>
      <c r="W12" s="100"/>
      <c r="X12" s="101" t="n">
        <f aca="false">F12</f>
        <v>-10</v>
      </c>
      <c r="Y12" s="102"/>
      <c r="Z12" s="102"/>
      <c r="AA12" s="102"/>
      <c r="AB12" s="100"/>
      <c r="AC12" s="101" t="n">
        <f aca="false">F12</f>
        <v>-10</v>
      </c>
      <c r="AD12" s="102"/>
      <c r="AE12" s="102"/>
      <c r="AF12" s="103"/>
      <c r="AG12" s="100"/>
      <c r="AH12" s="101" t="n">
        <f aca="false">IF(MONTH(D12)=MONTH($V$34),$AH$34,$AH$33)</f>
        <v>0</v>
      </c>
      <c r="AI12" s="102"/>
      <c r="AJ12" s="102"/>
      <c r="AK12" s="103"/>
      <c r="AL12" s="104"/>
      <c r="AM12" s="103"/>
      <c r="AN12" s="104"/>
      <c r="AO12" s="104"/>
      <c r="AP12" s="104"/>
      <c r="AQ12" s="100"/>
      <c r="AR12" s="104"/>
      <c r="AS12" s="104"/>
      <c r="AT12" s="100"/>
      <c r="AU12" s="104"/>
      <c r="AV12" s="104"/>
      <c r="AW12" s="100"/>
      <c r="AX12" s="104"/>
      <c r="AY12" s="104"/>
      <c r="AZ12" s="100"/>
      <c r="BA12" s="74"/>
      <c r="BB12" s="148" t="n">
        <f aca="false">BB11+1</f>
        <v>2003</v>
      </c>
      <c r="BC12" s="149" t="n">
        <v>-2.5</v>
      </c>
      <c r="BD12" s="150" t="n">
        <v>3</v>
      </c>
      <c r="BE12" s="151" t="n">
        <v>0.7</v>
      </c>
      <c r="BF12" s="150" t="n">
        <v>-2.85</v>
      </c>
      <c r="BG12" s="150" t="n">
        <v>1.25</v>
      </c>
      <c r="BH12" s="151" t="n">
        <v>0</v>
      </c>
      <c r="BQ12" s="108" t="n">
        <v>36907.7428240741</v>
      </c>
      <c r="BR12" s="109" t="n">
        <v>36907.743287037</v>
      </c>
      <c r="BS12" s="110" t="n">
        <v>36916</v>
      </c>
      <c r="BT12" s="111" t="n">
        <v>2088.01538085938</v>
      </c>
      <c r="BU12" s="112" t="n">
        <v>1044.00769042969</v>
      </c>
      <c r="BV12" s="112" t="n">
        <v>0</v>
      </c>
      <c r="BW12" s="112" t="n">
        <v>0</v>
      </c>
      <c r="BX12" s="113" t="n">
        <v>0</v>
      </c>
      <c r="BY12" s="114"/>
      <c r="BZ12" s="115" t="n">
        <v>36917</v>
      </c>
      <c r="CA12" s="116" t="n">
        <v>158</v>
      </c>
      <c r="CB12" s="116" t="n">
        <v>90</v>
      </c>
      <c r="CC12" s="116"/>
      <c r="CD12" s="116"/>
      <c r="CE12" s="117"/>
      <c r="CG12" s="135" t="n">
        <f aca="false">BB17</f>
        <v>2008</v>
      </c>
      <c r="CH12" s="137" t="n">
        <v>0</v>
      </c>
      <c r="CI12" s="137" t="n">
        <v>1</v>
      </c>
      <c r="CJ12" s="137" t="n">
        <v>0</v>
      </c>
      <c r="CK12" s="137" t="n">
        <v>0</v>
      </c>
      <c r="CL12" s="137" t="n">
        <v>0</v>
      </c>
      <c r="CM12" s="137" t="n">
        <v>1</v>
      </c>
      <c r="CN12" s="137" t="n">
        <v>1</v>
      </c>
      <c r="CO12" s="137" t="n">
        <v>0</v>
      </c>
      <c r="CP12" s="137" t="n">
        <v>0</v>
      </c>
      <c r="CQ12" s="137" t="n">
        <v>1</v>
      </c>
      <c r="CR12" s="137" t="n">
        <v>0</v>
      </c>
      <c r="CS12" s="138" t="n">
        <v>0</v>
      </c>
      <c r="CU12" s="135" t="n">
        <f aca="false">BB17</f>
        <v>2008</v>
      </c>
      <c r="CV12" s="136" t="n">
        <v>-5</v>
      </c>
      <c r="CW12" s="137" t="n">
        <v>-5</v>
      </c>
      <c r="CX12" s="137" t="n">
        <v>-5</v>
      </c>
      <c r="CY12" s="137" t="n">
        <v>-5</v>
      </c>
      <c r="CZ12" s="137" t="n">
        <v>-5</v>
      </c>
      <c r="DA12" s="137" t="n">
        <v>-5</v>
      </c>
      <c r="DB12" s="137" t="n">
        <v>-5</v>
      </c>
      <c r="DC12" s="137" t="n">
        <v>-5</v>
      </c>
      <c r="DD12" s="137" t="n">
        <v>-5</v>
      </c>
      <c r="DE12" s="137" t="n">
        <v>-5</v>
      </c>
      <c r="DF12" s="137" t="n">
        <v>-5</v>
      </c>
      <c r="DG12" s="138" t="n">
        <v>-5</v>
      </c>
      <c r="DI12" s="135" t="n">
        <f aca="false">BB17</f>
        <v>2008</v>
      </c>
      <c r="DJ12" s="136" t="n">
        <v>22</v>
      </c>
      <c r="DK12" s="137" t="n">
        <v>22</v>
      </c>
      <c r="DL12" s="137" t="n">
        <v>22</v>
      </c>
      <c r="DM12" s="137" t="n">
        <v>22</v>
      </c>
      <c r="DN12" s="137" t="n">
        <v>22</v>
      </c>
      <c r="DO12" s="137" t="n">
        <v>22</v>
      </c>
      <c r="DP12" s="137" t="n">
        <v>22</v>
      </c>
      <c r="DQ12" s="137" t="n">
        <v>22</v>
      </c>
      <c r="DR12" s="137" t="n">
        <v>22</v>
      </c>
      <c r="DS12" s="137" t="n">
        <v>22</v>
      </c>
      <c r="DT12" s="137" t="n">
        <v>22</v>
      </c>
      <c r="DU12" s="138" t="n">
        <v>22</v>
      </c>
    </row>
    <row r="13" customFormat="false" ht="12.75" hidden="false" customHeight="false" outlineLevel="0" collapsed="false">
      <c r="A13" s="91" t="n">
        <f aca="true">IF(ISERROR(MATCH(D13,iRefDt,0)),"",MATCH(D13,iRefDt,0))</f>
        <v>13</v>
      </c>
      <c r="B13" s="92" t="n">
        <f aca="false">MATCH(YEAR(D13),iSpreads)</f>
        <v>1</v>
      </c>
      <c r="C13" s="0" t="n">
        <f aca="false">MONTH(D13)</f>
        <v>1</v>
      </c>
      <c r="D13" s="93" t="n">
        <f aca="false">D12+1</f>
        <v>36919</v>
      </c>
      <c r="E13" s="94" t="n">
        <f aca="false">VLOOKUP($D13,tblPriorPrice,2)</f>
        <v>120</v>
      </c>
      <c r="F13" s="95" t="n">
        <f aca="false">+[2]EnergyCurve!$D13</f>
        <v>-10</v>
      </c>
      <c r="G13" s="96" t="n">
        <f aca="false">E13+F13</f>
        <v>110</v>
      </c>
      <c r="H13" s="96" t="n">
        <f aca="true">G13+OFFSET($CU$4,$B13,$C13)</f>
        <v>105</v>
      </c>
      <c r="I13" s="96" t="n">
        <f aca="true">G13+OFFSET($DI$4,$B13,$C13)</f>
        <v>135</v>
      </c>
      <c r="J13" s="94" t="n">
        <f aca="false">VLOOKUP($D13,tblPriorPrice,3)</f>
        <v>90</v>
      </c>
      <c r="K13" s="95" t="n">
        <f aca="false">+[2]EnergyCurve!$G13</f>
        <v>-5</v>
      </c>
      <c r="L13" s="96" t="n">
        <f aca="false">J13+K13</f>
        <v>85</v>
      </c>
      <c r="M13" s="96" t="n">
        <f aca="true">$L13+OFFSET($CU$27,$B13,$C13)</f>
        <v>80</v>
      </c>
      <c r="N13" s="97" t="n">
        <f aca="true">$L13+OFFSET($DI$27,$B13,$C13)</f>
        <v>90</v>
      </c>
      <c r="O13" s="58" t="n">
        <f aca="true">IF($A13="",0,INDEX(tblPosn,$A13,2))</f>
        <v>0</v>
      </c>
      <c r="P13" s="59" t="n">
        <f aca="true">IF($A13="",0,INDEX(tblPosn,$A13,3))</f>
        <v>1044.00769042969</v>
      </c>
      <c r="Q13" s="59" t="n">
        <f aca="true">IF($A13="",0,INDEX(tblPosn,$A13,4))</f>
        <v>0</v>
      </c>
      <c r="R13" s="59" t="n">
        <f aca="true">IF($A13="",0,INDEX(tblPosn,$A13,5))</f>
        <v>2088.01538085938</v>
      </c>
      <c r="S13" s="59" t="n">
        <f aca="true">IF($A13="",0,INDEX(tblPosn,$A13,6))</f>
        <v>0</v>
      </c>
      <c r="T13" s="98" t="n">
        <f aca="false">O13*F13+P13*K13+R13*AC13+S13*AH13+Q13*X13</f>
        <v>-26100.1922607422</v>
      </c>
      <c r="V13" s="99"/>
      <c r="W13" s="100"/>
      <c r="X13" s="101" t="n">
        <f aca="false">F13</f>
        <v>-10</v>
      </c>
      <c r="Y13" s="102"/>
      <c r="Z13" s="102"/>
      <c r="AA13" s="102"/>
      <c r="AB13" s="100"/>
      <c r="AC13" s="101" t="n">
        <f aca="false">F13</f>
        <v>-10</v>
      </c>
      <c r="AD13" s="102"/>
      <c r="AE13" s="102"/>
      <c r="AF13" s="103"/>
      <c r="AG13" s="100"/>
      <c r="AH13" s="101" t="n">
        <f aca="false">IF(MONTH(D13)=MONTH($V$34),$AH$34,$AH$33)</f>
        <v>0</v>
      </c>
      <c r="AI13" s="102"/>
      <c r="AJ13" s="102"/>
      <c r="AK13" s="103"/>
      <c r="AL13" s="104"/>
      <c r="AM13" s="103"/>
      <c r="AN13" s="104"/>
      <c r="AO13" s="104"/>
      <c r="AP13" s="104"/>
      <c r="AQ13" s="100"/>
      <c r="AR13" s="104"/>
      <c r="AS13" s="104"/>
      <c r="AT13" s="100"/>
      <c r="AU13" s="104"/>
      <c r="AV13" s="104"/>
      <c r="AW13" s="100"/>
      <c r="AX13" s="104"/>
      <c r="AY13" s="104"/>
      <c r="AZ13" s="100"/>
      <c r="BA13" s="74"/>
      <c r="BB13" s="148" t="n">
        <f aca="false">BB12+1</f>
        <v>2004</v>
      </c>
      <c r="BC13" s="149" t="n">
        <v>-2.5</v>
      </c>
      <c r="BD13" s="150" t="n">
        <v>4</v>
      </c>
      <c r="BE13" s="151" t="n">
        <v>0.75</v>
      </c>
      <c r="BF13" s="150" t="n">
        <v>-3.3</v>
      </c>
      <c r="BG13" s="150" t="n">
        <v>1.5</v>
      </c>
      <c r="BH13" s="151" t="n">
        <v>0</v>
      </c>
      <c r="BQ13" s="108" t="n">
        <v>36907.7428240741</v>
      </c>
      <c r="BR13" s="109" t="n">
        <v>36907.743287037</v>
      </c>
      <c r="BS13" s="110" t="n">
        <v>36917</v>
      </c>
      <c r="BT13" s="111" t="n">
        <v>2088.01538085938</v>
      </c>
      <c r="BU13" s="112" t="n">
        <v>1044.00769042969</v>
      </c>
      <c r="BV13" s="112" t="n">
        <v>0</v>
      </c>
      <c r="BW13" s="112" t="n">
        <v>0</v>
      </c>
      <c r="BX13" s="113" t="n">
        <v>0</v>
      </c>
      <c r="BY13" s="114"/>
      <c r="BZ13" s="115" t="n">
        <v>36918</v>
      </c>
      <c r="CA13" s="116" t="n">
        <v>130</v>
      </c>
      <c r="CB13" s="116" t="n">
        <v>90</v>
      </c>
      <c r="CC13" s="116"/>
      <c r="CD13" s="116"/>
      <c r="CE13" s="117"/>
      <c r="CG13" s="135" t="n">
        <f aca="false">BB18</f>
        <v>2009</v>
      </c>
      <c r="CH13" s="137" t="n">
        <v>0</v>
      </c>
      <c r="CI13" s="137" t="n">
        <v>0</v>
      </c>
      <c r="CJ13" s="137" t="n">
        <v>0</v>
      </c>
      <c r="CK13" s="137" t="n">
        <v>0</v>
      </c>
      <c r="CL13" s="137" t="n">
        <v>1</v>
      </c>
      <c r="CM13" s="137" t="n">
        <v>0</v>
      </c>
      <c r="CN13" s="137" t="n">
        <v>0</v>
      </c>
      <c r="CO13" s="137" t="n">
        <v>1</v>
      </c>
      <c r="CP13" s="137" t="n">
        <v>1</v>
      </c>
      <c r="CQ13" s="137" t="n">
        <v>0</v>
      </c>
      <c r="CR13" s="137" t="n">
        <v>0</v>
      </c>
      <c r="CS13" s="138" t="n">
        <v>0</v>
      </c>
      <c r="CU13" s="135" t="n">
        <f aca="false">BB18</f>
        <v>2009</v>
      </c>
      <c r="CV13" s="136" t="n">
        <v>-5</v>
      </c>
      <c r="CW13" s="137" t="n">
        <v>-5</v>
      </c>
      <c r="CX13" s="137" t="n">
        <v>-5</v>
      </c>
      <c r="CY13" s="137" t="n">
        <v>-5</v>
      </c>
      <c r="CZ13" s="137" t="n">
        <v>-5</v>
      </c>
      <c r="DA13" s="137" t="n">
        <v>-5</v>
      </c>
      <c r="DB13" s="137" t="n">
        <v>-5</v>
      </c>
      <c r="DC13" s="137" t="n">
        <v>-5</v>
      </c>
      <c r="DD13" s="137" t="n">
        <v>-5</v>
      </c>
      <c r="DE13" s="137" t="n">
        <v>-5</v>
      </c>
      <c r="DF13" s="137" t="n">
        <v>-5</v>
      </c>
      <c r="DG13" s="138" t="n">
        <v>-5</v>
      </c>
      <c r="DI13" s="135" t="n">
        <f aca="false">BB18</f>
        <v>2009</v>
      </c>
      <c r="DJ13" s="136" t="n">
        <v>23</v>
      </c>
      <c r="DK13" s="137" t="n">
        <v>23</v>
      </c>
      <c r="DL13" s="137" t="n">
        <v>23</v>
      </c>
      <c r="DM13" s="137" t="n">
        <v>23</v>
      </c>
      <c r="DN13" s="137" t="n">
        <v>23</v>
      </c>
      <c r="DO13" s="137" t="n">
        <v>23</v>
      </c>
      <c r="DP13" s="137" t="n">
        <v>23</v>
      </c>
      <c r="DQ13" s="137" t="n">
        <v>23</v>
      </c>
      <c r="DR13" s="137" t="n">
        <v>23</v>
      </c>
      <c r="DS13" s="137" t="n">
        <v>23</v>
      </c>
      <c r="DT13" s="137" t="n">
        <v>23</v>
      </c>
      <c r="DU13" s="138" t="n">
        <v>23</v>
      </c>
    </row>
    <row r="14" customFormat="false" ht="12.75" hidden="false" customHeight="false" outlineLevel="0" collapsed="false">
      <c r="A14" s="91" t="n">
        <f aca="true">IF(ISERROR(MATCH(D14,iRefDt,0)),"",MATCH(D14,iRefDt,0))</f>
        <v>14</v>
      </c>
      <c r="B14" s="92" t="n">
        <f aca="false">MATCH(YEAR(D14),iSpreads)</f>
        <v>1</v>
      </c>
      <c r="C14" s="0" t="n">
        <f aca="false">MONTH(D14)</f>
        <v>1</v>
      </c>
      <c r="D14" s="93" t="n">
        <f aca="false">D13+1</f>
        <v>36920</v>
      </c>
      <c r="E14" s="94" t="n">
        <f aca="false">VLOOKUP($D14,tblPriorPrice,2)</f>
        <v>158</v>
      </c>
      <c r="F14" s="95" t="n">
        <f aca="false">+[2]EnergyCurve!$D14</f>
        <v>-20</v>
      </c>
      <c r="G14" s="96" t="n">
        <f aca="false">E14+F14</f>
        <v>138</v>
      </c>
      <c r="H14" s="96" t="n">
        <f aca="true">G14+OFFSET($CU$4,$B14,$C14)</f>
        <v>133</v>
      </c>
      <c r="I14" s="96" t="n">
        <f aca="true">G14+OFFSET($DI$4,$B14,$C14)</f>
        <v>163</v>
      </c>
      <c r="J14" s="94" t="n">
        <f aca="false">VLOOKUP($D14,tblPriorPrice,3)</f>
        <v>90</v>
      </c>
      <c r="K14" s="95" t="n">
        <f aca="false">+[2]EnergyCurve!$G14</f>
        <v>-5</v>
      </c>
      <c r="L14" s="96" t="n">
        <f aca="false">J14+K14</f>
        <v>85</v>
      </c>
      <c r="M14" s="96" t="n">
        <f aca="true">$L14+OFFSET($CU$27,$B14,$C14)</f>
        <v>80</v>
      </c>
      <c r="N14" s="97" t="n">
        <f aca="true">$L14+OFFSET($DI$27,$B14,$C14)</f>
        <v>90</v>
      </c>
      <c r="O14" s="58" t="n">
        <f aca="true">IF($A14="",0,INDEX(tblPosn,$A14,2))</f>
        <v>2088.01538085938</v>
      </c>
      <c r="P14" s="59" t="n">
        <f aca="true">IF($A14="",0,INDEX(tblPosn,$A14,3))</f>
        <v>1044.00769042969</v>
      </c>
      <c r="Q14" s="59" t="n">
        <f aca="true">IF($A14="",0,INDEX(tblPosn,$A14,4))</f>
        <v>0</v>
      </c>
      <c r="R14" s="59" t="n">
        <f aca="true">IF($A14="",0,INDEX(tblPosn,$A14,5))</f>
        <v>0</v>
      </c>
      <c r="S14" s="59" t="n">
        <f aca="true">IF($A14="",0,INDEX(tblPosn,$A14,6))</f>
        <v>0</v>
      </c>
      <c r="T14" s="98" t="n">
        <f aca="false">O14*F14+P14*K14+R14*AC14+S14*AH14+Q14*X14</f>
        <v>-46980.3460693359</v>
      </c>
      <c r="V14" s="99"/>
      <c r="W14" s="100"/>
      <c r="X14" s="101" t="n">
        <f aca="false">F14</f>
        <v>-20</v>
      </c>
      <c r="Y14" s="102"/>
      <c r="Z14" s="102"/>
      <c r="AA14" s="102"/>
      <c r="AB14" s="100"/>
      <c r="AC14" s="101" t="n">
        <f aca="false">F14</f>
        <v>-20</v>
      </c>
      <c r="AD14" s="102"/>
      <c r="AE14" s="102"/>
      <c r="AF14" s="103"/>
      <c r="AG14" s="100"/>
      <c r="AH14" s="101" t="n">
        <f aca="false">IF(MONTH(D14)=MONTH($V$34),$AH$34,$AH$33)</f>
        <v>0</v>
      </c>
      <c r="AI14" s="102"/>
      <c r="AJ14" s="102"/>
      <c r="AK14" s="103"/>
      <c r="AL14" s="104"/>
      <c r="AM14" s="103"/>
      <c r="AN14" s="104"/>
      <c r="AO14" s="104"/>
      <c r="AP14" s="104"/>
      <c r="AQ14" s="100"/>
      <c r="AR14" s="104"/>
      <c r="AS14" s="104"/>
      <c r="AT14" s="100"/>
      <c r="AU14" s="104"/>
      <c r="AV14" s="104"/>
      <c r="AW14" s="100"/>
      <c r="AX14" s="104"/>
      <c r="AY14" s="104"/>
      <c r="AZ14" s="100"/>
      <c r="BA14" s="74"/>
      <c r="BB14" s="148" t="n">
        <f aca="false">BB13+1</f>
        <v>2005</v>
      </c>
      <c r="BC14" s="149" t="n">
        <v>-2.5</v>
      </c>
      <c r="BD14" s="150" t="n">
        <v>5</v>
      </c>
      <c r="BE14" s="151" t="n">
        <v>0.6</v>
      </c>
      <c r="BF14" s="150" t="n">
        <v>-3.85</v>
      </c>
      <c r="BG14" s="150" t="n">
        <v>1.5</v>
      </c>
      <c r="BH14" s="151" t="n">
        <v>0</v>
      </c>
      <c r="BQ14" s="108" t="n">
        <v>36907.7428240741</v>
      </c>
      <c r="BR14" s="109" t="n">
        <v>36907.743287037</v>
      </c>
      <c r="BS14" s="110" t="n">
        <v>36918</v>
      </c>
      <c r="BT14" s="111" t="n">
        <v>0</v>
      </c>
      <c r="BU14" s="112" t="n">
        <v>1044.00756835938</v>
      </c>
      <c r="BV14" s="112" t="n">
        <v>2088.01538085938</v>
      </c>
      <c r="BW14" s="112" t="n">
        <v>0</v>
      </c>
      <c r="BX14" s="113" t="n">
        <v>0</v>
      </c>
      <c r="BY14" s="114"/>
      <c r="BZ14" s="115" t="n">
        <v>36919</v>
      </c>
      <c r="CA14" s="116" t="n">
        <v>120</v>
      </c>
      <c r="CB14" s="116" t="n">
        <v>90</v>
      </c>
      <c r="CC14" s="116"/>
      <c r="CD14" s="116"/>
      <c r="CE14" s="117"/>
      <c r="CG14" s="135" t="n">
        <f aca="false">BB19</f>
        <v>2010</v>
      </c>
      <c r="CH14" s="137" t="n">
        <v>2</v>
      </c>
      <c r="CI14" s="137" t="n">
        <v>0</v>
      </c>
      <c r="CJ14" s="137" t="n">
        <v>0</v>
      </c>
      <c r="CK14" s="137" t="n">
        <v>1</v>
      </c>
      <c r="CL14" s="137" t="n">
        <v>0</v>
      </c>
      <c r="CM14" s="137" t="n">
        <v>1</v>
      </c>
      <c r="CN14" s="137" t="n">
        <v>1</v>
      </c>
      <c r="CO14" s="137" t="n">
        <v>1</v>
      </c>
      <c r="CP14" s="137" t="n">
        <v>1</v>
      </c>
      <c r="CQ14" s="137" t="n">
        <v>1</v>
      </c>
      <c r="CR14" s="137" t="n">
        <v>0</v>
      </c>
      <c r="CS14" s="138" t="n">
        <v>2</v>
      </c>
      <c r="CU14" s="135" t="n">
        <f aca="false">BB19</f>
        <v>2010</v>
      </c>
      <c r="CV14" s="136" t="n">
        <v>-5</v>
      </c>
      <c r="CW14" s="137" t="n">
        <v>-5</v>
      </c>
      <c r="CX14" s="137" t="n">
        <v>-5</v>
      </c>
      <c r="CY14" s="137" t="n">
        <v>-5</v>
      </c>
      <c r="CZ14" s="137" t="n">
        <v>-5</v>
      </c>
      <c r="DA14" s="137" t="n">
        <v>-5</v>
      </c>
      <c r="DB14" s="137" t="n">
        <v>-5</v>
      </c>
      <c r="DC14" s="137" t="n">
        <v>-5</v>
      </c>
      <c r="DD14" s="137" t="n">
        <v>-5</v>
      </c>
      <c r="DE14" s="137" t="n">
        <v>-5</v>
      </c>
      <c r="DF14" s="137" t="n">
        <v>-5</v>
      </c>
      <c r="DG14" s="138" t="n">
        <v>-5</v>
      </c>
      <c r="DI14" s="135" t="n">
        <f aca="false">BB19</f>
        <v>2010</v>
      </c>
      <c r="DJ14" s="136" t="n">
        <v>24</v>
      </c>
      <c r="DK14" s="137" t="n">
        <v>24</v>
      </c>
      <c r="DL14" s="137" t="n">
        <v>24</v>
      </c>
      <c r="DM14" s="137" t="n">
        <v>24</v>
      </c>
      <c r="DN14" s="137" t="n">
        <v>24</v>
      </c>
      <c r="DO14" s="137" t="n">
        <v>24</v>
      </c>
      <c r="DP14" s="137" t="n">
        <v>24</v>
      </c>
      <c r="DQ14" s="137" t="n">
        <v>24</v>
      </c>
      <c r="DR14" s="137" t="n">
        <v>24</v>
      </c>
      <c r="DS14" s="137" t="n">
        <v>24</v>
      </c>
      <c r="DT14" s="137" t="n">
        <v>24</v>
      </c>
      <c r="DU14" s="138" t="n">
        <v>24</v>
      </c>
    </row>
    <row r="15" customFormat="false" ht="12.75" hidden="false" customHeight="false" outlineLevel="0" collapsed="false">
      <c r="A15" s="91" t="n">
        <f aca="true">IF(ISERROR(MATCH(D15,iRefDt,0)),"",MATCH(D15,iRefDt,0))</f>
        <v>15</v>
      </c>
      <c r="B15" s="92" t="n">
        <f aca="false">MATCH(YEAR(D15),iSpreads)</f>
        <v>1</v>
      </c>
      <c r="C15" s="0" t="n">
        <f aca="false">MONTH(D15)</f>
        <v>1</v>
      </c>
      <c r="D15" s="93" t="n">
        <f aca="false">D14+1</f>
        <v>36921</v>
      </c>
      <c r="E15" s="94" t="n">
        <f aca="false">VLOOKUP($D15,tblPriorPrice,2)</f>
        <v>158</v>
      </c>
      <c r="F15" s="95" t="n">
        <f aca="false">+[2]EnergyCurve!$D15</f>
        <v>-20</v>
      </c>
      <c r="G15" s="96" t="n">
        <f aca="false">E15+F15</f>
        <v>138</v>
      </c>
      <c r="H15" s="96" t="n">
        <f aca="true">G15+OFFSET($CU$4,$B15,$C15)</f>
        <v>133</v>
      </c>
      <c r="I15" s="96" t="n">
        <f aca="true">G15+OFFSET($DI$4,$B15,$C15)</f>
        <v>163</v>
      </c>
      <c r="J15" s="94" t="n">
        <f aca="false">VLOOKUP($D15,tblPriorPrice,3)</f>
        <v>90</v>
      </c>
      <c r="K15" s="95" t="n">
        <f aca="false">+[2]EnergyCurve!$G15</f>
        <v>-5</v>
      </c>
      <c r="L15" s="96" t="n">
        <f aca="false">J15+K15</f>
        <v>85</v>
      </c>
      <c r="M15" s="96" t="n">
        <f aca="true">$L15+OFFSET($CU$27,$B15,$C15)</f>
        <v>80</v>
      </c>
      <c r="N15" s="97" t="n">
        <f aca="true">$L15+OFFSET($DI$27,$B15,$C15)</f>
        <v>90</v>
      </c>
      <c r="O15" s="58" t="n">
        <f aca="true">IF($A15="",0,INDEX(tblPosn,$A15,2))</f>
        <v>2088.01538085938</v>
      </c>
      <c r="P15" s="59" t="n">
        <f aca="true">IF($A15="",0,INDEX(tblPosn,$A15,3))</f>
        <v>1044.00769042969</v>
      </c>
      <c r="Q15" s="59" t="n">
        <f aca="true">IF($A15="",0,INDEX(tblPosn,$A15,4))</f>
        <v>0</v>
      </c>
      <c r="R15" s="59" t="n">
        <f aca="true">IF($A15="",0,INDEX(tblPosn,$A15,5))</f>
        <v>0</v>
      </c>
      <c r="S15" s="59" t="n">
        <f aca="true">IF($A15="",0,INDEX(tblPosn,$A15,6))</f>
        <v>0</v>
      </c>
      <c r="T15" s="98" t="n">
        <f aca="false">O15*F15+P15*K15+R15*AC15+S15*AH15+Q15*X15</f>
        <v>-46980.3460693359</v>
      </c>
      <c r="V15" s="99"/>
      <c r="W15" s="100"/>
      <c r="X15" s="101" t="n">
        <f aca="false">F15</f>
        <v>-20</v>
      </c>
      <c r="Y15" s="102"/>
      <c r="Z15" s="102"/>
      <c r="AA15" s="102"/>
      <c r="AB15" s="100"/>
      <c r="AC15" s="101" t="n">
        <f aca="false">F15</f>
        <v>-20</v>
      </c>
      <c r="AD15" s="102"/>
      <c r="AE15" s="102"/>
      <c r="AF15" s="103"/>
      <c r="AG15" s="100"/>
      <c r="AH15" s="101" t="n">
        <f aca="false">IF(MONTH(D15)=MONTH($V$34),$AH$34,$AH$33)</f>
        <v>0</v>
      </c>
      <c r="AI15" s="102"/>
      <c r="AJ15" s="102"/>
      <c r="AK15" s="103"/>
      <c r="AL15" s="104"/>
      <c r="AM15" s="103"/>
      <c r="AN15" s="104"/>
      <c r="AO15" s="104"/>
      <c r="AP15" s="104"/>
      <c r="AQ15" s="100"/>
      <c r="AR15" s="104"/>
      <c r="AS15" s="104"/>
      <c r="AT15" s="100"/>
      <c r="AU15" s="104"/>
      <c r="AV15" s="104"/>
      <c r="AW15" s="100"/>
      <c r="AX15" s="104"/>
      <c r="AY15" s="104"/>
      <c r="AZ15" s="100"/>
      <c r="BA15" s="74"/>
      <c r="BB15" s="148" t="n">
        <f aca="false">BB14+1</f>
        <v>2006</v>
      </c>
      <c r="BC15" s="149" t="n">
        <v>-2.5</v>
      </c>
      <c r="BD15" s="150" t="n">
        <v>6</v>
      </c>
      <c r="BE15" s="151" t="n">
        <v>0.5</v>
      </c>
      <c r="BF15" s="150" t="n">
        <v>-4.5</v>
      </c>
      <c r="BG15" s="150" t="n">
        <v>1.5</v>
      </c>
      <c r="BH15" s="151" t="n">
        <v>0</v>
      </c>
      <c r="BQ15" s="108" t="n">
        <v>36907.7428240741</v>
      </c>
      <c r="BR15" s="109" t="n">
        <v>36907.743287037</v>
      </c>
      <c r="BS15" s="110" t="n">
        <v>36919</v>
      </c>
      <c r="BT15" s="111" t="n">
        <v>0</v>
      </c>
      <c r="BU15" s="112" t="n">
        <v>1044.00769042969</v>
      </c>
      <c r="BV15" s="112" t="n">
        <v>0</v>
      </c>
      <c r="BW15" s="112" t="n">
        <v>2088.01538085938</v>
      </c>
      <c r="BX15" s="113" t="n">
        <v>0</v>
      </c>
      <c r="BY15" s="114"/>
      <c r="BZ15" s="115" t="n">
        <v>36920</v>
      </c>
      <c r="CA15" s="116" t="n">
        <v>158</v>
      </c>
      <c r="CB15" s="116" t="n">
        <v>90</v>
      </c>
      <c r="CC15" s="116"/>
      <c r="CD15" s="116"/>
      <c r="CE15" s="117"/>
      <c r="CG15" s="135" t="n">
        <f aca="false">BB20</f>
        <v>2011</v>
      </c>
      <c r="CH15" s="137" t="n">
        <v>0</v>
      </c>
      <c r="CI15" s="137" t="n">
        <v>0</v>
      </c>
      <c r="CJ15" s="137" t="n">
        <v>0</v>
      </c>
      <c r="CK15" s="137" t="n">
        <v>0</v>
      </c>
      <c r="CL15" s="137" t="n">
        <v>0</v>
      </c>
      <c r="CM15" s="137" t="n">
        <v>0</v>
      </c>
      <c r="CN15" s="137" t="n">
        <v>0</v>
      </c>
      <c r="CO15" s="137" t="n">
        <v>0</v>
      </c>
      <c r="CP15" s="137" t="n">
        <v>0</v>
      </c>
      <c r="CQ15" s="137" t="n">
        <v>0</v>
      </c>
      <c r="CR15" s="137" t="n">
        <v>0</v>
      </c>
      <c r="CS15" s="138" t="n">
        <v>0</v>
      </c>
      <c r="CU15" s="135" t="n">
        <f aca="false">BB20</f>
        <v>2011</v>
      </c>
      <c r="CV15" s="136" t="n">
        <v>-5</v>
      </c>
      <c r="CW15" s="137" t="n">
        <v>-5</v>
      </c>
      <c r="CX15" s="137" t="n">
        <v>-5</v>
      </c>
      <c r="CY15" s="137" t="n">
        <v>-5</v>
      </c>
      <c r="CZ15" s="137" t="n">
        <v>-5</v>
      </c>
      <c r="DA15" s="137" t="n">
        <v>-5</v>
      </c>
      <c r="DB15" s="137" t="n">
        <v>-5</v>
      </c>
      <c r="DC15" s="137" t="n">
        <v>-5</v>
      </c>
      <c r="DD15" s="137" t="n">
        <v>-5</v>
      </c>
      <c r="DE15" s="137" t="n">
        <v>-5</v>
      </c>
      <c r="DF15" s="137" t="n">
        <v>-5</v>
      </c>
      <c r="DG15" s="138" t="n">
        <v>-5</v>
      </c>
      <c r="DI15" s="135" t="n">
        <f aca="false">BB20</f>
        <v>2011</v>
      </c>
      <c r="DJ15" s="136" t="n">
        <v>25</v>
      </c>
      <c r="DK15" s="137" t="n">
        <v>25</v>
      </c>
      <c r="DL15" s="137" t="n">
        <v>25</v>
      </c>
      <c r="DM15" s="137" t="n">
        <v>25</v>
      </c>
      <c r="DN15" s="137" t="n">
        <v>25</v>
      </c>
      <c r="DO15" s="137" t="n">
        <v>25</v>
      </c>
      <c r="DP15" s="137" t="n">
        <v>25</v>
      </c>
      <c r="DQ15" s="137" t="n">
        <v>25</v>
      </c>
      <c r="DR15" s="137" t="n">
        <v>25</v>
      </c>
      <c r="DS15" s="137" t="n">
        <v>25</v>
      </c>
      <c r="DT15" s="137" t="n">
        <v>25</v>
      </c>
      <c r="DU15" s="138" t="n">
        <v>25</v>
      </c>
    </row>
    <row r="16" customFormat="false" ht="12.75" hidden="false" customHeight="false" outlineLevel="0" collapsed="false">
      <c r="A16" s="91" t="n">
        <f aca="true">IF(ISERROR(MATCH(D16,iRefDt,0)),"",MATCH(D16,iRefDt,0))</f>
        <v>16</v>
      </c>
      <c r="B16" s="92" t="n">
        <f aca="false">MATCH(YEAR(D16),iSpreads)</f>
        <v>1</v>
      </c>
      <c r="C16" s="0" t="n">
        <f aca="false">MONTH(D16)</f>
        <v>1</v>
      </c>
      <c r="D16" s="93" t="n">
        <f aca="false">D15+1</f>
        <v>36922</v>
      </c>
      <c r="E16" s="94" t="n">
        <f aca="false">VLOOKUP($D16,tblPriorPrice,2)</f>
        <v>158</v>
      </c>
      <c r="F16" s="95" t="n">
        <f aca="false">+[2]EnergyCurve!$D16</f>
        <v>-20</v>
      </c>
      <c r="G16" s="96" t="n">
        <f aca="false">E16+F16</f>
        <v>138</v>
      </c>
      <c r="H16" s="96" t="n">
        <f aca="true">G16+OFFSET($CU$4,$B16,$C16)</f>
        <v>133</v>
      </c>
      <c r="I16" s="96" t="n">
        <f aca="true">G16+OFFSET($DI$4,$B16,$C16)</f>
        <v>163</v>
      </c>
      <c r="J16" s="94" t="n">
        <f aca="false">VLOOKUP($D16,tblPriorPrice,3)</f>
        <v>90</v>
      </c>
      <c r="K16" s="95" t="n">
        <f aca="false">+[2]EnergyCurve!$G16</f>
        <v>-5</v>
      </c>
      <c r="L16" s="96" t="n">
        <f aca="false">J16+K16</f>
        <v>85</v>
      </c>
      <c r="M16" s="96" t="n">
        <f aca="true">$L16+OFFSET($CU$27,$B16,$C16)</f>
        <v>80</v>
      </c>
      <c r="N16" s="97" t="n">
        <f aca="true">$L16+OFFSET($DI$27,$B16,$C16)</f>
        <v>90</v>
      </c>
      <c r="O16" s="58" t="n">
        <f aca="true">IF($A16="",0,INDEX(tblPosn,$A16,2))</f>
        <v>2088.01538085938</v>
      </c>
      <c r="P16" s="59" t="n">
        <f aca="true">IF($A16="",0,INDEX(tblPosn,$A16,3))</f>
        <v>1044.00769042969</v>
      </c>
      <c r="Q16" s="59" t="n">
        <f aca="true">IF($A16="",0,INDEX(tblPosn,$A16,4))</f>
        <v>0</v>
      </c>
      <c r="R16" s="59" t="n">
        <f aca="true">IF($A16="",0,INDEX(tblPosn,$A16,5))</f>
        <v>0</v>
      </c>
      <c r="S16" s="59" t="n">
        <f aca="true">IF($A16="",0,INDEX(tblPosn,$A16,6))</f>
        <v>0</v>
      </c>
      <c r="T16" s="98" t="n">
        <f aca="false">O16*F16+P16*K16+R16*AC16+S16*AH16+Q16*X16</f>
        <v>-46980.3460693359</v>
      </c>
      <c r="V16" s="99"/>
      <c r="W16" s="100"/>
      <c r="X16" s="101" t="n">
        <f aca="false">F16</f>
        <v>-20</v>
      </c>
      <c r="Y16" s="102"/>
      <c r="Z16" s="102"/>
      <c r="AA16" s="102"/>
      <c r="AB16" s="100"/>
      <c r="AC16" s="101" t="n">
        <f aca="false">F16</f>
        <v>-20</v>
      </c>
      <c r="AD16" s="102"/>
      <c r="AE16" s="102"/>
      <c r="AF16" s="103"/>
      <c r="AG16" s="100"/>
      <c r="AH16" s="101" t="n">
        <f aca="false">IF(MONTH(D16)=MONTH($V$34),$AH$34,$AH$33)</f>
        <v>0</v>
      </c>
      <c r="AI16" s="102"/>
      <c r="AJ16" s="102"/>
      <c r="AK16" s="103"/>
      <c r="AL16" s="104"/>
      <c r="AM16" s="103"/>
      <c r="AN16" s="104"/>
      <c r="AO16" s="104"/>
      <c r="AP16" s="104"/>
      <c r="AQ16" s="100"/>
      <c r="AR16" s="104"/>
      <c r="AS16" s="104"/>
      <c r="AT16" s="100"/>
      <c r="AU16" s="104"/>
      <c r="AV16" s="104"/>
      <c r="AW16" s="100"/>
      <c r="AX16" s="104"/>
      <c r="AY16" s="104"/>
      <c r="AZ16" s="100"/>
      <c r="BA16" s="74"/>
      <c r="BB16" s="148" t="n">
        <f aca="false">BB15+1</f>
        <v>2007</v>
      </c>
      <c r="BC16" s="149" t="n">
        <v>-2.5</v>
      </c>
      <c r="BD16" s="150" t="n">
        <v>7</v>
      </c>
      <c r="BE16" s="151" t="n">
        <v>0.3</v>
      </c>
      <c r="BF16" s="150" t="n">
        <v>-5.25</v>
      </c>
      <c r="BG16" s="150" t="n">
        <v>1.65</v>
      </c>
      <c r="BH16" s="151" t="n">
        <v>0</v>
      </c>
      <c r="BQ16" s="108" t="n">
        <v>36907.7428240741</v>
      </c>
      <c r="BR16" s="109" t="n">
        <v>36907.743287037</v>
      </c>
      <c r="BS16" s="110" t="n">
        <v>36920</v>
      </c>
      <c r="BT16" s="111" t="n">
        <v>2088.01538085938</v>
      </c>
      <c r="BU16" s="112" t="n">
        <v>1044.00769042969</v>
      </c>
      <c r="BV16" s="112" t="n">
        <v>0</v>
      </c>
      <c r="BW16" s="112" t="n">
        <v>0</v>
      </c>
      <c r="BX16" s="113" t="n">
        <v>0</v>
      </c>
      <c r="BY16" s="114"/>
      <c r="BZ16" s="115" t="n">
        <v>36921</v>
      </c>
      <c r="CA16" s="116" t="n">
        <v>158</v>
      </c>
      <c r="CB16" s="116" t="n">
        <v>90</v>
      </c>
      <c r="CC16" s="116"/>
      <c r="CD16" s="116"/>
      <c r="CE16" s="117"/>
      <c r="CG16" s="135" t="n">
        <f aca="false">BB21</f>
        <v>2012</v>
      </c>
      <c r="CH16" s="137" t="n">
        <v>0</v>
      </c>
      <c r="CI16" s="137" t="n">
        <v>0</v>
      </c>
      <c r="CJ16" s="137" t="n">
        <v>0</v>
      </c>
      <c r="CK16" s="137" t="n">
        <v>0</v>
      </c>
      <c r="CL16" s="137" t="n">
        <v>0</v>
      </c>
      <c r="CM16" s="137" t="n">
        <v>0</v>
      </c>
      <c r="CN16" s="137" t="n">
        <v>0</v>
      </c>
      <c r="CO16" s="137" t="n">
        <v>0</v>
      </c>
      <c r="CP16" s="137" t="n">
        <v>0</v>
      </c>
      <c r="CQ16" s="137" t="n">
        <v>0</v>
      </c>
      <c r="CR16" s="137" t="n">
        <v>0</v>
      </c>
      <c r="CS16" s="138" t="n">
        <v>0</v>
      </c>
      <c r="CU16" s="135" t="n">
        <f aca="false">BB21</f>
        <v>2012</v>
      </c>
      <c r="CV16" s="136" t="n">
        <v>-5</v>
      </c>
      <c r="CW16" s="137" t="n">
        <v>-5</v>
      </c>
      <c r="CX16" s="137" t="n">
        <v>-5</v>
      </c>
      <c r="CY16" s="137" t="n">
        <v>-5</v>
      </c>
      <c r="CZ16" s="137" t="n">
        <v>-5</v>
      </c>
      <c r="DA16" s="137" t="n">
        <v>-5</v>
      </c>
      <c r="DB16" s="137" t="n">
        <v>-5</v>
      </c>
      <c r="DC16" s="137" t="n">
        <v>-5</v>
      </c>
      <c r="DD16" s="137" t="n">
        <v>-5</v>
      </c>
      <c r="DE16" s="137" t="n">
        <v>-5</v>
      </c>
      <c r="DF16" s="137" t="n">
        <v>-5</v>
      </c>
      <c r="DG16" s="138" t="n">
        <v>-5</v>
      </c>
      <c r="DI16" s="135" t="n">
        <f aca="false">BB21</f>
        <v>2012</v>
      </c>
      <c r="DJ16" s="136" t="n">
        <v>26</v>
      </c>
      <c r="DK16" s="137" t="n">
        <v>26</v>
      </c>
      <c r="DL16" s="137" t="n">
        <v>26</v>
      </c>
      <c r="DM16" s="137" t="n">
        <v>26</v>
      </c>
      <c r="DN16" s="137" t="n">
        <v>26</v>
      </c>
      <c r="DO16" s="137" t="n">
        <v>26</v>
      </c>
      <c r="DP16" s="137" t="n">
        <v>26</v>
      </c>
      <c r="DQ16" s="137" t="n">
        <v>26</v>
      </c>
      <c r="DR16" s="137" t="n">
        <v>26</v>
      </c>
      <c r="DS16" s="137" t="n">
        <v>26</v>
      </c>
      <c r="DT16" s="137" t="n">
        <v>26</v>
      </c>
      <c r="DU16" s="138" t="n">
        <v>26</v>
      </c>
    </row>
    <row r="17" customFormat="false" ht="12.75" hidden="false" customHeight="false" outlineLevel="0" collapsed="false">
      <c r="A17" s="91" t="n">
        <f aca="true">IF(ISERROR(MATCH(D17,iRefDt,0)),"",MATCH(D17,iRefDt,0))</f>
        <v>17</v>
      </c>
      <c r="B17" s="92" t="n">
        <f aca="false">MATCH(YEAR(D17),iSpreads)</f>
        <v>1</v>
      </c>
      <c r="C17" s="0" t="n">
        <f aca="false">MONTH(D17)</f>
        <v>2</v>
      </c>
      <c r="D17" s="93" t="n">
        <f aca="false">D16+1</f>
        <v>36923</v>
      </c>
      <c r="E17" s="94" t="n">
        <f aca="false">VLOOKUP($D17,tblPriorPrice,2)</f>
        <v>185</v>
      </c>
      <c r="F17" s="95" t="n">
        <f aca="false">+[2]EnergyCurve!$D17</f>
        <v>-10</v>
      </c>
      <c r="G17" s="96" t="n">
        <f aca="false">E17+F17</f>
        <v>175</v>
      </c>
      <c r="H17" s="96" t="n">
        <f aca="true">G17+OFFSET($CU$4,$B17,$C17)</f>
        <v>170</v>
      </c>
      <c r="I17" s="96" t="n">
        <f aca="true">G17+OFFSET($DI$4,$B17,$C17)</f>
        <v>200</v>
      </c>
      <c r="J17" s="94" t="n">
        <f aca="false">VLOOKUP($D17,tblPriorPrice,3)</f>
        <v>90</v>
      </c>
      <c r="K17" s="95" t="n">
        <f aca="false">+[2]EnergyCurve!$G17</f>
        <v>-5</v>
      </c>
      <c r="L17" s="96" t="n">
        <f aca="false">J17+K17</f>
        <v>85</v>
      </c>
      <c r="M17" s="96" t="n">
        <f aca="true">$L17+OFFSET($CU$27,$B17,$C17)</f>
        <v>80</v>
      </c>
      <c r="N17" s="97" t="n">
        <f aca="true">$L17+OFFSET($DI$27,$B17,$C17)</f>
        <v>90</v>
      </c>
      <c r="O17" s="58" t="n">
        <f aca="true">IF($A17="",0,INDEX(tblPosn,$A17,2))</f>
        <v>3374.03784179688</v>
      </c>
      <c r="P17" s="59" t="n">
        <f aca="true">IF($A17="",0,INDEX(tblPosn,$A17,3))</f>
        <v>1687.01892089844</v>
      </c>
      <c r="Q17" s="59" t="n">
        <f aca="true">IF($A17="",0,INDEX(tblPosn,$A17,4))</f>
        <v>0</v>
      </c>
      <c r="R17" s="59" t="n">
        <f aca="true">IF($A17="",0,INDEX(tblPosn,$A17,5))</f>
        <v>0</v>
      </c>
      <c r="S17" s="59" t="n">
        <f aca="true">IF($A17="",0,INDEX(tblPosn,$A17,6))</f>
        <v>0</v>
      </c>
      <c r="T17" s="98" t="n">
        <f aca="false">O17*F17+P17*K17+R17*AC17+S17*AH17+Q17*X17</f>
        <v>-42175.4730224609</v>
      </c>
      <c r="V17" s="99"/>
      <c r="W17" s="100"/>
      <c r="X17" s="101" t="n">
        <f aca="false">F17</f>
        <v>-10</v>
      </c>
      <c r="Y17" s="102"/>
      <c r="Z17" s="102"/>
      <c r="AA17" s="102"/>
      <c r="AB17" s="100"/>
      <c r="AC17" s="101" t="n">
        <f aca="false">F17</f>
        <v>-10</v>
      </c>
      <c r="AD17" s="102"/>
      <c r="AE17" s="102"/>
      <c r="AF17" s="103"/>
      <c r="AG17" s="100"/>
      <c r="AH17" s="101" t="n">
        <f aca="false">IF(MONTH(D17)=MONTH($V$34),$AH$34,$AH$33)</f>
        <v>0</v>
      </c>
      <c r="AI17" s="102"/>
      <c r="AJ17" s="102"/>
      <c r="AK17" s="103"/>
      <c r="AL17" s="104"/>
      <c r="AM17" s="103"/>
      <c r="AN17" s="104"/>
      <c r="AO17" s="104"/>
      <c r="AP17" s="104"/>
      <c r="AQ17" s="100"/>
      <c r="AR17" s="104"/>
      <c r="AS17" s="104"/>
      <c r="AT17" s="100"/>
      <c r="AU17" s="104"/>
      <c r="AV17" s="104"/>
      <c r="AW17" s="100"/>
      <c r="AX17" s="104"/>
      <c r="AY17" s="104"/>
      <c r="AZ17" s="100"/>
      <c r="BA17" s="74"/>
      <c r="BB17" s="148" t="n">
        <f aca="false">BB16+1</f>
        <v>2008</v>
      </c>
      <c r="BC17" s="149" t="n">
        <v>-2.5</v>
      </c>
      <c r="BD17" s="150" t="n">
        <v>7</v>
      </c>
      <c r="BE17" s="151" t="n">
        <v>0.1</v>
      </c>
      <c r="BF17" s="150" t="n">
        <v>-6.1</v>
      </c>
      <c r="BG17" s="150" t="n">
        <v>1.75</v>
      </c>
      <c r="BH17" s="151" t="n">
        <v>0</v>
      </c>
      <c r="BQ17" s="108" t="n">
        <v>36907.7428240741</v>
      </c>
      <c r="BR17" s="109" t="n">
        <v>36907.743287037</v>
      </c>
      <c r="BS17" s="110" t="n">
        <v>36921</v>
      </c>
      <c r="BT17" s="111" t="n">
        <v>2088.01538085938</v>
      </c>
      <c r="BU17" s="112" t="n">
        <v>1044.00769042969</v>
      </c>
      <c r="BV17" s="112" t="n">
        <v>0</v>
      </c>
      <c r="BW17" s="112" t="n">
        <v>0</v>
      </c>
      <c r="BX17" s="113" t="n">
        <v>0</v>
      </c>
      <c r="BY17" s="114"/>
      <c r="BZ17" s="115" t="n">
        <v>36922</v>
      </c>
      <c r="CA17" s="116" t="n">
        <v>158</v>
      </c>
      <c r="CB17" s="116" t="n">
        <v>90</v>
      </c>
      <c r="CC17" s="116"/>
      <c r="CD17" s="116"/>
      <c r="CE17" s="117"/>
      <c r="CG17" s="135" t="n">
        <f aca="false">BB22</f>
        <v>2013</v>
      </c>
      <c r="CH17" s="137" t="n">
        <v>0</v>
      </c>
      <c r="CI17" s="137" t="n">
        <v>0</v>
      </c>
      <c r="CJ17" s="137" t="n">
        <v>0</v>
      </c>
      <c r="CK17" s="137" t="n">
        <v>0</v>
      </c>
      <c r="CL17" s="137" t="n">
        <v>0</v>
      </c>
      <c r="CM17" s="137" t="n">
        <v>0</v>
      </c>
      <c r="CN17" s="137" t="n">
        <v>0</v>
      </c>
      <c r="CO17" s="137" t="n">
        <v>0</v>
      </c>
      <c r="CP17" s="137" t="n">
        <v>0</v>
      </c>
      <c r="CQ17" s="137" t="n">
        <v>0</v>
      </c>
      <c r="CR17" s="137" t="n">
        <v>0</v>
      </c>
      <c r="CS17" s="138" t="n">
        <v>0</v>
      </c>
      <c r="CU17" s="135" t="n">
        <f aca="false">BB22</f>
        <v>2013</v>
      </c>
      <c r="CV17" s="136" t="n">
        <v>-5</v>
      </c>
      <c r="CW17" s="137" t="n">
        <v>-5</v>
      </c>
      <c r="CX17" s="137" t="n">
        <v>-5</v>
      </c>
      <c r="CY17" s="137" t="n">
        <v>-5</v>
      </c>
      <c r="CZ17" s="137" t="n">
        <v>-5</v>
      </c>
      <c r="DA17" s="137" t="n">
        <v>-5</v>
      </c>
      <c r="DB17" s="137" t="n">
        <v>-5</v>
      </c>
      <c r="DC17" s="137" t="n">
        <v>-5</v>
      </c>
      <c r="DD17" s="137" t="n">
        <v>-5</v>
      </c>
      <c r="DE17" s="137" t="n">
        <v>-5</v>
      </c>
      <c r="DF17" s="137" t="n">
        <v>-5</v>
      </c>
      <c r="DG17" s="138" t="n">
        <v>-5</v>
      </c>
      <c r="DI17" s="135" t="n">
        <f aca="false">BB22</f>
        <v>2013</v>
      </c>
      <c r="DJ17" s="136" t="n">
        <v>27</v>
      </c>
      <c r="DK17" s="137" t="n">
        <v>27</v>
      </c>
      <c r="DL17" s="137" t="n">
        <v>27</v>
      </c>
      <c r="DM17" s="137" t="n">
        <v>27</v>
      </c>
      <c r="DN17" s="137" t="n">
        <v>27</v>
      </c>
      <c r="DO17" s="137" t="n">
        <v>27</v>
      </c>
      <c r="DP17" s="137" t="n">
        <v>27</v>
      </c>
      <c r="DQ17" s="137" t="n">
        <v>27</v>
      </c>
      <c r="DR17" s="137" t="n">
        <v>27</v>
      </c>
      <c r="DS17" s="137" t="n">
        <v>27</v>
      </c>
      <c r="DT17" s="137" t="n">
        <v>27</v>
      </c>
      <c r="DU17" s="138" t="n">
        <v>27</v>
      </c>
    </row>
    <row r="18" customFormat="false" ht="12.75" hidden="false" customHeight="false" outlineLevel="0" collapsed="false">
      <c r="A18" s="91" t="n">
        <f aca="true">IF(ISERROR(MATCH(D18,iRefDt,0)),"",MATCH(D18,iRefDt,0))</f>
        <v>18</v>
      </c>
      <c r="B18" s="92" t="n">
        <f aca="false">MATCH(YEAR(D18),iSpreads)</f>
        <v>1</v>
      </c>
      <c r="C18" s="0" t="n">
        <f aca="false">MONTH(D18)</f>
        <v>2</v>
      </c>
      <c r="D18" s="93" t="n">
        <f aca="false">D17+1</f>
        <v>36924</v>
      </c>
      <c r="E18" s="94" t="n">
        <f aca="false">VLOOKUP($D18,tblPriorPrice,2)</f>
        <v>185</v>
      </c>
      <c r="F18" s="95" t="n">
        <f aca="false">+[2]EnergyCurve!$D18</f>
        <v>-10</v>
      </c>
      <c r="G18" s="96" t="n">
        <f aca="false">E18+F18</f>
        <v>175</v>
      </c>
      <c r="H18" s="96" t="n">
        <f aca="true">G18+OFFSET($CU$4,$B18,$C18)</f>
        <v>170</v>
      </c>
      <c r="I18" s="96" t="n">
        <f aca="true">G18+OFFSET($DI$4,$B18,$C18)</f>
        <v>200</v>
      </c>
      <c r="J18" s="94" t="n">
        <f aca="false">VLOOKUP($D18,tblPriorPrice,3)</f>
        <v>90</v>
      </c>
      <c r="K18" s="95" t="n">
        <f aca="false">+[2]EnergyCurve!$G18</f>
        <v>-5</v>
      </c>
      <c r="L18" s="96" t="n">
        <f aca="false">J18+K18</f>
        <v>85</v>
      </c>
      <c r="M18" s="96" t="n">
        <f aca="true">$L18+OFFSET($CU$27,$B18,$C18)</f>
        <v>80</v>
      </c>
      <c r="N18" s="97" t="n">
        <f aca="true">$L18+OFFSET($DI$27,$B18,$C18)</f>
        <v>90</v>
      </c>
      <c r="O18" s="58" t="n">
        <f aca="true">IF($A18="",0,INDEX(tblPosn,$A18,2))</f>
        <v>3374.03784179688</v>
      </c>
      <c r="P18" s="59" t="n">
        <f aca="true">IF($A18="",0,INDEX(tblPosn,$A18,3))</f>
        <v>1687.01892089844</v>
      </c>
      <c r="Q18" s="59" t="n">
        <f aca="true">IF($A18="",0,INDEX(tblPosn,$A18,4))</f>
        <v>0</v>
      </c>
      <c r="R18" s="59" t="n">
        <f aca="true">IF($A18="",0,INDEX(tblPosn,$A18,5))</f>
        <v>0</v>
      </c>
      <c r="S18" s="59" t="n">
        <f aca="true">IF($A18="",0,INDEX(tblPosn,$A18,6))</f>
        <v>0</v>
      </c>
      <c r="T18" s="98" t="n">
        <f aca="false">O18*F18+P18*K18+R18*AC18+S18*AH18+Q18*X18</f>
        <v>-42175.4730224609</v>
      </c>
      <c r="V18" s="99"/>
      <c r="W18" s="100"/>
      <c r="X18" s="101" t="n">
        <f aca="false">F18</f>
        <v>-10</v>
      </c>
      <c r="Y18" s="102"/>
      <c r="Z18" s="102"/>
      <c r="AA18" s="102"/>
      <c r="AB18" s="100"/>
      <c r="AC18" s="101" t="n">
        <f aca="false">F18</f>
        <v>-10</v>
      </c>
      <c r="AD18" s="102"/>
      <c r="AE18" s="102"/>
      <c r="AF18" s="103"/>
      <c r="AG18" s="100"/>
      <c r="AH18" s="101" t="n">
        <f aca="false">IF(MONTH(D18)=MONTH($V$34),$AH$34,$AH$33)</f>
        <v>0</v>
      </c>
      <c r="AI18" s="102"/>
      <c r="AJ18" s="102"/>
      <c r="AK18" s="103"/>
      <c r="AL18" s="104"/>
      <c r="AM18" s="103"/>
      <c r="AN18" s="104"/>
      <c r="AO18" s="104"/>
      <c r="AP18" s="104"/>
      <c r="AQ18" s="100"/>
      <c r="AR18" s="104"/>
      <c r="AS18" s="104"/>
      <c r="AT18" s="100"/>
      <c r="AU18" s="104"/>
      <c r="AV18" s="104"/>
      <c r="AW18" s="100"/>
      <c r="AX18" s="104"/>
      <c r="AY18" s="104"/>
      <c r="AZ18" s="100"/>
      <c r="BA18" s="74"/>
      <c r="BB18" s="148" t="n">
        <f aca="false">BB17+1</f>
        <v>2009</v>
      </c>
      <c r="BC18" s="149" t="n">
        <v>-2.5</v>
      </c>
      <c r="BD18" s="150" t="n">
        <v>7</v>
      </c>
      <c r="BE18" s="151" t="n">
        <v>1</v>
      </c>
      <c r="BF18" s="150" t="n">
        <v>-7.05</v>
      </c>
      <c r="BG18" s="150" t="n">
        <v>1.85</v>
      </c>
      <c r="BH18" s="151" t="n">
        <v>0.5</v>
      </c>
      <c r="BQ18" s="108" t="n">
        <v>36907.7428240741</v>
      </c>
      <c r="BR18" s="109" t="n">
        <v>36907.743287037</v>
      </c>
      <c r="BS18" s="110" t="n">
        <v>36922</v>
      </c>
      <c r="BT18" s="111" t="n">
        <v>2088.01538085938</v>
      </c>
      <c r="BU18" s="112" t="n">
        <v>1044.00769042969</v>
      </c>
      <c r="BV18" s="112" t="n">
        <v>0</v>
      </c>
      <c r="BW18" s="112" t="n">
        <v>0</v>
      </c>
      <c r="BX18" s="113" t="n">
        <v>0</v>
      </c>
      <c r="BY18" s="114"/>
      <c r="BZ18" s="115" t="n">
        <v>36923</v>
      </c>
      <c r="CA18" s="116" t="n">
        <v>185</v>
      </c>
      <c r="CB18" s="116" t="n">
        <v>90</v>
      </c>
      <c r="CC18" s="116"/>
      <c r="CD18" s="116"/>
      <c r="CE18" s="117"/>
      <c r="CG18" s="135" t="n">
        <f aca="false">BB23</f>
        <v>2014</v>
      </c>
      <c r="CH18" s="137" t="n">
        <v>0</v>
      </c>
      <c r="CI18" s="137" t="n">
        <v>0</v>
      </c>
      <c r="CJ18" s="137" t="n">
        <v>0</v>
      </c>
      <c r="CK18" s="137" t="n">
        <v>0</v>
      </c>
      <c r="CL18" s="137" t="n">
        <v>0</v>
      </c>
      <c r="CM18" s="137" t="n">
        <v>0</v>
      </c>
      <c r="CN18" s="137" t="n">
        <v>0</v>
      </c>
      <c r="CO18" s="137" t="n">
        <v>0</v>
      </c>
      <c r="CP18" s="137" t="n">
        <v>0</v>
      </c>
      <c r="CQ18" s="137" t="n">
        <v>0</v>
      </c>
      <c r="CR18" s="137" t="n">
        <v>0</v>
      </c>
      <c r="CS18" s="138" t="n">
        <v>0</v>
      </c>
      <c r="CU18" s="135" t="n">
        <f aca="false">BB23</f>
        <v>2014</v>
      </c>
      <c r="CV18" s="136" t="n">
        <v>-5</v>
      </c>
      <c r="CW18" s="137" t="n">
        <v>-5</v>
      </c>
      <c r="CX18" s="137" t="n">
        <v>-5</v>
      </c>
      <c r="CY18" s="137" t="n">
        <v>-5</v>
      </c>
      <c r="CZ18" s="137" t="n">
        <v>-5</v>
      </c>
      <c r="DA18" s="137" t="n">
        <v>-5</v>
      </c>
      <c r="DB18" s="137" t="n">
        <v>-5</v>
      </c>
      <c r="DC18" s="137" t="n">
        <v>-5</v>
      </c>
      <c r="DD18" s="137" t="n">
        <v>-5</v>
      </c>
      <c r="DE18" s="137" t="n">
        <v>-5</v>
      </c>
      <c r="DF18" s="137" t="n">
        <v>-5</v>
      </c>
      <c r="DG18" s="138" t="n">
        <v>-5</v>
      </c>
      <c r="DI18" s="135" t="n">
        <f aca="false">BB23</f>
        <v>2014</v>
      </c>
      <c r="DJ18" s="136" t="n">
        <v>28</v>
      </c>
      <c r="DK18" s="137" t="n">
        <v>28</v>
      </c>
      <c r="DL18" s="137" t="n">
        <v>28</v>
      </c>
      <c r="DM18" s="137" t="n">
        <v>28</v>
      </c>
      <c r="DN18" s="137" t="n">
        <v>28</v>
      </c>
      <c r="DO18" s="137" t="n">
        <v>28</v>
      </c>
      <c r="DP18" s="137" t="n">
        <v>28</v>
      </c>
      <c r="DQ18" s="137" t="n">
        <v>28</v>
      </c>
      <c r="DR18" s="137" t="n">
        <v>28</v>
      </c>
      <c r="DS18" s="137" t="n">
        <v>28</v>
      </c>
      <c r="DT18" s="137" t="n">
        <v>28</v>
      </c>
      <c r="DU18" s="138" t="n">
        <v>28</v>
      </c>
    </row>
    <row r="19" customFormat="false" ht="12.75" hidden="false" customHeight="false" outlineLevel="0" collapsed="false">
      <c r="A19" s="91" t="n">
        <f aca="true">IF(ISERROR(MATCH(D19,iRefDt,0)),"",MATCH(D19,iRefDt,0))</f>
        <v>19</v>
      </c>
      <c r="B19" s="92" t="n">
        <f aca="false">MATCH(YEAR(D19),iSpreads)</f>
        <v>1</v>
      </c>
      <c r="C19" s="0" t="n">
        <f aca="false">MONTH(D19)</f>
        <v>2</v>
      </c>
      <c r="D19" s="93" t="n">
        <f aca="false">D18+1</f>
        <v>36925</v>
      </c>
      <c r="E19" s="94" t="n">
        <f aca="false">VLOOKUP($D19,tblPriorPrice,2)</f>
        <v>134</v>
      </c>
      <c r="F19" s="95" t="n">
        <f aca="false">+[2]EnergyCurve!$D19</f>
        <v>-10</v>
      </c>
      <c r="G19" s="96" t="n">
        <f aca="false">E19+F19</f>
        <v>124</v>
      </c>
      <c r="H19" s="96" t="n">
        <f aca="true">G19+OFFSET($CU$4,$B19,$C19)</f>
        <v>119</v>
      </c>
      <c r="I19" s="96" t="n">
        <f aca="true">G19+OFFSET($DI$4,$B19,$C19)</f>
        <v>149</v>
      </c>
      <c r="J19" s="94" t="n">
        <f aca="false">VLOOKUP($D19,tblPriorPrice,3)</f>
        <v>90</v>
      </c>
      <c r="K19" s="95" t="n">
        <f aca="false">+[2]EnergyCurve!$G19</f>
        <v>-5</v>
      </c>
      <c r="L19" s="96" t="n">
        <f aca="false">J19+K19</f>
        <v>85</v>
      </c>
      <c r="M19" s="96" t="n">
        <f aca="true">$L19+OFFSET($CU$27,$B19,$C19)</f>
        <v>80</v>
      </c>
      <c r="N19" s="97" t="n">
        <f aca="true">$L19+OFFSET($DI$27,$B19,$C19)</f>
        <v>90</v>
      </c>
      <c r="O19" s="58" t="n">
        <f aca="true">IF($A19="",0,INDEX(tblPosn,$A19,2))</f>
        <v>0</v>
      </c>
      <c r="P19" s="59" t="n">
        <f aca="true">IF($A19="",0,INDEX(tblPosn,$A19,3))</f>
        <v>1687.01879882813</v>
      </c>
      <c r="Q19" s="59" t="n">
        <f aca="true">IF($A19="",0,INDEX(tblPosn,$A19,4))</f>
        <v>3374.03784179688</v>
      </c>
      <c r="R19" s="59" t="n">
        <f aca="true">IF($A19="",0,INDEX(tblPosn,$A19,5))</f>
        <v>0</v>
      </c>
      <c r="S19" s="59" t="n">
        <f aca="true">IF($A19="",0,INDEX(tblPosn,$A19,6))</f>
        <v>0</v>
      </c>
      <c r="T19" s="98" t="n">
        <f aca="false">O19*F19+P19*K19+R19*AC19+S19*AH19+Q19*X19</f>
        <v>-42175.4724121094</v>
      </c>
      <c r="V19" s="99"/>
      <c r="W19" s="100"/>
      <c r="X19" s="101" t="n">
        <f aca="false">F19</f>
        <v>-10</v>
      </c>
      <c r="Y19" s="102"/>
      <c r="Z19" s="102"/>
      <c r="AA19" s="102"/>
      <c r="AB19" s="100"/>
      <c r="AC19" s="101" t="n">
        <f aca="false">F19</f>
        <v>-10</v>
      </c>
      <c r="AD19" s="102"/>
      <c r="AE19" s="102"/>
      <c r="AF19" s="103"/>
      <c r="AG19" s="100"/>
      <c r="AH19" s="101" t="n">
        <f aca="false">IF(MONTH(D19)=MONTH($V$34),$AH$34,$AH$33)</f>
        <v>0</v>
      </c>
      <c r="AI19" s="102"/>
      <c r="AJ19" s="102"/>
      <c r="AK19" s="103"/>
      <c r="AL19" s="104"/>
      <c r="AM19" s="103"/>
      <c r="AN19" s="104"/>
      <c r="AO19" s="104"/>
      <c r="AP19" s="104"/>
      <c r="AQ19" s="100"/>
      <c r="AR19" s="104"/>
      <c r="AS19" s="104"/>
      <c r="AT19" s="100"/>
      <c r="AU19" s="104"/>
      <c r="AV19" s="104"/>
      <c r="AW19" s="100"/>
      <c r="AX19" s="104"/>
      <c r="AY19" s="104"/>
      <c r="AZ19" s="100"/>
      <c r="BA19" s="74"/>
      <c r="BB19" s="148" t="n">
        <f aca="false">BB18+1</f>
        <v>2010</v>
      </c>
      <c r="BC19" s="149" t="n">
        <v>-2.5</v>
      </c>
      <c r="BD19" s="150" t="n">
        <v>7</v>
      </c>
      <c r="BE19" s="151" t="n">
        <v>1</v>
      </c>
      <c r="BF19" s="150" t="n">
        <v>-8.05</v>
      </c>
      <c r="BG19" s="150" t="n">
        <v>2</v>
      </c>
      <c r="BH19" s="151" t="n">
        <v>0.5</v>
      </c>
      <c r="BQ19" s="108" t="n">
        <v>36907.7428240741</v>
      </c>
      <c r="BR19" s="109" t="n">
        <v>36907.743287037</v>
      </c>
      <c r="BS19" s="110" t="n">
        <v>36923</v>
      </c>
      <c r="BT19" s="111" t="n">
        <v>3374.03784179688</v>
      </c>
      <c r="BU19" s="112" t="n">
        <v>1687.01892089844</v>
      </c>
      <c r="BV19" s="112" t="n">
        <v>0</v>
      </c>
      <c r="BW19" s="112" t="n">
        <v>0</v>
      </c>
      <c r="BX19" s="113" t="n">
        <v>0</v>
      </c>
      <c r="BY19" s="114"/>
      <c r="BZ19" s="115" t="n">
        <v>36924</v>
      </c>
      <c r="CA19" s="116" t="n">
        <v>185</v>
      </c>
      <c r="CB19" s="116" t="n">
        <v>90</v>
      </c>
      <c r="CC19" s="116"/>
      <c r="CD19" s="116"/>
      <c r="CE19" s="117"/>
      <c r="CG19" s="135" t="n">
        <f aca="false">BB24</f>
        <v>2015</v>
      </c>
      <c r="CH19" s="137" t="n">
        <v>0</v>
      </c>
      <c r="CI19" s="137" t="n">
        <v>0</v>
      </c>
      <c r="CJ19" s="137" t="n">
        <v>0</v>
      </c>
      <c r="CK19" s="137" t="n">
        <v>0</v>
      </c>
      <c r="CL19" s="137" t="n">
        <v>0</v>
      </c>
      <c r="CM19" s="137" t="n">
        <v>0</v>
      </c>
      <c r="CN19" s="137" t="n">
        <v>0</v>
      </c>
      <c r="CO19" s="137" t="n">
        <v>0</v>
      </c>
      <c r="CP19" s="137" t="n">
        <v>0</v>
      </c>
      <c r="CQ19" s="137" t="n">
        <v>0</v>
      </c>
      <c r="CR19" s="137" t="n">
        <v>0</v>
      </c>
      <c r="CS19" s="138" t="n">
        <v>0</v>
      </c>
      <c r="CU19" s="135" t="n">
        <f aca="false">BB24</f>
        <v>2015</v>
      </c>
      <c r="CV19" s="136" t="n">
        <v>-5</v>
      </c>
      <c r="CW19" s="137" t="n">
        <v>-5</v>
      </c>
      <c r="CX19" s="137" t="n">
        <v>-5</v>
      </c>
      <c r="CY19" s="137" t="n">
        <v>-5</v>
      </c>
      <c r="CZ19" s="137" t="n">
        <v>-5</v>
      </c>
      <c r="DA19" s="137" t="n">
        <v>-5</v>
      </c>
      <c r="DB19" s="137" t="n">
        <v>-5</v>
      </c>
      <c r="DC19" s="137" t="n">
        <v>-5</v>
      </c>
      <c r="DD19" s="137" t="n">
        <v>-5</v>
      </c>
      <c r="DE19" s="137" t="n">
        <v>-5</v>
      </c>
      <c r="DF19" s="137" t="n">
        <v>-5</v>
      </c>
      <c r="DG19" s="138" t="n">
        <v>-5</v>
      </c>
      <c r="DI19" s="135" t="n">
        <f aca="false">BB24</f>
        <v>2015</v>
      </c>
      <c r="DJ19" s="136" t="n">
        <v>29</v>
      </c>
      <c r="DK19" s="137" t="n">
        <v>29</v>
      </c>
      <c r="DL19" s="137" t="n">
        <v>29</v>
      </c>
      <c r="DM19" s="137" t="n">
        <v>29</v>
      </c>
      <c r="DN19" s="137" t="n">
        <v>29</v>
      </c>
      <c r="DO19" s="137" t="n">
        <v>29</v>
      </c>
      <c r="DP19" s="137" t="n">
        <v>29</v>
      </c>
      <c r="DQ19" s="137" t="n">
        <v>29</v>
      </c>
      <c r="DR19" s="137" t="n">
        <v>29</v>
      </c>
      <c r="DS19" s="137" t="n">
        <v>29</v>
      </c>
      <c r="DT19" s="137" t="n">
        <v>29</v>
      </c>
      <c r="DU19" s="138" t="n">
        <v>29</v>
      </c>
    </row>
    <row r="20" customFormat="false" ht="12.75" hidden="false" customHeight="false" outlineLevel="0" collapsed="false">
      <c r="A20" s="91" t="n">
        <f aca="true">IF(ISERROR(MATCH(D20,iRefDt,0)),"",MATCH(D20,iRefDt,0))</f>
        <v>20</v>
      </c>
      <c r="B20" s="92" t="n">
        <f aca="false">MATCH(YEAR(D20),iSpreads)</f>
        <v>1</v>
      </c>
      <c r="C20" s="0" t="n">
        <f aca="false">MONTH(D20)</f>
        <v>2</v>
      </c>
      <c r="D20" s="93" t="n">
        <f aca="false">D19+1</f>
        <v>36926</v>
      </c>
      <c r="E20" s="94" t="n">
        <f aca="false">VLOOKUP($D20,tblPriorPrice,2)</f>
        <v>116</v>
      </c>
      <c r="F20" s="95" t="n">
        <f aca="false">+[2]EnergyCurve!$D20</f>
        <v>-10</v>
      </c>
      <c r="G20" s="96" t="n">
        <f aca="false">E20+F20</f>
        <v>106</v>
      </c>
      <c r="H20" s="96" t="n">
        <f aca="true">G20+OFFSET($CU$4,$B20,$C20)</f>
        <v>101</v>
      </c>
      <c r="I20" s="96" t="n">
        <f aca="true">G20+OFFSET($DI$4,$B20,$C20)</f>
        <v>131</v>
      </c>
      <c r="J20" s="94" t="n">
        <f aca="false">VLOOKUP($D20,tblPriorPrice,3)</f>
        <v>90</v>
      </c>
      <c r="K20" s="95" t="n">
        <f aca="false">+[2]EnergyCurve!$G20</f>
        <v>-5</v>
      </c>
      <c r="L20" s="96" t="n">
        <f aca="false">J20+K20</f>
        <v>85</v>
      </c>
      <c r="M20" s="96" t="n">
        <f aca="true">$L20+OFFSET($CU$27,$B20,$C20)</f>
        <v>80</v>
      </c>
      <c r="N20" s="97" t="n">
        <f aca="true">$L20+OFFSET($DI$27,$B20,$C20)</f>
        <v>90</v>
      </c>
      <c r="O20" s="58" t="n">
        <f aca="true">IF($A20="",0,INDEX(tblPosn,$A20,2))</f>
        <v>0</v>
      </c>
      <c r="P20" s="59" t="n">
        <f aca="true">IF($A20="",0,INDEX(tblPosn,$A20,3))</f>
        <v>1687.01892089844</v>
      </c>
      <c r="Q20" s="59" t="n">
        <f aca="true">IF($A20="",0,INDEX(tblPosn,$A20,4))</f>
        <v>0</v>
      </c>
      <c r="R20" s="59" t="n">
        <f aca="true">IF($A20="",0,INDEX(tblPosn,$A20,5))</f>
        <v>3374.03784179688</v>
      </c>
      <c r="S20" s="59" t="n">
        <f aca="true">IF($A20="",0,INDEX(tblPosn,$A20,6))</f>
        <v>0</v>
      </c>
      <c r="T20" s="98" t="n">
        <f aca="false">O20*F20+P20*K20+R20*AC20+S20*AH20+Q20*X20</f>
        <v>-42175.4730224609</v>
      </c>
      <c r="V20" s="99"/>
      <c r="W20" s="100"/>
      <c r="X20" s="101" t="n">
        <f aca="false">F20</f>
        <v>-10</v>
      </c>
      <c r="Y20" s="102"/>
      <c r="Z20" s="102"/>
      <c r="AA20" s="102"/>
      <c r="AB20" s="100"/>
      <c r="AC20" s="101" t="n">
        <f aca="false">F20</f>
        <v>-10</v>
      </c>
      <c r="AD20" s="102"/>
      <c r="AE20" s="102"/>
      <c r="AF20" s="103"/>
      <c r="AG20" s="100"/>
      <c r="AH20" s="101" t="n">
        <f aca="false">IF(MONTH(D20)=MONTH($V$34),$AH$34,$AH$33)</f>
        <v>0</v>
      </c>
      <c r="AI20" s="102"/>
      <c r="AJ20" s="102"/>
      <c r="AK20" s="103"/>
      <c r="AL20" s="104"/>
      <c r="AM20" s="103"/>
      <c r="AN20" s="104"/>
      <c r="AO20" s="104"/>
      <c r="AP20" s="104"/>
      <c r="AQ20" s="100"/>
      <c r="AR20" s="104"/>
      <c r="AS20" s="104"/>
      <c r="AT20" s="100"/>
      <c r="AU20" s="104"/>
      <c r="AV20" s="104"/>
      <c r="AW20" s="100"/>
      <c r="AX20" s="104"/>
      <c r="AY20" s="104"/>
      <c r="AZ20" s="100"/>
      <c r="BA20" s="74"/>
      <c r="BB20" s="148" t="n">
        <f aca="false">BB19+1</f>
        <v>2011</v>
      </c>
      <c r="BC20" s="149" t="n">
        <v>-2.5</v>
      </c>
      <c r="BD20" s="150" t="n">
        <v>7</v>
      </c>
      <c r="BE20" s="151" t="n">
        <v>1</v>
      </c>
      <c r="BF20" s="150" t="n">
        <v>-9.1</v>
      </c>
      <c r="BG20" s="150" t="n">
        <v>2</v>
      </c>
      <c r="BH20" s="151" t="n">
        <v>0.5</v>
      </c>
      <c r="BQ20" s="108" t="n">
        <v>36907.7428240741</v>
      </c>
      <c r="BR20" s="109" t="n">
        <v>36907.743287037</v>
      </c>
      <c r="BS20" s="110" t="n">
        <v>36924</v>
      </c>
      <c r="BT20" s="111" t="n">
        <v>3374.03784179688</v>
      </c>
      <c r="BU20" s="112" t="n">
        <v>1687.01892089844</v>
      </c>
      <c r="BV20" s="112" t="n">
        <v>0</v>
      </c>
      <c r="BW20" s="112" t="n">
        <v>0</v>
      </c>
      <c r="BX20" s="113" t="n">
        <v>0</v>
      </c>
      <c r="BY20" s="114"/>
      <c r="BZ20" s="115" t="n">
        <v>36925</v>
      </c>
      <c r="CA20" s="116" t="n">
        <v>134</v>
      </c>
      <c r="CB20" s="116" t="n">
        <v>90</v>
      </c>
      <c r="CC20" s="116"/>
      <c r="CD20" s="116"/>
      <c r="CE20" s="117"/>
      <c r="CG20" s="135" t="n">
        <f aca="false">BB25</f>
        <v>2016</v>
      </c>
      <c r="CH20" s="137" t="n">
        <v>0</v>
      </c>
      <c r="CI20" s="137" t="n">
        <v>0</v>
      </c>
      <c r="CJ20" s="137" t="n">
        <v>0</v>
      </c>
      <c r="CK20" s="137" t="n">
        <v>0</v>
      </c>
      <c r="CL20" s="137" t="n">
        <v>0</v>
      </c>
      <c r="CM20" s="137" t="n">
        <v>0</v>
      </c>
      <c r="CN20" s="137" t="n">
        <v>0</v>
      </c>
      <c r="CO20" s="137" t="n">
        <v>0</v>
      </c>
      <c r="CP20" s="137" t="n">
        <v>0</v>
      </c>
      <c r="CQ20" s="137" t="n">
        <v>0</v>
      </c>
      <c r="CR20" s="137" t="n">
        <v>0</v>
      </c>
      <c r="CS20" s="138" t="n">
        <v>0</v>
      </c>
      <c r="CU20" s="135" t="n">
        <f aca="false">BB25</f>
        <v>2016</v>
      </c>
      <c r="CV20" s="136" t="n">
        <v>-5</v>
      </c>
      <c r="CW20" s="137" t="n">
        <v>-5</v>
      </c>
      <c r="CX20" s="137" t="n">
        <v>-5</v>
      </c>
      <c r="CY20" s="137" t="n">
        <v>-5</v>
      </c>
      <c r="CZ20" s="137" t="n">
        <v>-5</v>
      </c>
      <c r="DA20" s="137" t="n">
        <v>-5</v>
      </c>
      <c r="DB20" s="137" t="n">
        <v>-5</v>
      </c>
      <c r="DC20" s="137" t="n">
        <v>-5</v>
      </c>
      <c r="DD20" s="137" t="n">
        <v>-5</v>
      </c>
      <c r="DE20" s="137" t="n">
        <v>-5</v>
      </c>
      <c r="DF20" s="137" t="n">
        <v>-5</v>
      </c>
      <c r="DG20" s="138" t="n">
        <v>-5</v>
      </c>
      <c r="DI20" s="135" t="n">
        <f aca="false">BB25</f>
        <v>2016</v>
      </c>
      <c r="DJ20" s="136" t="n">
        <v>30</v>
      </c>
      <c r="DK20" s="137" t="n">
        <v>30</v>
      </c>
      <c r="DL20" s="137" t="n">
        <v>30</v>
      </c>
      <c r="DM20" s="137" t="n">
        <v>30</v>
      </c>
      <c r="DN20" s="137" t="n">
        <v>30</v>
      </c>
      <c r="DO20" s="137" t="n">
        <v>30</v>
      </c>
      <c r="DP20" s="137" t="n">
        <v>30</v>
      </c>
      <c r="DQ20" s="137" t="n">
        <v>30</v>
      </c>
      <c r="DR20" s="137" t="n">
        <v>30</v>
      </c>
      <c r="DS20" s="137" t="n">
        <v>30</v>
      </c>
      <c r="DT20" s="137" t="n">
        <v>30</v>
      </c>
      <c r="DU20" s="138" t="n">
        <v>30</v>
      </c>
    </row>
    <row r="21" customFormat="false" ht="12.75" hidden="false" customHeight="false" outlineLevel="0" collapsed="false">
      <c r="A21" s="91" t="n">
        <f aca="true">IF(ISERROR(MATCH(D21,iRefDt,0)),"",MATCH(D21,iRefDt,0))</f>
        <v>21</v>
      </c>
      <c r="B21" s="92" t="n">
        <f aca="false">MATCH(YEAR(D21),iSpreads)</f>
        <v>1</v>
      </c>
      <c r="C21" s="0" t="n">
        <f aca="false">MONTH(D21)</f>
        <v>2</v>
      </c>
      <c r="D21" s="93" t="n">
        <f aca="false">D20+1</f>
        <v>36927</v>
      </c>
      <c r="E21" s="94" t="n">
        <f aca="false">VLOOKUP($D21,tblPriorPrice,2)</f>
        <v>185</v>
      </c>
      <c r="F21" s="95" t="n">
        <f aca="false">+[2]EnergyCurve!$D21</f>
        <v>-10</v>
      </c>
      <c r="G21" s="96" t="n">
        <f aca="false">E21+F21</f>
        <v>175</v>
      </c>
      <c r="H21" s="96" t="n">
        <f aca="true">G21+OFFSET($CU$4,$B21,$C21)</f>
        <v>170</v>
      </c>
      <c r="I21" s="96" t="n">
        <f aca="true">G21+OFFSET($DI$4,$B21,$C21)</f>
        <v>200</v>
      </c>
      <c r="J21" s="94" t="n">
        <f aca="false">VLOOKUP($D21,tblPriorPrice,3)</f>
        <v>90</v>
      </c>
      <c r="K21" s="95" t="n">
        <f aca="false">+[2]EnergyCurve!$G21</f>
        <v>-5</v>
      </c>
      <c r="L21" s="96" t="n">
        <f aca="false">J21+K21</f>
        <v>85</v>
      </c>
      <c r="M21" s="96" t="n">
        <f aca="true">$L21+OFFSET($CU$27,$B21,$C21)</f>
        <v>80</v>
      </c>
      <c r="N21" s="97" t="n">
        <f aca="true">$L21+OFFSET($DI$27,$B21,$C21)</f>
        <v>90</v>
      </c>
      <c r="O21" s="58" t="n">
        <f aca="true">IF($A21="",0,INDEX(tblPosn,$A21,2))</f>
        <v>3374.03784179688</v>
      </c>
      <c r="P21" s="59" t="n">
        <f aca="true">IF($A21="",0,INDEX(tblPosn,$A21,3))</f>
        <v>1687.01892089844</v>
      </c>
      <c r="Q21" s="59" t="n">
        <f aca="true">IF($A21="",0,INDEX(tblPosn,$A21,4))</f>
        <v>0</v>
      </c>
      <c r="R21" s="59" t="n">
        <f aca="true">IF($A21="",0,INDEX(tblPosn,$A21,5))</f>
        <v>0</v>
      </c>
      <c r="S21" s="59" t="n">
        <f aca="true">IF($A21="",0,INDEX(tblPosn,$A21,6))</f>
        <v>0</v>
      </c>
      <c r="T21" s="98" t="n">
        <f aca="false">O21*F21+P21*K21+R21*AC21+S21*AH21+Q21*X21</f>
        <v>-42175.4730224609</v>
      </c>
      <c r="V21" s="99"/>
      <c r="W21" s="100"/>
      <c r="X21" s="101" t="n">
        <f aca="false">F21</f>
        <v>-10</v>
      </c>
      <c r="Y21" s="102"/>
      <c r="Z21" s="102"/>
      <c r="AA21" s="102"/>
      <c r="AB21" s="100"/>
      <c r="AC21" s="101" t="n">
        <f aca="false">F21</f>
        <v>-10</v>
      </c>
      <c r="AD21" s="102"/>
      <c r="AE21" s="102"/>
      <c r="AF21" s="103"/>
      <c r="AG21" s="100"/>
      <c r="AH21" s="101" t="n">
        <f aca="false">IF(MONTH(D21)=MONTH($V$34),$AH$34,$AH$33)</f>
        <v>0</v>
      </c>
      <c r="AI21" s="102"/>
      <c r="AJ21" s="102"/>
      <c r="AK21" s="103"/>
      <c r="AL21" s="104"/>
      <c r="AM21" s="103"/>
      <c r="AN21" s="104"/>
      <c r="AO21" s="104"/>
      <c r="AP21" s="104"/>
      <c r="AQ21" s="100"/>
      <c r="AR21" s="104"/>
      <c r="AS21" s="104"/>
      <c r="AT21" s="100"/>
      <c r="AU21" s="104"/>
      <c r="AV21" s="104"/>
      <c r="AW21" s="100"/>
      <c r="AX21" s="104"/>
      <c r="AY21" s="104"/>
      <c r="AZ21" s="100"/>
      <c r="BA21" s="74"/>
      <c r="BB21" s="148" t="n">
        <f aca="false">BB20+1</f>
        <v>2012</v>
      </c>
      <c r="BC21" s="149" t="n">
        <v>-2.5</v>
      </c>
      <c r="BD21" s="150" t="n">
        <v>7</v>
      </c>
      <c r="BE21" s="151" t="n">
        <v>3</v>
      </c>
      <c r="BF21" s="150" t="n">
        <v>-10.25</v>
      </c>
      <c r="BG21" s="150" t="n">
        <v>2</v>
      </c>
      <c r="BH21" s="151" t="n">
        <v>0.5</v>
      </c>
      <c r="BQ21" s="108" t="n">
        <v>36907.7428240741</v>
      </c>
      <c r="BR21" s="109" t="n">
        <v>36907.743287037</v>
      </c>
      <c r="BS21" s="110" t="n">
        <v>36925</v>
      </c>
      <c r="BT21" s="111" t="n">
        <v>0</v>
      </c>
      <c r="BU21" s="112" t="n">
        <v>1687.01879882813</v>
      </c>
      <c r="BV21" s="112" t="n">
        <v>3374.03784179688</v>
      </c>
      <c r="BW21" s="112" t="n">
        <v>0</v>
      </c>
      <c r="BX21" s="113" t="n">
        <v>0</v>
      </c>
      <c r="BY21" s="114"/>
      <c r="BZ21" s="115" t="n">
        <v>36926</v>
      </c>
      <c r="CA21" s="116" t="n">
        <v>116</v>
      </c>
      <c r="CB21" s="116" t="n">
        <v>90</v>
      </c>
      <c r="CC21" s="116"/>
      <c r="CD21" s="116"/>
      <c r="CE21" s="117"/>
      <c r="CG21" s="135" t="n">
        <f aca="false">BB26</f>
        <v>2017</v>
      </c>
      <c r="CH21" s="137" t="n">
        <v>0</v>
      </c>
      <c r="CI21" s="137" t="n">
        <v>0</v>
      </c>
      <c r="CJ21" s="137" t="n">
        <v>0</v>
      </c>
      <c r="CK21" s="137" t="n">
        <v>0</v>
      </c>
      <c r="CL21" s="137" t="n">
        <v>0</v>
      </c>
      <c r="CM21" s="137" t="n">
        <v>0</v>
      </c>
      <c r="CN21" s="137" t="n">
        <v>0</v>
      </c>
      <c r="CO21" s="137" t="n">
        <v>0</v>
      </c>
      <c r="CP21" s="137" t="n">
        <v>0</v>
      </c>
      <c r="CQ21" s="137" t="n">
        <v>0</v>
      </c>
      <c r="CR21" s="137" t="n">
        <v>0</v>
      </c>
      <c r="CS21" s="138" t="n">
        <v>0</v>
      </c>
      <c r="CU21" s="135" t="n">
        <f aca="false">BB26</f>
        <v>2017</v>
      </c>
      <c r="CV21" s="136" t="n">
        <v>-5</v>
      </c>
      <c r="CW21" s="137" t="n">
        <v>-5</v>
      </c>
      <c r="CX21" s="137" t="n">
        <v>-5</v>
      </c>
      <c r="CY21" s="137" t="n">
        <v>-5</v>
      </c>
      <c r="CZ21" s="137" t="n">
        <v>-5</v>
      </c>
      <c r="DA21" s="137" t="n">
        <v>-5</v>
      </c>
      <c r="DB21" s="137" t="n">
        <v>-5</v>
      </c>
      <c r="DC21" s="137" t="n">
        <v>-5</v>
      </c>
      <c r="DD21" s="137" t="n">
        <v>-5</v>
      </c>
      <c r="DE21" s="137" t="n">
        <v>-5</v>
      </c>
      <c r="DF21" s="137" t="n">
        <v>-5</v>
      </c>
      <c r="DG21" s="138" t="n">
        <v>-5</v>
      </c>
      <c r="DI21" s="135" t="n">
        <f aca="false">BB26</f>
        <v>2017</v>
      </c>
      <c r="DJ21" s="136" t="n">
        <v>31</v>
      </c>
      <c r="DK21" s="137" t="n">
        <v>31</v>
      </c>
      <c r="DL21" s="137" t="n">
        <v>31</v>
      </c>
      <c r="DM21" s="137" t="n">
        <v>31</v>
      </c>
      <c r="DN21" s="137" t="n">
        <v>31</v>
      </c>
      <c r="DO21" s="137" t="n">
        <v>31</v>
      </c>
      <c r="DP21" s="137" t="n">
        <v>31</v>
      </c>
      <c r="DQ21" s="137" t="n">
        <v>31</v>
      </c>
      <c r="DR21" s="137" t="n">
        <v>31</v>
      </c>
      <c r="DS21" s="137" t="n">
        <v>31</v>
      </c>
      <c r="DT21" s="137" t="n">
        <v>31</v>
      </c>
      <c r="DU21" s="138" t="n">
        <v>31</v>
      </c>
    </row>
    <row r="22" customFormat="false" ht="12.75" hidden="false" customHeight="false" outlineLevel="0" collapsed="false">
      <c r="A22" s="91" t="n">
        <f aca="true">IF(ISERROR(MATCH(D22,iRefDt,0)),"",MATCH(D22,iRefDt,0))</f>
        <v>22</v>
      </c>
      <c r="B22" s="92" t="n">
        <f aca="false">MATCH(YEAR(D22),iSpreads)</f>
        <v>1</v>
      </c>
      <c r="C22" s="0" t="n">
        <f aca="false">MONTH(D22)</f>
        <v>2</v>
      </c>
      <c r="D22" s="93" t="n">
        <f aca="false">D21+1</f>
        <v>36928</v>
      </c>
      <c r="E22" s="94" t="n">
        <f aca="false">VLOOKUP($D22,tblPriorPrice,2)</f>
        <v>185</v>
      </c>
      <c r="F22" s="95" t="n">
        <f aca="false">+[2]EnergyCurve!$D22</f>
        <v>-10</v>
      </c>
      <c r="G22" s="96" t="n">
        <f aca="false">E22+F22</f>
        <v>175</v>
      </c>
      <c r="H22" s="96" t="n">
        <f aca="true">G22+OFFSET($CU$4,$B22,$C22)</f>
        <v>170</v>
      </c>
      <c r="I22" s="96" t="n">
        <f aca="true">G22+OFFSET($DI$4,$B22,$C22)</f>
        <v>200</v>
      </c>
      <c r="J22" s="94" t="n">
        <f aca="false">VLOOKUP($D22,tblPriorPrice,3)</f>
        <v>90</v>
      </c>
      <c r="K22" s="95" t="n">
        <f aca="false">+[2]EnergyCurve!$G22</f>
        <v>-5</v>
      </c>
      <c r="L22" s="96" t="n">
        <f aca="false">J22+K22</f>
        <v>85</v>
      </c>
      <c r="M22" s="96" t="n">
        <f aca="true">$L22+OFFSET($CU$27,$B22,$C22)</f>
        <v>80</v>
      </c>
      <c r="N22" s="97" t="n">
        <f aca="true">$L22+OFFSET($DI$27,$B22,$C22)</f>
        <v>90</v>
      </c>
      <c r="O22" s="58" t="n">
        <f aca="true">IF($A22="",0,INDEX(tblPosn,$A22,2))</f>
        <v>3374.03784179688</v>
      </c>
      <c r="P22" s="59" t="n">
        <f aca="true">IF($A22="",0,INDEX(tblPosn,$A22,3))</f>
        <v>1687.01892089844</v>
      </c>
      <c r="Q22" s="59" t="n">
        <f aca="true">IF($A22="",0,INDEX(tblPosn,$A22,4))</f>
        <v>0</v>
      </c>
      <c r="R22" s="59" t="n">
        <f aca="true">IF($A22="",0,INDEX(tblPosn,$A22,5))</f>
        <v>0</v>
      </c>
      <c r="S22" s="59" t="n">
        <f aca="true">IF($A22="",0,INDEX(tblPosn,$A22,6))</f>
        <v>0</v>
      </c>
      <c r="T22" s="98" t="n">
        <f aca="false">O22*F22+P22*K22+R22*AC22+S22*AH22+Q22*X22</f>
        <v>-42175.4730224609</v>
      </c>
      <c r="V22" s="99"/>
      <c r="W22" s="100"/>
      <c r="X22" s="101" t="n">
        <f aca="false">F22</f>
        <v>-10</v>
      </c>
      <c r="Y22" s="102"/>
      <c r="Z22" s="102"/>
      <c r="AA22" s="102"/>
      <c r="AB22" s="100"/>
      <c r="AC22" s="101" t="n">
        <f aca="false">F22</f>
        <v>-10</v>
      </c>
      <c r="AD22" s="102"/>
      <c r="AE22" s="102"/>
      <c r="AF22" s="103"/>
      <c r="AG22" s="100"/>
      <c r="AH22" s="101" t="n">
        <f aca="false">IF(MONTH(D22)=MONTH($V$34),$AH$34,$AH$33)</f>
        <v>0</v>
      </c>
      <c r="AI22" s="102"/>
      <c r="AJ22" s="102"/>
      <c r="AK22" s="103"/>
      <c r="AL22" s="104"/>
      <c r="AM22" s="103"/>
      <c r="AN22" s="104"/>
      <c r="AO22" s="104"/>
      <c r="AP22" s="104"/>
      <c r="AQ22" s="100"/>
      <c r="AR22" s="104"/>
      <c r="AS22" s="104"/>
      <c r="AT22" s="100"/>
      <c r="AU22" s="104"/>
      <c r="AV22" s="104"/>
      <c r="AW22" s="100"/>
      <c r="AX22" s="104"/>
      <c r="AY22" s="104"/>
      <c r="AZ22" s="100"/>
      <c r="BA22" s="74"/>
      <c r="BB22" s="148" t="n">
        <f aca="false">BB21+1</f>
        <v>2013</v>
      </c>
      <c r="BC22" s="149" t="n">
        <v>-2.5</v>
      </c>
      <c r="BD22" s="150" t="n">
        <v>7</v>
      </c>
      <c r="BE22" s="151" t="n">
        <v>3</v>
      </c>
      <c r="BF22" s="150" t="n">
        <v>-11.5</v>
      </c>
      <c r="BG22" s="150" t="n">
        <v>2</v>
      </c>
      <c r="BH22" s="151" t="n">
        <v>0.5</v>
      </c>
      <c r="BQ22" s="108" t="n">
        <v>36907.7428240741</v>
      </c>
      <c r="BR22" s="109" t="n">
        <v>36907.743287037</v>
      </c>
      <c r="BS22" s="110" t="n">
        <v>36926</v>
      </c>
      <c r="BT22" s="111" t="n">
        <v>0</v>
      </c>
      <c r="BU22" s="112" t="n">
        <v>1687.01892089844</v>
      </c>
      <c r="BV22" s="112" t="n">
        <v>0</v>
      </c>
      <c r="BW22" s="112" t="n">
        <v>3374.03784179688</v>
      </c>
      <c r="BX22" s="113" t="n">
        <v>0</v>
      </c>
      <c r="BY22" s="114"/>
      <c r="BZ22" s="115" t="n">
        <v>36927</v>
      </c>
      <c r="CA22" s="116" t="n">
        <v>185</v>
      </c>
      <c r="CB22" s="116" t="n">
        <v>90</v>
      </c>
      <c r="CC22" s="116"/>
      <c r="CD22" s="116"/>
      <c r="CE22" s="117"/>
      <c r="CG22" s="135" t="n">
        <f aca="false">BB27</f>
        <v>2018</v>
      </c>
      <c r="CH22" s="137" t="n">
        <v>0</v>
      </c>
      <c r="CI22" s="137" t="n">
        <v>0</v>
      </c>
      <c r="CJ22" s="137" t="n">
        <v>0</v>
      </c>
      <c r="CK22" s="137" t="n">
        <v>0</v>
      </c>
      <c r="CL22" s="137" t="n">
        <v>0</v>
      </c>
      <c r="CM22" s="137" t="n">
        <v>0</v>
      </c>
      <c r="CN22" s="137" t="n">
        <v>0</v>
      </c>
      <c r="CO22" s="137" t="n">
        <v>0</v>
      </c>
      <c r="CP22" s="137" t="n">
        <v>0</v>
      </c>
      <c r="CQ22" s="137" t="n">
        <v>0</v>
      </c>
      <c r="CR22" s="137" t="n">
        <v>0</v>
      </c>
      <c r="CS22" s="138" t="n">
        <v>0</v>
      </c>
      <c r="CU22" s="135" t="n">
        <f aca="false">BB27</f>
        <v>2018</v>
      </c>
      <c r="CV22" s="136" t="n">
        <v>-5</v>
      </c>
      <c r="CW22" s="137" t="n">
        <v>-5</v>
      </c>
      <c r="CX22" s="137" t="n">
        <v>-5</v>
      </c>
      <c r="CY22" s="137" t="n">
        <v>-5</v>
      </c>
      <c r="CZ22" s="137" t="n">
        <v>-5</v>
      </c>
      <c r="DA22" s="137" t="n">
        <v>-5</v>
      </c>
      <c r="DB22" s="137" t="n">
        <v>-5</v>
      </c>
      <c r="DC22" s="137" t="n">
        <v>-5</v>
      </c>
      <c r="DD22" s="137" t="n">
        <v>-5</v>
      </c>
      <c r="DE22" s="137" t="n">
        <v>-5</v>
      </c>
      <c r="DF22" s="137" t="n">
        <v>-5</v>
      </c>
      <c r="DG22" s="138" t="n">
        <v>-5</v>
      </c>
      <c r="DI22" s="135" t="n">
        <f aca="false">BB27</f>
        <v>2018</v>
      </c>
      <c r="DJ22" s="136" t="n">
        <v>32</v>
      </c>
      <c r="DK22" s="137" t="n">
        <v>32</v>
      </c>
      <c r="DL22" s="137" t="n">
        <v>32</v>
      </c>
      <c r="DM22" s="137" t="n">
        <v>32</v>
      </c>
      <c r="DN22" s="137" t="n">
        <v>32</v>
      </c>
      <c r="DO22" s="137" t="n">
        <v>32</v>
      </c>
      <c r="DP22" s="137" t="n">
        <v>32</v>
      </c>
      <c r="DQ22" s="137" t="n">
        <v>32</v>
      </c>
      <c r="DR22" s="137" t="n">
        <v>32</v>
      </c>
      <c r="DS22" s="137" t="n">
        <v>32</v>
      </c>
      <c r="DT22" s="137" t="n">
        <v>32</v>
      </c>
      <c r="DU22" s="138" t="n">
        <v>32</v>
      </c>
    </row>
    <row r="23" customFormat="false" ht="12.75" hidden="false" customHeight="false" outlineLevel="0" collapsed="false">
      <c r="A23" s="91" t="n">
        <f aca="true">IF(ISERROR(MATCH(D23,iRefDt,0)),"",MATCH(D23,iRefDt,0))</f>
        <v>23</v>
      </c>
      <c r="B23" s="92" t="n">
        <f aca="false">MATCH(YEAR(D23),iSpreads)</f>
        <v>1</v>
      </c>
      <c r="C23" s="0" t="n">
        <f aca="false">MONTH(D23)</f>
        <v>2</v>
      </c>
      <c r="D23" s="93" t="n">
        <f aca="false">D22+1</f>
        <v>36929</v>
      </c>
      <c r="E23" s="94" t="n">
        <f aca="false">VLOOKUP($D23,tblPriorPrice,2)</f>
        <v>185</v>
      </c>
      <c r="F23" s="95" t="n">
        <f aca="false">+[2]EnergyCurve!$D23</f>
        <v>-10</v>
      </c>
      <c r="G23" s="96" t="n">
        <f aca="false">E23+F23</f>
        <v>175</v>
      </c>
      <c r="H23" s="96" t="n">
        <f aca="true">G23+OFFSET($CU$4,$B23,$C23)</f>
        <v>170</v>
      </c>
      <c r="I23" s="96" t="n">
        <f aca="true">G23+OFFSET($DI$4,$B23,$C23)</f>
        <v>200</v>
      </c>
      <c r="J23" s="94" t="n">
        <f aca="false">VLOOKUP($D23,tblPriorPrice,3)</f>
        <v>90</v>
      </c>
      <c r="K23" s="95" t="n">
        <f aca="false">+[2]EnergyCurve!$G23</f>
        <v>-5</v>
      </c>
      <c r="L23" s="96" t="n">
        <f aca="false">J23+K23</f>
        <v>85</v>
      </c>
      <c r="M23" s="96" t="n">
        <f aca="true">$L23+OFFSET($CU$27,$B23,$C23)</f>
        <v>80</v>
      </c>
      <c r="N23" s="97" t="n">
        <f aca="true">$L23+OFFSET($DI$27,$B23,$C23)</f>
        <v>90</v>
      </c>
      <c r="O23" s="58" t="n">
        <f aca="true">IF($A23="",0,INDEX(tblPosn,$A23,2))</f>
        <v>3374.03784179688</v>
      </c>
      <c r="P23" s="59" t="n">
        <f aca="true">IF($A23="",0,INDEX(tblPosn,$A23,3))</f>
        <v>1687.01892089844</v>
      </c>
      <c r="Q23" s="59" t="n">
        <f aca="true">IF($A23="",0,INDEX(tblPosn,$A23,4))</f>
        <v>0</v>
      </c>
      <c r="R23" s="59" t="n">
        <f aca="true">IF($A23="",0,INDEX(tblPosn,$A23,5))</f>
        <v>0</v>
      </c>
      <c r="S23" s="59" t="n">
        <f aca="true">IF($A23="",0,INDEX(tblPosn,$A23,6))</f>
        <v>0</v>
      </c>
      <c r="T23" s="98" t="n">
        <f aca="false">O23*F23+P23*K23+R23*AC23+S23*AH23+Q23*X23</f>
        <v>-42175.4730224609</v>
      </c>
      <c r="V23" s="99"/>
      <c r="W23" s="100"/>
      <c r="X23" s="101" t="n">
        <f aca="false">F23</f>
        <v>-10</v>
      </c>
      <c r="Y23" s="102"/>
      <c r="Z23" s="102"/>
      <c r="AA23" s="102"/>
      <c r="AB23" s="100"/>
      <c r="AC23" s="101" t="n">
        <f aca="false">F23</f>
        <v>-10</v>
      </c>
      <c r="AD23" s="102"/>
      <c r="AE23" s="102"/>
      <c r="AF23" s="103"/>
      <c r="AG23" s="100"/>
      <c r="AH23" s="101" t="n">
        <f aca="false">IF(MONTH(D23)=MONTH($V$34),$AH$34,$AH$33)</f>
        <v>0</v>
      </c>
      <c r="AI23" s="102"/>
      <c r="AJ23" s="102"/>
      <c r="AK23" s="103"/>
      <c r="AL23" s="104"/>
      <c r="AM23" s="103"/>
      <c r="AN23" s="104"/>
      <c r="AO23" s="104"/>
      <c r="AP23" s="104"/>
      <c r="AQ23" s="100"/>
      <c r="AR23" s="104"/>
      <c r="AS23" s="104"/>
      <c r="AT23" s="100"/>
      <c r="AU23" s="104"/>
      <c r="AV23" s="104"/>
      <c r="AW23" s="100"/>
      <c r="AX23" s="104"/>
      <c r="AY23" s="104"/>
      <c r="AZ23" s="100"/>
      <c r="BA23" s="74"/>
      <c r="BB23" s="148" t="n">
        <f aca="false">BB22+1</f>
        <v>2014</v>
      </c>
      <c r="BC23" s="149" t="n">
        <v>-2.5</v>
      </c>
      <c r="BD23" s="150" t="n">
        <v>7</v>
      </c>
      <c r="BE23" s="151" t="n">
        <v>3</v>
      </c>
      <c r="BF23" s="150" t="n">
        <v>-11.5</v>
      </c>
      <c r="BG23" s="150" t="n">
        <v>2</v>
      </c>
      <c r="BH23" s="151" t="n">
        <v>0.5</v>
      </c>
      <c r="BQ23" s="108" t="n">
        <v>36907.7428240741</v>
      </c>
      <c r="BR23" s="109" t="n">
        <v>36907.743287037</v>
      </c>
      <c r="BS23" s="110" t="n">
        <v>36927</v>
      </c>
      <c r="BT23" s="111" t="n">
        <v>3374.03784179688</v>
      </c>
      <c r="BU23" s="112" t="n">
        <v>1687.01892089844</v>
      </c>
      <c r="BV23" s="112" t="n">
        <v>0</v>
      </c>
      <c r="BW23" s="112" t="n">
        <v>0</v>
      </c>
      <c r="BX23" s="113" t="n">
        <v>0</v>
      </c>
      <c r="BY23" s="114"/>
      <c r="BZ23" s="115" t="n">
        <v>36928</v>
      </c>
      <c r="CA23" s="116" t="n">
        <v>185</v>
      </c>
      <c r="CB23" s="116" t="n">
        <v>90</v>
      </c>
      <c r="CC23" s="116"/>
      <c r="CD23" s="116"/>
      <c r="CE23" s="117"/>
      <c r="CG23" s="135" t="n">
        <f aca="false">BB28</f>
        <v>2019</v>
      </c>
      <c r="CH23" s="137" t="n">
        <v>0</v>
      </c>
      <c r="CI23" s="137" t="n">
        <v>0</v>
      </c>
      <c r="CJ23" s="137" t="n">
        <v>0</v>
      </c>
      <c r="CK23" s="137" t="n">
        <v>0</v>
      </c>
      <c r="CL23" s="137" t="n">
        <v>0</v>
      </c>
      <c r="CM23" s="137" t="n">
        <v>0</v>
      </c>
      <c r="CN23" s="137" t="n">
        <v>0</v>
      </c>
      <c r="CO23" s="137" t="n">
        <v>0</v>
      </c>
      <c r="CP23" s="137" t="n">
        <v>0</v>
      </c>
      <c r="CQ23" s="137" t="n">
        <v>0</v>
      </c>
      <c r="CR23" s="137" t="n">
        <v>0</v>
      </c>
      <c r="CS23" s="138" t="n">
        <v>0</v>
      </c>
      <c r="CU23" s="135" t="n">
        <f aca="false">BB28</f>
        <v>2019</v>
      </c>
      <c r="CV23" s="136" t="n">
        <v>-5</v>
      </c>
      <c r="CW23" s="137" t="n">
        <v>-5</v>
      </c>
      <c r="CX23" s="137" t="n">
        <v>-5</v>
      </c>
      <c r="CY23" s="137" t="n">
        <v>-5</v>
      </c>
      <c r="CZ23" s="137" t="n">
        <v>-5</v>
      </c>
      <c r="DA23" s="137" t="n">
        <v>-5</v>
      </c>
      <c r="DB23" s="137" t="n">
        <v>-5</v>
      </c>
      <c r="DC23" s="137" t="n">
        <v>-5</v>
      </c>
      <c r="DD23" s="137" t="n">
        <v>-5</v>
      </c>
      <c r="DE23" s="137" t="n">
        <v>-5</v>
      </c>
      <c r="DF23" s="137" t="n">
        <v>-5</v>
      </c>
      <c r="DG23" s="138" t="n">
        <v>-5</v>
      </c>
      <c r="DI23" s="135" t="n">
        <f aca="false">BB28</f>
        <v>2019</v>
      </c>
      <c r="DJ23" s="136" t="n">
        <v>33</v>
      </c>
      <c r="DK23" s="137" t="n">
        <v>33</v>
      </c>
      <c r="DL23" s="137" t="n">
        <v>33</v>
      </c>
      <c r="DM23" s="137" t="n">
        <v>33</v>
      </c>
      <c r="DN23" s="137" t="n">
        <v>33</v>
      </c>
      <c r="DO23" s="137" t="n">
        <v>33</v>
      </c>
      <c r="DP23" s="137" t="n">
        <v>33</v>
      </c>
      <c r="DQ23" s="137" t="n">
        <v>33</v>
      </c>
      <c r="DR23" s="137" t="n">
        <v>33</v>
      </c>
      <c r="DS23" s="137" t="n">
        <v>33</v>
      </c>
      <c r="DT23" s="137" t="n">
        <v>33</v>
      </c>
      <c r="DU23" s="138" t="n">
        <v>33</v>
      </c>
    </row>
    <row r="24" customFormat="false" ht="12.75" hidden="false" customHeight="false" outlineLevel="0" collapsed="false">
      <c r="A24" s="91" t="n">
        <f aca="true">IF(ISERROR(MATCH(D24,iRefDt,0)),"",MATCH(D24,iRefDt,0))</f>
        <v>24</v>
      </c>
      <c r="B24" s="92" t="n">
        <f aca="false">MATCH(YEAR(D24),iSpreads)</f>
        <v>1</v>
      </c>
      <c r="C24" s="0" t="n">
        <f aca="false">MONTH(D24)</f>
        <v>2</v>
      </c>
      <c r="D24" s="93" t="n">
        <f aca="false">D23+1</f>
        <v>36930</v>
      </c>
      <c r="E24" s="94" t="n">
        <f aca="false">VLOOKUP($D24,tblPriorPrice,2)</f>
        <v>185</v>
      </c>
      <c r="F24" s="95" t="n">
        <f aca="false">+[2]EnergyCurve!$D24</f>
        <v>-10</v>
      </c>
      <c r="G24" s="96" t="n">
        <f aca="false">E24+F24</f>
        <v>175</v>
      </c>
      <c r="H24" s="96" t="n">
        <f aca="true">G24+OFFSET($CU$4,$B24,$C24)</f>
        <v>170</v>
      </c>
      <c r="I24" s="96" t="n">
        <f aca="true">G24+OFFSET($DI$4,$B24,$C24)</f>
        <v>200</v>
      </c>
      <c r="J24" s="94" t="n">
        <f aca="false">VLOOKUP($D24,tblPriorPrice,3)</f>
        <v>90</v>
      </c>
      <c r="K24" s="95" t="n">
        <f aca="false">+[2]EnergyCurve!$G24</f>
        <v>-5</v>
      </c>
      <c r="L24" s="96" t="n">
        <f aca="false">J24+K24</f>
        <v>85</v>
      </c>
      <c r="M24" s="96" t="n">
        <f aca="true">$L24+OFFSET($CU$27,$B24,$C24)</f>
        <v>80</v>
      </c>
      <c r="N24" s="97" t="n">
        <f aca="true">$L24+OFFSET($DI$27,$B24,$C24)</f>
        <v>90</v>
      </c>
      <c r="O24" s="58" t="n">
        <f aca="true">IF($A24="",0,INDEX(tblPosn,$A24,2))</f>
        <v>3374.03784179688</v>
      </c>
      <c r="P24" s="59" t="n">
        <f aca="true">IF($A24="",0,INDEX(tblPosn,$A24,3))</f>
        <v>1687.01892089844</v>
      </c>
      <c r="Q24" s="59" t="n">
        <f aca="true">IF($A24="",0,INDEX(tblPosn,$A24,4))</f>
        <v>0</v>
      </c>
      <c r="R24" s="59" t="n">
        <f aca="true">IF($A24="",0,INDEX(tblPosn,$A24,5))</f>
        <v>0</v>
      </c>
      <c r="S24" s="59" t="n">
        <f aca="true">IF($A24="",0,INDEX(tblPosn,$A24,6))</f>
        <v>0</v>
      </c>
      <c r="T24" s="98" t="n">
        <f aca="false">O24*F24+P24*K24+R24*AC24+S24*AH24+Q24*X24</f>
        <v>-42175.4730224609</v>
      </c>
      <c r="V24" s="99"/>
      <c r="W24" s="100"/>
      <c r="X24" s="101" t="n">
        <f aca="false">F24</f>
        <v>-10</v>
      </c>
      <c r="Y24" s="102"/>
      <c r="Z24" s="102"/>
      <c r="AA24" s="102"/>
      <c r="AB24" s="100"/>
      <c r="AC24" s="101" t="n">
        <f aca="false">F24</f>
        <v>-10</v>
      </c>
      <c r="AD24" s="102"/>
      <c r="AE24" s="102"/>
      <c r="AF24" s="103"/>
      <c r="AG24" s="100"/>
      <c r="AH24" s="101" t="n">
        <f aca="false">IF(MONTH(D24)=MONTH($V$34),$AH$34,$AH$33)</f>
        <v>0</v>
      </c>
      <c r="AI24" s="102"/>
      <c r="AJ24" s="102"/>
      <c r="AK24" s="103"/>
      <c r="AL24" s="104"/>
      <c r="AM24" s="103"/>
      <c r="AN24" s="104"/>
      <c r="AO24" s="104"/>
      <c r="AP24" s="104"/>
      <c r="AQ24" s="100"/>
      <c r="AR24" s="104"/>
      <c r="AS24" s="104"/>
      <c r="AT24" s="100"/>
      <c r="AU24" s="104"/>
      <c r="AV24" s="104"/>
      <c r="AW24" s="100"/>
      <c r="AX24" s="104"/>
      <c r="AY24" s="104"/>
      <c r="AZ24" s="100"/>
      <c r="BA24" s="74"/>
      <c r="BB24" s="148" t="n">
        <f aca="false">BB23+1</f>
        <v>2015</v>
      </c>
      <c r="BC24" s="149" t="n">
        <v>-2.5</v>
      </c>
      <c r="BD24" s="150" t="n">
        <v>7</v>
      </c>
      <c r="BE24" s="151" t="n">
        <v>3</v>
      </c>
      <c r="BF24" s="150" t="n">
        <v>-11.5</v>
      </c>
      <c r="BG24" s="150" t="n">
        <v>2</v>
      </c>
      <c r="BH24" s="151" t="n">
        <v>0.5</v>
      </c>
      <c r="BQ24" s="108" t="n">
        <v>36907.7428240741</v>
      </c>
      <c r="BR24" s="109" t="n">
        <v>36907.743287037</v>
      </c>
      <c r="BS24" s="110" t="n">
        <v>36928</v>
      </c>
      <c r="BT24" s="111" t="n">
        <v>3374.03784179688</v>
      </c>
      <c r="BU24" s="112" t="n">
        <v>1687.01892089844</v>
      </c>
      <c r="BV24" s="112" t="n">
        <v>0</v>
      </c>
      <c r="BW24" s="112" t="n">
        <v>0</v>
      </c>
      <c r="BX24" s="113" t="n">
        <v>0</v>
      </c>
      <c r="BY24" s="114"/>
      <c r="BZ24" s="115" t="n">
        <v>36929</v>
      </c>
      <c r="CA24" s="116" t="n">
        <v>185</v>
      </c>
      <c r="CB24" s="116" t="n">
        <v>90</v>
      </c>
      <c r="CC24" s="116"/>
      <c r="CD24" s="116"/>
      <c r="CE24" s="117"/>
      <c r="CG24" s="152" t="n">
        <f aca="false">BB29</f>
        <v>2020</v>
      </c>
      <c r="CH24" s="153" t="n">
        <v>0</v>
      </c>
      <c r="CI24" s="153" t="n">
        <v>0</v>
      </c>
      <c r="CJ24" s="137" t="n">
        <v>0</v>
      </c>
      <c r="CK24" s="137" t="n">
        <v>0</v>
      </c>
      <c r="CL24" s="137" t="n">
        <v>0</v>
      </c>
      <c r="CM24" s="137" t="n">
        <v>0</v>
      </c>
      <c r="CN24" s="137" t="n">
        <v>0</v>
      </c>
      <c r="CO24" s="137" t="n">
        <v>0</v>
      </c>
      <c r="CP24" s="137" t="n">
        <v>0</v>
      </c>
      <c r="CQ24" s="137" t="n">
        <v>0</v>
      </c>
      <c r="CR24" s="137" t="n">
        <v>0</v>
      </c>
      <c r="CS24" s="138" t="n">
        <v>0</v>
      </c>
      <c r="CU24" s="152" t="n">
        <f aca="false">BB29</f>
        <v>2020</v>
      </c>
      <c r="CV24" s="136" t="n">
        <v>-5</v>
      </c>
      <c r="CW24" s="137" t="n">
        <v>-5</v>
      </c>
      <c r="CX24" s="137" t="n">
        <v>-5</v>
      </c>
      <c r="CY24" s="137" t="n">
        <v>-5</v>
      </c>
      <c r="CZ24" s="137" t="n">
        <v>-5</v>
      </c>
      <c r="DA24" s="137" t="n">
        <v>-5</v>
      </c>
      <c r="DB24" s="137" t="n">
        <v>-5</v>
      </c>
      <c r="DC24" s="137" t="n">
        <v>-5</v>
      </c>
      <c r="DD24" s="137" t="n">
        <v>-5</v>
      </c>
      <c r="DE24" s="137" t="n">
        <v>-5</v>
      </c>
      <c r="DF24" s="137" t="n">
        <v>-5</v>
      </c>
      <c r="DG24" s="138" t="n">
        <v>-5</v>
      </c>
      <c r="DI24" s="152" t="n">
        <f aca="false">BB29</f>
        <v>2020</v>
      </c>
      <c r="DJ24" s="153" t="n">
        <v>34</v>
      </c>
      <c r="DK24" s="154" t="n">
        <v>34</v>
      </c>
      <c r="DL24" s="154" t="n">
        <v>34</v>
      </c>
      <c r="DM24" s="154" t="n">
        <v>34</v>
      </c>
      <c r="DN24" s="154" t="n">
        <v>34</v>
      </c>
      <c r="DO24" s="154" t="n">
        <v>34</v>
      </c>
      <c r="DP24" s="154" t="n">
        <v>34</v>
      </c>
      <c r="DQ24" s="154" t="n">
        <v>34</v>
      </c>
      <c r="DR24" s="154" t="n">
        <v>34</v>
      </c>
      <c r="DS24" s="154" t="n">
        <v>34</v>
      </c>
      <c r="DT24" s="154" t="n">
        <v>34</v>
      </c>
      <c r="DU24" s="155" t="n">
        <v>34</v>
      </c>
    </row>
    <row r="25" customFormat="false" ht="12.75" hidden="false" customHeight="false" outlineLevel="0" collapsed="false">
      <c r="A25" s="91" t="n">
        <f aca="true">IF(ISERROR(MATCH(D25,iRefDt,0)),"",MATCH(D25,iRefDt,0))</f>
        <v>25</v>
      </c>
      <c r="B25" s="92" t="n">
        <f aca="false">MATCH(YEAR(D25),iSpreads)</f>
        <v>1</v>
      </c>
      <c r="C25" s="0" t="n">
        <f aca="false">MONTH(D25)</f>
        <v>2</v>
      </c>
      <c r="D25" s="93" t="n">
        <f aca="false">D24+1</f>
        <v>36931</v>
      </c>
      <c r="E25" s="94" t="n">
        <f aca="false">VLOOKUP($D25,tblPriorPrice,2)</f>
        <v>185</v>
      </c>
      <c r="F25" s="95" t="n">
        <f aca="false">+[2]EnergyCurve!$D25</f>
        <v>-10</v>
      </c>
      <c r="G25" s="96" t="n">
        <f aca="false">E25+F25</f>
        <v>175</v>
      </c>
      <c r="H25" s="96" t="n">
        <f aca="true">G25+OFFSET($CU$4,$B25,$C25)</f>
        <v>170</v>
      </c>
      <c r="I25" s="96" t="n">
        <f aca="true">G25+OFFSET($DI$4,$B25,$C25)</f>
        <v>200</v>
      </c>
      <c r="J25" s="94" t="n">
        <f aca="false">VLOOKUP($D25,tblPriorPrice,3)</f>
        <v>90</v>
      </c>
      <c r="K25" s="95" t="n">
        <f aca="false">+[2]EnergyCurve!$G25</f>
        <v>-5</v>
      </c>
      <c r="L25" s="96" t="n">
        <f aca="false">J25+K25</f>
        <v>85</v>
      </c>
      <c r="M25" s="96" t="n">
        <f aca="true">$L25+OFFSET($CU$27,$B25,$C25)</f>
        <v>80</v>
      </c>
      <c r="N25" s="97" t="n">
        <f aca="true">$L25+OFFSET($DI$27,$B25,$C25)</f>
        <v>90</v>
      </c>
      <c r="O25" s="58" t="n">
        <f aca="true">IF($A25="",0,INDEX(tblPosn,$A25,2))</f>
        <v>3374.03784179688</v>
      </c>
      <c r="P25" s="59" t="n">
        <f aca="true">IF($A25="",0,INDEX(tblPosn,$A25,3))</f>
        <v>1687.01892089844</v>
      </c>
      <c r="Q25" s="59" t="n">
        <f aca="true">IF($A25="",0,INDEX(tblPosn,$A25,4))</f>
        <v>0</v>
      </c>
      <c r="R25" s="59" t="n">
        <f aca="true">IF($A25="",0,INDEX(tblPosn,$A25,5))</f>
        <v>0</v>
      </c>
      <c r="S25" s="59" t="n">
        <f aca="true">IF($A25="",0,INDEX(tblPosn,$A25,6))</f>
        <v>0</v>
      </c>
      <c r="T25" s="98" t="n">
        <f aca="false">O25*F25+P25*K25+R25*AC25+S25*AH25+Q25*X25</f>
        <v>-42175.4730224609</v>
      </c>
      <c r="V25" s="99"/>
      <c r="W25" s="100"/>
      <c r="X25" s="101" t="n">
        <f aca="false">F25</f>
        <v>-10</v>
      </c>
      <c r="Y25" s="102"/>
      <c r="Z25" s="102"/>
      <c r="AA25" s="102"/>
      <c r="AB25" s="100"/>
      <c r="AC25" s="101" t="n">
        <f aca="false">F25</f>
        <v>-10</v>
      </c>
      <c r="AD25" s="102"/>
      <c r="AE25" s="102"/>
      <c r="AF25" s="103"/>
      <c r="AG25" s="100"/>
      <c r="AH25" s="101" t="n">
        <f aca="false">IF(MONTH(D25)=MONTH($V$34),$AH$34,$AH$33)</f>
        <v>0</v>
      </c>
      <c r="AI25" s="102"/>
      <c r="AJ25" s="102"/>
      <c r="AK25" s="103"/>
      <c r="AL25" s="104"/>
      <c r="AM25" s="103"/>
      <c r="AN25" s="104"/>
      <c r="AO25" s="104"/>
      <c r="AP25" s="104"/>
      <c r="AQ25" s="100"/>
      <c r="AR25" s="104"/>
      <c r="AS25" s="104"/>
      <c r="AT25" s="100"/>
      <c r="AU25" s="104"/>
      <c r="AV25" s="104"/>
      <c r="AW25" s="100"/>
      <c r="AX25" s="104"/>
      <c r="AY25" s="104"/>
      <c r="AZ25" s="100"/>
      <c r="BA25" s="74"/>
      <c r="BB25" s="148" t="n">
        <f aca="false">BB24+1</f>
        <v>2016</v>
      </c>
      <c r="BC25" s="149" t="n">
        <v>-2.5</v>
      </c>
      <c r="BD25" s="150" t="n">
        <v>7</v>
      </c>
      <c r="BE25" s="151" t="n">
        <v>3</v>
      </c>
      <c r="BF25" s="150" t="n">
        <v>-11.5</v>
      </c>
      <c r="BG25" s="150" t="n">
        <v>2</v>
      </c>
      <c r="BH25" s="151" t="n">
        <v>0.5</v>
      </c>
      <c r="BQ25" s="108" t="n">
        <v>36907.7428240741</v>
      </c>
      <c r="BR25" s="109" t="n">
        <v>36907.743287037</v>
      </c>
      <c r="BS25" s="110" t="n">
        <v>36929</v>
      </c>
      <c r="BT25" s="111" t="n">
        <v>3374.03784179688</v>
      </c>
      <c r="BU25" s="112" t="n">
        <v>1687.01892089844</v>
      </c>
      <c r="BV25" s="112" t="n">
        <v>0</v>
      </c>
      <c r="BW25" s="112" t="n">
        <v>0</v>
      </c>
      <c r="BX25" s="113" t="n">
        <v>0</v>
      </c>
      <c r="BY25" s="114"/>
      <c r="BZ25" s="115" t="n">
        <v>36930</v>
      </c>
      <c r="CA25" s="116" t="n">
        <v>185</v>
      </c>
      <c r="CB25" s="116" t="n">
        <v>90</v>
      </c>
      <c r="CC25" s="116"/>
      <c r="CD25" s="116"/>
      <c r="CE25" s="117"/>
      <c r="CK25" s="156"/>
    </row>
    <row r="26" customFormat="false" ht="12.75" hidden="false" customHeight="false" outlineLevel="0" collapsed="false">
      <c r="A26" s="91" t="n">
        <f aca="true">IF(ISERROR(MATCH(D26,iRefDt,0)),"",MATCH(D26,iRefDt,0))</f>
        <v>26</v>
      </c>
      <c r="B26" s="92" t="n">
        <f aca="false">MATCH(YEAR(D26),iSpreads)</f>
        <v>1</v>
      </c>
      <c r="C26" s="0" t="n">
        <f aca="false">MONTH(D26)</f>
        <v>2</v>
      </c>
      <c r="D26" s="93" t="n">
        <f aca="false">D25+1</f>
        <v>36932</v>
      </c>
      <c r="E26" s="94" t="n">
        <f aca="false">IF(ISERROR(VLOOKUP($D26,tblPriorPrice,2,FALSE())),E$34,VLOOKUP($D26,tblPriorPrice,2,FALSE()))</f>
        <v>134</v>
      </c>
      <c r="F26" s="95" t="n">
        <f aca="false">+[2]EnergyCurve!$D26</f>
        <v>-10</v>
      </c>
      <c r="G26" s="96" t="n">
        <f aca="false">E26+F26</f>
        <v>124</v>
      </c>
      <c r="H26" s="96" t="n">
        <f aca="true">G26+OFFSET($CU$4,$B26,$C26)</f>
        <v>119</v>
      </c>
      <c r="I26" s="96" t="n">
        <f aca="true">G26+OFFSET($DI$4,$B26,$C26)</f>
        <v>149</v>
      </c>
      <c r="J26" s="94" t="n">
        <f aca="false">IF(ISERROR(VLOOKUP($D26,tblPriorPrice,3,FALSE())),J$34,VLOOKUP($D26,tblPriorPrice,3,FALSE()))</f>
        <v>90</v>
      </c>
      <c r="K26" s="95" t="n">
        <f aca="false">+[2]EnergyCurve!$G26</f>
        <v>-5</v>
      </c>
      <c r="L26" s="96" t="n">
        <f aca="false">J26+K26</f>
        <v>85</v>
      </c>
      <c r="M26" s="96" t="n">
        <f aca="true">$L26+OFFSET($CU$27,$B26,$C26)</f>
        <v>80</v>
      </c>
      <c r="N26" s="97" t="n">
        <f aca="true">$L26+OFFSET($DI$27,$B26,$C26)</f>
        <v>90</v>
      </c>
      <c r="O26" s="58" t="n">
        <f aca="true">IF($A26="",0,INDEX(tblPosn,$A26,2))</f>
        <v>0</v>
      </c>
      <c r="P26" s="59" t="n">
        <f aca="true">IF($A26="",0,INDEX(tblPosn,$A26,3))</f>
        <v>1687.01879882813</v>
      </c>
      <c r="Q26" s="59" t="n">
        <f aca="true">IF($A26="",0,INDEX(tblPosn,$A26,4))</f>
        <v>3374.03784179688</v>
      </c>
      <c r="R26" s="59" t="n">
        <f aca="true">IF($A26="",0,INDEX(tblPosn,$A26,5))</f>
        <v>0</v>
      </c>
      <c r="S26" s="59" t="n">
        <f aca="true">IF($A26="",0,INDEX(tblPosn,$A26,6))</f>
        <v>0</v>
      </c>
      <c r="T26" s="98" t="n">
        <f aca="false">O26*F26+P26*K26+R26*AC26+S26*AH26+Q26*X26</f>
        <v>-42175.4724121094</v>
      </c>
      <c r="V26" s="99"/>
      <c r="W26" s="100"/>
      <c r="X26" s="101" t="n">
        <f aca="false">F26</f>
        <v>-10</v>
      </c>
      <c r="Y26" s="102"/>
      <c r="Z26" s="102"/>
      <c r="AA26" s="102"/>
      <c r="AB26" s="100"/>
      <c r="AC26" s="101" t="n">
        <f aca="false">F26</f>
        <v>-10</v>
      </c>
      <c r="AD26" s="102"/>
      <c r="AE26" s="102"/>
      <c r="AF26" s="103"/>
      <c r="AG26" s="100"/>
      <c r="AH26" s="101" t="n">
        <f aca="false">IF(MONTH(D26)=MONTH($V$34),$AH$34,$AH$33)</f>
        <v>0</v>
      </c>
      <c r="AI26" s="102"/>
      <c r="AJ26" s="102"/>
      <c r="AK26" s="103"/>
      <c r="AL26" s="104"/>
      <c r="AM26" s="103"/>
      <c r="AN26" s="104"/>
      <c r="AO26" s="104"/>
      <c r="AP26" s="104"/>
      <c r="AQ26" s="100"/>
      <c r="AR26" s="104"/>
      <c r="AS26" s="104"/>
      <c r="AT26" s="100"/>
      <c r="AU26" s="104"/>
      <c r="AV26" s="104"/>
      <c r="AW26" s="100"/>
      <c r="AX26" s="104"/>
      <c r="AY26" s="104"/>
      <c r="AZ26" s="100"/>
      <c r="BA26" s="74"/>
      <c r="BB26" s="148" t="n">
        <f aca="false">BB25+1</f>
        <v>2017</v>
      </c>
      <c r="BC26" s="149" t="n">
        <v>-2.5</v>
      </c>
      <c r="BD26" s="150" t="n">
        <v>7</v>
      </c>
      <c r="BE26" s="151" t="n">
        <v>3</v>
      </c>
      <c r="BF26" s="150" t="n">
        <v>-11.5</v>
      </c>
      <c r="BG26" s="150" t="n">
        <v>2</v>
      </c>
      <c r="BH26" s="151" t="n">
        <v>0.5</v>
      </c>
      <c r="BQ26" s="108" t="n">
        <v>36907.7428240741</v>
      </c>
      <c r="BR26" s="109" t="n">
        <v>36907.743287037</v>
      </c>
      <c r="BS26" s="110" t="n">
        <v>36930</v>
      </c>
      <c r="BT26" s="111" t="n">
        <v>3374.03784179688</v>
      </c>
      <c r="BU26" s="112" t="n">
        <v>1687.01892089844</v>
      </c>
      <c r="BV26" s="112" t="n">
        <v>0</v>
      </c>
      <c r="BW26" s="112" t="n">
        <v>0</v>
      </c>
      <c r="BX26" s="113" t="n">
        <v>0</v>
      </c>
      <c r="BY26" s="114"/>
      <c r="BZ26" s="115" t="n">
        <v>36931</v>
      </c>
      <c r="CA26" s="116" t="n">
        <v>185</v>
      </c>
      <c r="CB26" s="116" t="n">
        <v>90</v>
      </c>
      <c r="CC26" s="116"/>
      <c r="CD26" s="116"/>
      <c r="CE26" s="117"/>
      <c r="CG26" s="105" t="s">
        <v>52</v>
      </c>
      <c r="CH26" s="118"/>
      <c r="CI26" s="118"/>
      <c r="CJ26" s="119"/>
      <c r="CU26" s="105" t="s">
        <v>52</v>
      </c>
      <c r="CV26" s="118"/>
      <c r="CW26" s="118"/>
      <c r="CX26" s="119"/>
      <c r="DI26" s="105" t="s">
        <v>52</v>
      </c>
      <c r="DJ26" s="118"/>
      <c r="DK26" s="118"/>
      <c r="DL26" s="119"/>
    </row>
    <row r="27" customFormat="false" ht="12.75" hidden="false" customHeight="false" outlineLevel="0" collapsed="false">
      <c r="A27" s="91" t="n">
        <f aca="true">IF(ISERROR(MATCH(D27,iRefDt,0)),"",MATCH(D27,iRefDt,0))</f>
        <v>27</v>
      </c>
      <c r="B27" s="92" t="n">
        <f aca="false">MATCH(YEAR(D27),iSpreads)</f>
        <v>1</v>
      </c>
      <c r="C27" s="0" t="n">
        <f aca="false">MONTH(D27)</f>
        <v>2</v>
      </c>
      <c r="D27" s="93" t="n">
        <f aca="false">D26+1</f>
        <v>36933</v>
      </c>
      <c r="E27" s="94" t="n">
        <f aca="false">IF(ISERROR(VLOOKUP($D27,tblPriorPrice,2,FALSE())),E$34,VLOOKUP($D27,tblPriorPrice,2,FALSE()))</f>
        <v>116</v>
      </c>
      <c r="F27" s="95" t="n">
        <f aca="false">+[2]EnergyCurve!$D27</f>
        <v>-10</v>
      </c>
      <c r="G27" s="96" t="n">
        <f aca="false">E27+F27</f>
        <v>106</v>
      </c>
      <c r="H27" s="96" t="n">
        <f aca="true">G27+OFFSET($CU$4,$B27,$C27)</f>
        <v>101</v>
      </c>
      <c r="I27" s="96" t="n">
        <f aca="true">G27+OFFSET($DI$4,$B27,$C27)</f>
        <v>131</v>
      </c>
      <c r="J27" s="94" t="n">
        <f aca="false">IF(ISERROR(VLOOKUP($D27,tblPriorPrice,3,FALSE())),J$34,VLOOKUP($D27,tblPriorPrice,3,FALSE()))</f>
        <v>90</v>
      </c>
      <c r="K27" s="95" t="n">
        <f aca="false">+[2]EnergyCurve!$G27</f>
        <v>-5</v>
      </c>
      <c r="L27" s="96" t="n">
        <f aca="false">J27+K27</f>
        <v>85</v>
      </c>
      <c r="M27" s="96" t="n">
        <f aca="true">$L27+OFFSET($CU$27,$B27,$C27)</f>
        <v>80</v>
      </c>
      <c r="N27" s="97" t="n">
        <f aca="true">$L27+OFFSET($DI$27,$B27,$C27)</f>
        <v>90</v>
      </c>
      <c r="O27" s="58" t="n">
        <f aca="true">IF($A27="",0,INDEX(tblPosn,$A27,2))</f>
        <v>0</v>
      </c>
      <c r="P27" s="59" t="n">
        <f aca="true">IF($A27="",0,INDEX(tblPosn,$A27,3))</f>
        <v>1687.01892089844</v>
      </c>
      <c r="Q27" s="59" t="n">
        <f aca="true">IF($A27="",0,INDEX(tblPosn,$A27,4))</f>
        <v>0</v>
      </c>
      <c r="R27" s="59" t="n">
        <f aca="true">IF($A27="",0,INDEX(tblPosn,$A27,5))</f>
        <v>3374.03784179688</v>
      </c>
      <c r="S27" s="59" t="n">
        <f aca="true">IF($A27="",0,INDEX(tblPosn,$A27,6))</f>
        <v>0</v>
      </c>
      <c r="T27" s="98" t="n">
        <f aca="false">O27*F27+P27*K27+R27*AC27+S27*AH27+Q27*X27</f>
        <v>-42175.4730224609</v>
      </c>
      <c r="V27" s="99"/>
      <c r="W27" s="100"/>
      <c r="X27" s="101" t="n">
        <f aca="false">F27</f>
        <v>-10</v>
      </c>
      <c r="Y27" s="102"/>
      <c r="Z27" s="102"/>
      <c r="AA27" s="102"/>
      <c r="AB27" s="100"/>
      <c r="AC27" s="101" t="n">
        <f aca="false">F27</f>
        <v>-10</v>
      </c>
      <c r="AD27" s="102"/>
      <c r="AE27" s="102"/>
      <c r="AF27" s="103"/>
      <c r="AG27" s="100"/>
      <c r="AH27" s="101" t="n">
        <f aca="false">IF(MONTH(D27)=MONTH($V$34),$AH$34,$AH$33)</f>
        <v>0</v>
      </c>
      <c r="AI27" s="102"/>
      <c r="AJ27" s="102"/>
      <c r="AK27" s="103"/>
      <c r="AL27" s="104"/>
      <c r="AM27" s="103"/>
      <c r="AN27" s="104"/>
      <c r="AO27" s="104"/>
      <c r="AP27" s="104"/>
      <c r="AQ27" s="100"/>
      <c r="AR27" s="104"/>
      <c r="AS27" s="104"/>
      <c r="AT27" s="100"/>
      <c r="AU27" s="104"/>
      <c r="AV27" s="104"/>
      <c r="AW27" s="100"/>
      <c r="AX27" s="104"/>
      <c r="AY27" s="104"/>
      <c r="AZ27" s="100"/>
      <c r="BA27" s="74"/>
      <c r="BB27" s="148" t="n">
        <f aca="false">BB26+1</f>
        <v>2018</v>
      </c>
      <c r="BC27" s="149" t="n">
        <v>-2.5</v>
      </c>
      <c r="BD27" s="150" t="n">
        <v>7</v>
      </c>
      <c r="BE27" s="151" t="n">
        <v>3</v>
      </c>
      <c r="BF27" s="150" t="n">
        <v>-11.5</v>
      </c>
      <c r="BG27" s="150" t="n">
        <v>2</v>
      </c>
      <c r="BH27" s="151" t="n">
        <v>0.5</v>
      </c>
      <c r="BQ27" s="108" t="n">
        <v>36907.7428240741</v>
      </c>
      <c r="BR27" s="109" t="n">
        <v>36907.743287037</v>
      </c>
      <c r="BS27" s="110" t="n">
        <v>36931</v>
      </c>
      <c r="BT27" s="111" t="n">
        <v>3374.03784179688</v>
      </c>
      <c r="BU27" s="112" t="n">
        <v>1687.01892089844</v>
      </c>
      <c r="BV27" s="112" t="n">
        <v>0</v>
      </c>
      <c r="BW27" s="112" t="n">
        <v>0</v>
      </c>
      <c r="BX27" s="113" t="n">
        <v>0</v>
      </c>
      <c r="BY27" s="114"/>
      <c r="BZ27" s="115" t="n">
        <v>36932</v>
      </c>
      <c r="CA27" s="116" t="n">
        <v>134</v>
      </c>
      <c r="CB27" s="116" t="n">
        <v>90</v>
      </c>
      <c r="CC27" s="116"/>
      <c r="CD27" s="116"/>
      <c r="CE27" s="117"/>
      <c r="CG27" s="125" t="s">
        <v>99</v>
      </c>
      <c r="CH27" s="126" t="s">
        <v>100</v>
      </c>
      <c r="CI27" s="126" t="s">
        <v>101</v>
      </c>
      <c r="CJ27" s="126" t="s">
        <v>102</v>
      </c>
      <c r="CK27" s="126" t="s">
        <v>103</v>
      </c>
      <c r="CL27" s="126" t="s">
        <v>104</v>
      </c>
      <c r="CM27" s="126" t="s">
        <v>105</v>
      </c>
      <c r="CN27" s="126" t="s">
        <v>106</v>
      </c>
      <c r="CO27" s="126" t="s">
        <v>107</v>
      </c>
      <c r="CP27" s="126" t="s">
        <v>108</v>
      </c>
      <c r="CQ27" s="126" t="s">
        <v>109</v>
      </c>
      <c r="CR27" s="126" t="s">
        <v>110</v>
      </c>
      <c r="CS27" s="126" t="s">
        <v>111</v>
      </c>
      <c r="CU27" s="125" t="s">
        <v>99</v>
      </c>
      <c r="CV27" s="126" t="s">
        <v>100</v>
      </c>
      <c r="CW27" s="126" t="s">
        <v>101</v>
      </c>
      <c r="CX27" s="126" t="s">
        <v>102</v>
      </c>
      <c r="CY27" s="126" t="s">
        <v>103</v>
      </c>
      <c r="CZ27" s="126" t="s">
        <v>104</v>
      </c>
      <c r="DA27" s="126" t="s">
        <v>105</v>
      </c>
      <c r="DB27" s="126" t="s">
        <v>106</v>
      </c>
      <c r="DC27" s="126" t="s">
        <v>107</v>
      </c>
      <c r="DD27" s="126" t="s">
        <v>108</v>
      </c>
      <c r="DE27" s="126" t="s">
        <v>109</v>
      </c>
      <c r="DF27" s="126" t="s">
        <v>110</v>
      </c>
      <c r="DG27" s="126" t="s">
        <v>111</v>
      </c>
      <c r="DI27" s="125" t="s">
        <v>99</v>
      </c>
      <c r="DJ27" s="126" t="s">
        <v>100</v>
      </c>
      <c r="DK27" s="126" t="s">
        <v>101</v>
      </c>
      <c r="DL27" s="126" t="s">
        <v>102</v>
      </c>
      <c r="DM27" s="126" t="s">
        <v>103</v>
      </c>
      <c r="DN27" s="126" t="s">
        <v>104</v>
      </c>
      <c r="DO27" s="126" t="s">
        <v>105</v>
      </c>
      <c r="DP27" s="126" t="s">
        <v>106</v>
      </c>
      <c r="DQ27" s="126" t="s">
        <v>107</v>
      </c>
      <c r="DR27" s="126" t="s">
        <v>108</v>
      </c>
      <c r="DS27" s="126" t="s">
        <v>109</v>
      </c>
      <c r="DT27" s="126" t="s">
        <v>110</v>
      </c>
      <c r="DU27" s="126" t="s">
        <v>111</v>
      </c>
    </row>
    <row r="28" customFormat="false" ht="12.75" hidden="false" customHeight="false" outlineLevel="0" collapsed="false">
      <c r="A28" s="91" t="n">
        <f aca="true">IF(ISERROR(MATCH(D28,iRefDt,0)),"",MATCH(D28,iRefDt,0))</f>
        <v>28</v>
      </c>
      <c r="B28" s="92" t="n">
        <f aca="false">MATCH(YEAR(D28),iSpreads)</f>
        <v>1</v>
      </c>
      <c r="C28" s="0" t="n">
        <f aca="false">MONTH(D28)</f>
        <v>2</v>
      </c>
      <c r="D28" s="93" t="n">
        <f aca="false">D27+1</f>
        <v>36934</v>
      </c>
      <c r="E28" s="94" t="n">
        <f aca="false">IF(ISERROR(VLOOKUP($D28,tblPriorPrice,2,FALSE())),E$34,VLOOKUP($D28,tblPriorPrice,2,FALSE()))</f>
        <v>185</v>
      </c>
      <c r="F28" s="95" t="n">
        <f aca="false">+[2]EnergyCurve!$D28</f>
        <v>-10</v>
      </c>
      <c r="G28" s="96" t="n">
        <f aca="false">E28+F28</f>
        <v>175</v>
      </c>
      <c r="H28" s="96" t="n">
        <f aca="true">G28+OFFSET($CU$4,$B28,$C28)</f>
        <v>170</v>
      </c>
      <c r="I28" s="96" t="n">
        <f aca="true">G28+OFFSET($DI$4,$B28,$C28)</f>
        <v>200</v>
      </c>
      <c r="J28" s="94" t="n">
        <f aca="false">IF(ISERROR(VLOOKUP($D28,tblPriorPrice,3,FALSE())),J$34,VLOOKUP($D28,tblPriorPrice,3,FALSE()))</f>
        <v>90</v>
      </c>
      <c r="K28" s="95" t="n">
        <f aca="false">+[2]EnergyCurve!$G28</f>
        <v>-5</v>
      </c>
      <c r="L28" s="96" t="n">
        <f aca="false">J28+K28</f>
        <v>85</v>
      </c>
      <c r="M28" s="96" t="n">
        <f aca="true">$L28+OFFSET($CU$27,$B28,$C28)</f>
        <v>80</v>
      </c>
      <c r="N28" s="97" t="n">
        <f aca="true">$L28+OFFSET($DI$27,$B28,$C28)</f>
        <v>90</v>
      </c>
      <c r="O28" s="58" t="n">
        <f aca="true">IF($A28="",0,INDEX(tblPosn,$A28,2))</f>
        <v>3374.03784179688</v>
      </c>
      <c r="P28" s="59" t="n">
        <f aca="true">IF($A28="",0,INDEX(tblPosn,$A28,3))</f>
        <v>1687.01892089844</v>
      </c>
      <c r="Q28" s="59" t="n">
        <f aca="true">IF($A28="",0,INDEX(tblPosn,$A28,4))</f>
        <v>0</v>
      </c>
      <c r="R28" s="59" t="n">
        <f aca="true">IF($A28="",0,INDEX(tblPosn,$A28,5))</f>
        <v>0</v>
      </c>
      <c r="S28" s="59" t="n">
        <f aca="true">IF($A28="",0,INDEX(tblPosn,$A28,6))</f>
        <v>0</v>
      </c>
      <c r="T28" s="98" t="n">
        <f aca="false">O28*F28+P28*K28+R28*AC28+S28*AH28+Q28*X28</f>
        <v>-42175.4730224609</v>
      </c>
      <c r="V28" s="99"/>
      <c r="W28" s="100"/>
      <c r="X28" s="101" t="n">
        <f aca="false">F28</f>
        <v>-10</v>
      </c>
      <c r="Y28" s="102"/>
      <c r="Z28" s="102"/>
      <c r="AA28" s="102"/>
      <c r="AB28" s="100"/>
      <c r="AC28" s="101" t="n">
        <f aca="false">F28</f>
        <v>-10</v>
      </c>
      <c r="AD28" s="102"/>
      <c r="AE28" s="102"/>
      <c r="AF28" s="103"/>
      <c r="AG28" s="100"/>
      <c r="AH28" s="101" t="n">
        <f aca="false">IF(MONTH(D28)=MONTH($V$34),$AH$34,$AH$33)</f>
        <v>0</v>
      </c>
      <c r="AI28" s="102"/>
      <c r="AJ28" s="102"/>
      <c r="AK28" s="103"/>
      <c r="AL28" s="104"/>
      <c r="AM28" s="103"/>
      <c r="AN28" s="104"/>
      <c r="AO28" s="104"/>
      <c r="AP28" s="104"/>
      <c r="AQ28" s="100"/>
      <c r="AR28" s="104"/>
      <c r="AS28" s="104"/>
      <c r="AT28" s="100"/>
      <c r="AU28" s="104"/>
      <c r="AV28" s="104"/>
      <c r="AW28" s="100"/>
      <c r="AX28" s="104"/>
      <c r="AY28" s="104"/>
      <c r="AZ28" s="100"/>
      <c r="BA28" s="74"/>
      <c r="BB28" s="148" t="n">
        <f aca="false">BB27+1</f>
        <v>2019</v>
      </c>
      <c r="BC28" s="149" t="n">
        <v>-2.5</v>
      </c>
      <c r="BD28" s="150" t="n">
        <v>7</v>
      </c>
      <c r="BE28" s="151" t="n">
        <v>3</v>
      </c>
      <c r="BF28" s="150" t="n">
        <v>-11.5</v>
      </c>
      <c r="BG28" s="150" t="n">
        <v>2</v>
      </c>
      <c r="BH28" s="151" t="n">
        <v>0.5</v>
      </c>
      <c r="BQ28" s="108" t="n">
        <v>36907.7428240741</v>
      </c>
      <c r="BR28" s="109" t="n">
        <v>36907.743287037</v>
      </c>
      <c r="BS28" s="110" t="n">
        <v>36932</v>
      </c>
      <c r="BT28" s="111" t="n">
        <v>0</v>
      </c>
      <c r="BU28" s="112" t="n">
        <v>1687.01879882813</v>
      </c>
      <c r="BV28" s="112" t="n">
        <v>3374.03784179688</v>
      </c>
      <c r="BW28" s="112" t="n">
        <v>0</v>
      </c>
      <c r="BX28" s="113" t="n">
        <v>0</v>
      </c>
      <c r="BY28" s="114"/>
      <c r="BZ28" s="115" t="n">
        <v>36933</v>
      </c>
      <c r="CA28" s="116" t="n">
        <v>116</v>
      </c>
      <c r="CB28" s="116" t="n">
        <v>90</v>
      </c>
      <c r="CC28" s="116"/>
      <c r="CD28" s="116"/>
      <c r="CE28" s="117"/>
      <c r="CG28" s="128" t="n">
        <f aca="false">BB10</f>
        <v>2001</v>
      </c>
      <c r="CH28" s="129" t="n">
        <v>0</v>
      </c>
      <c r="CI28" s="130" t="n">
        <v>0</v>
      </c>
      <c r="CJ28" s="130" t="n">
        <v>0</v>
      </c>
      <c r="CK28" s="130" t="n">
        <v>0</v>
      </c>
      <c r="CL28" s="130" t="n">
        <v>0</v>
      </c>
      <c r="CM28" s="130" t="n">
        <v>0</v>
      </c>
      <c r="CN28" s="130" t="n">
        <v>0</v>
      </c>
      <c r="CO28" s="130" t="n">
        <v>0</v>
      </c>
      <c r="CP28" s="130" t="n">
        <v>0</v>
      </c>
      <c r="CQ28" s="130" t="n">
        <v>0</v>
      </c>
      <c r="CR28" s="130" t="n">
        <v>0</v>
      </c>
      <c r="CS28" s="131" t="n">
        <v>0</v>
      </c>
      <c r="CU28" s="128" t="n">
        <f aca="false">BB10</f>
        <v>2001</v>
      </c>
      <c r="CV28" s="129" t="n">
        <v>-5</v>
      </c>
      <c r="CW28" s="130" t="n">
        <v>-5</v>
      </c>
      <c r="CX28" s="130" t="n">
        <v>-5</v>
      </c>
      <c r="CY28" s="130" t="n">
        <v>-5</v>
      </c>
      <c r="CZ28" s="130" t="n">
        <v>-5</v>
      </c>
      <c r="DA28" s="130" t="n">
        <v>-5</v>
      </c>
      <c r="DB28" s="130" t="n">
        <v>-5</v>
      </c>
      <c r="DC28" s="130" t="n">
        <v>-5</v>
      </c>
      <c r="DD28" s="130" t="n">
        <v>-5</v>
      </c>
      <c r="DE28" s="130" t="n">
        <v>-5</v>
      </c>
      <c r="DF28" s="130" t="n">
        <v>-5</v>
      </c>
      <c r="DG28" s="131" t="n">
        <v>-5</v>
      </c>
      <c r="DI28" s="128" t="n">
        <f aca="false">BB10</f>
        <v>2001</v>
      </c>
      <c r="DJ28" s="129" t="n">
        <v>5</v>
      </c>
      <c r="DK28" s="130" t="n">
        <v>5</v>
      </c>
      <c r="DL28" s="130" t="n">
        <v>5</v>
      </c>
      <c r="DM28" s="130" t="n">
        <v>5</v>
      </c>
      <c r="DN28" s="130" t="n">
        <v>5</v>
      </c>
      <c r="DO28" s="130" t="n">
        <v>5</v>
      </c>
      <c r="DP28" s="130" t="n">
        <v>5</v>
      </c>
      <c r="DQ28" s="130" t="n">
        <v>5</v>
      </c>
      <c r="DR28" s="130" t="n">
        <v>5</v>
      </c>
      <c r="DS28" s="130" t="n">
        <v>5</v>
      </c>
      <c r="DT28" s="130" t="n">
        <v>5</v>
      </c>
      <c r="DU28" s="131" t="n">
        <v>5</v>
      </c>
    </row>
    <row r="29" customFormat="false" ht="12.75" hidden="false" customHeight="false" outlineLevel="0" collapsed="false">
      <c r="A29" s="91" t="n">
        <f aca="true">IF(ISERROR(MATCH(D29,iRefDt,0)),"",MATCH(D29,iRefDt,0))</f>
        <v>29</v>
      </c>
      <c r="B29" s="92" t="n">
        <f aca="false">MATCH(YEAR(D29),iSpreads)</f>
        <v>1</v>
      </c>
      <c r="C29" s="0" t="n">
        <f aca="false">MONTH(D29)</f>
        <v>2</v>
      </c>
      <c r="D29" s="93" t="n">
        <f aca="false">D28+1</f>
        <v>36935</v>
      </c>
      <c r="E29" s="94" t="n">
        <f aca="false">IF(ISERROR(VLOOKUP($D29,tblPriorPrice,2,FALSE())),E$34,VLOOKUP($D29,tblPriorPrice,2,FALSE()))</f>
        <v>185</v>
      </c>
      <c r="F29" s="95" t="n">
        <f aca="false">+[2]EnergyCurve!$D29</f>
        <v>-10</v>
      </c>
      <c r="G29" s="96" t="n">
        <f aca="false">E29+F29</f>
        <v>175</v>
      </c>
      <c r="H29" s="96" t="n">
        <f aca="true">G29+OFFSET($CU$4,$B29,$C29)</f>
        <v>170</v>
      </c>
      <c r="I29" s="96" t="n">
        <f aca="true">G29+OFFSET($DI$4,$B29,$C29)</f>
        <v>200</v>
      </c>
      <c r="J29" s="94" t="n">
        <f aca="false">IF(ISERROR(VLOOKUP($D29,tblPriorPrice,3,FALSE())),J$34,VLOOKUP($D29,tblPriorPrice,3,FALSE()))</f>
        <v>90</v>
      </c>
      <c r="K29" s="95" t="n">
        <f aca="false">+[2]EnergyCurve!$G29</f>
        <v>-5</v>
      </c>
      <c r="L29" s="96" t="n">
        <f aca="false">J29+K29</f>
        <v>85</v>
      </c>
      <c r="M29" s="96" t="n">
        <f aca="true">$L29+OFFSET($CU$27,$B29,$C29)</f>
        <v>80</v>
      </c>
      <c r="N29" s="97" t="n">
        <f aca="true">$L29+OFFSET($DI$27,$B29,$C29)</f>
        <v>90</v>
      </c>
      <c r="O29" s="58" t="n">
        <f aca="true">IF($A29="",0,INDEX(tblPosn,$A29,2))</f>
        <v>3374.03784179688</v>
      </c>
      <c r="P29" s="59" t="n">
        <f aca="true">IF($A29="",0,INDEX(tblPosn,$A29,3))</f>
        <v>1687.01892089844</v>
      </c>
      <c r="Q29" s="59" t="n">
        <f aca="true">IF($A29="",0,INDEX(tblPosn,$A29,4))</f>
        <v>0</v>
      </c>
      <c r="R29" s="59" t="n">
        <f aca="true">IF($A29="",0,INDEX(tblPosn,$A29,5))</f>
        <v>0</v>
      </c>
      <c r="S29" s="59" t="n">
        <f aca="true">IF($A29="",0,INDEX(tblPosn,$A29,6))</f>
        <v>0</v>
      </c>
      <c r="T29" s="98" t="n">
        <f aca="false">O29*F29+P29*K29+R29*AC29+S29*AH29+Q29*X29</f>
        <v>-42175.4730224609</v>
      </c>
      <c r="V29" s="99"/>
      <c r="W29" s="100"/>
      <c r="X29" s="101" t="n">
        <f aca="false">F29</f>
        <v>-10</v>
      </c>
      <c r="Y29" s="102"/>
      <c r="Z29" s="102"/>
      <c r="AA29" s="102"/>
      <c r="AB29" s="100"/>
      <c r="AC29" s="101" t="n">
        <f aca="false">F29</f>
        <v>-10</v>
      </c>
      <c r="AD29" s="102"/>
      <c r="AE29" s="102"/>
      <c r="AF29" s="103"/>
      <c r="AG29" s="100"/>
      <c r="AH29" s="101" t="n">
        <f aca="false">IF(MONTH(D29)=MONTH($V$34),$AH$34,$AH$33)</f>
        <v>0</v>
      </c>
      <c r="AI29" s="102"/>
      <c r="AJ29" s="102"/>
      <c r="AK29" s="103"/>
      <c r="AL29" s="104"/>
      <c r="AM29" s="103"/>
      <c r="AN29" s="104"/>
      <c r="AO29" s="104"/>
      <c r="AP29" s="104"/>
      <c r="AQ29" s="100"/>
      <c r="AR29" s="104"/>
      <c r="AS29" s="104"/>
      <c r="AT29" s="100"/>
      <c r="AU29" s="104"/>
      <c r="AV29" s="104"/>
      <c r="AW29" s="100"/>
      <c r="AX29" s="104"/>
      <c r="AY29" s="104"/>
      <c r="AZ29" s="100"/>
      <c r="BA29" s="74"/>
      <c r="BB29" s="157" t="n">
        <f aca="false">BB28+1</f>
        <v>2020</v>
      </c>
      <c r="BC29" s="158" t="n">
        <v>-2.5</v>
      </c>
      <c r="BD29" s="159" t="n">
        <v>7</v>
      </c>
      <c r="BE29" s="160" t="n">
        <v>3</v>
      </c>
      <c r="BF29" s="159" t="n">
        <v>-11.5</v>
      </c>
      <c r="BG29" s="159" t="n">
        <v>2</v>
      </c>
      <c r="BH29" s="160" t="n">
        <v>0.5</v>
      </c>
      <c r="BQ29" s="108" t="n">
        <v>36907.7428240741</v>
      </c>
      <c r="BR29" s="109" t="n">
        <v>36907.743287037</v>
      </c>
      <c r="BS29" s="110" t="n">
        <v>36933</v>
      </c>
      <c r="BT29" s="111" t="n">
        <v>0</v>
      </c>
      <c r="BU29" s="112" t="n">
        <v>1687.01892089844</v>
      </c>
      <c r="BV29" s="112" t="n">
        <v>0</v>
      </c>
      <c r="BW29" s="112" t="n">
        <v>3374.03784179688</v>
      </c>
      <c r="BX29" s="113" t="n">
        <v>0</v>
      </c>
      <c r="BY29" s="114"/>
      <c r="BZ29" s="115" t="n">
        <v>36934</v>
      </c>
      <c r="CA29" s="116" t="n">
        <v>185</v>
      </c>
      <c r="CB29" s="116" t="n">
        <v>90</v>
      </c>
      <c r="CC29" s="116"/>
      <c r="CD29" s="116"/>
      <c r="CE29" s="117"/>
      <c r="CG29" s="135" t="n">
        <f aca="false">BB11</f>
        <v>2002</v>
      </c>
      <c r="CH29" s="136" t="n">
        <v>0</v>
      </c>
      <c r="CI29" s="137" t="n">
        <v>0</v>
      </c>
      <c r="CJ29" s="137" t="n">
        <v>0</v>
      </c>
      <c r="CK29" s="137" t="n">
        <v>0</v>
      </c>
      <c r="CL29" s="137" t="n">
        <v>0</v>
      </c>
      <c r="CM29" s="137" t="n">
        <v>0</v>
      </c>
      <c r="CN29" s="137" t="n">
        <v>0</v>
      </c>
      <c r="CO29" s="137" t="n">
        <v>0</v>
      </c>
      <c r="CP29" s="137" t="n">
        <v>0</v>
      </c>
      <c r="CQ29" s="137" t="n">
        <v>0</v>
      </c>
      <c r="CR29" s="137" t="n">
        <v>0</v>
      </c>
      <c r="CS29" s="138" t="n">
        <v>-16</v>
      </c>
      <c r="CU29" s="135" t="n">
        <f aca="false">BB11</f>
        <v>2002</v>
      </c>
      <c r="CV29" s="136" t="n">
        <v>-5</v>
      </c>
      <c r="CW29" s="137" t="n">
        <v>-5</v>
      </c>
      <c r="CX29" s="137" t="n">
        <v>-5</v>
      </c>
      <c r="CY29" s="137" t="n">
        <v>-5</v>
      </c>
      <c r="CZ29" s="137" t="n">
        <v>-5</v>
      </c>
      <c r="DA29" s="137" t="n">
        <v>-5</v>
      </c>
      <c r="DB29" s="137" t="n">
        <v>-5</v>
      </c>
      <c r="DC29" s="137" t="n">
        <v>-5</v>
      </c>
      <c r="DD29" s="137" t="n">
        <v>-5</v>
      </c>
      <c r="DE29" s="137" t="n">
        <v>-5</v>
      </c>
      <c r="DF29" s="137" t="n">
        <v>-5</v>
      </c>
      <c r="DG29" s="138" t="n">
        <v>-5</v>
      </c>
      <c r="DI29" s="135" t="n">
        <f aca="false">BB11</f>
        <v>2002</v>
      </c>
      <c r="DJ29" s="136" t="n">
        <v>5</v>
      </c>
      <c r="DK29" s="137" t="n">
        <v>5</v>
      </c>
      <c r="DL29" s="137" t="n">
        <v>5</v>
      </c>
      <c r="DM29" s="137" t="n">
        <v>5</v>
      </c>
      <c r="DN29" s="137" t="n">
        <v>5</v>
      </c>
      <c r="DO29" s="137" t="n">
        <v>5</v>
      </c>
      <c r="DP29" s="137" t="n">
        <v>5</v>
      </c>
      <c r="DQ29" s="137" t="n">
        <v>5</v>
      </c>
      <c r="DR29" s="137" t="n">
        <v>5</v>
      </c>
      <c r="DS29" s="137" t="n">
        <v>5</v>
      </c>
      <c r="DT29" s="137" t="n">
        <v>5</v>
      </c>
      <c r="DU29" s="138" t="n">
        <v>5</v>
      </c>
    </row>
    <row r="30" customFormat="false" ht="12.75" hidden="false" customHeight="false" outlineLevel="0" collapsed="false">
      <c r="A30" s="91" t="n">
        <f aca="true">IF(ISERROR(MATCH(D30,iRefDt,0)),"",MATCH(D30,iRefDt,0))</f>
        <v>30</v>
      </c>
      <c r="B30" s="92" t="n">
        <f aca="false">MATCH(YEAR(D30),iSpreads)</f>
        <v>1</v>
      </c>
      <c r="C30" s="0" t="n">
        <f aca="false">MONTH(D30)</f>
        <v>2</v>
      </c>
      <c r="D30" s="93" t="n">
        <f aca="false">D29+1</f>
        <v>36936</v>
      </c>
      <c r="E30" s="94" t="n">
        <f aca="false">IF(ISERROR(VLOOKUP($D30,tblPriorPrice,2,FALSE())),E$34,VLOOKUP($D30,tblPriorPrice,2,FALSE()))</f>
        <v>185</v>
      </c>
      <c r="F30" s="95" t="n">
        <f aca="false">+[2]EnergyCurve!$D30</f>
        <v>-10</v>
      </c>
      <c r="G30" s="96" t="n">
        <f aca="false">E30+F30</f>
        <v>175</v>
      </c>
      <c r="H30" s="96" t="n">
        <f aca="true">G30+OFFSET($CU$4,$B30,$C30)</f>
        <v>170</v>
      </c>
      <c r="I30" s="96" t="n">
        <f aca="true">G30+OFFSET($DI$4,$B30,$C30)</f>
        <v>200</v>
      </c>
      <c r="J30" s="94" t="n">
        <f aca="false">IF(ISERROR(VLOOKUP($D30,tblPriorPrice,3,FALSE())),J$34,VLOOKUP($D30,tblPriorPrice,3,FALSE()))</f>
        <v>90</v>
      </c>
      <c r="K30" s="95" t="n">
        <f aca="false">+[2]EnergyCurve!$G30</f>
        <v>-5</v>
      </c>
      <c r="L30" s="96" t="n">
        <f aca="false">J30+K30</f>
        <v>85</v>
      </c>
      <c r="M30" s="96" t="n">
        <f aca="true">$L30+OFFSET($CU$27,$B30,$C30)</f>
        <v>80</v>
      </c>
      <c r="N30" s="97" t="n">
        <f aca="true">$L30+OFFSET($DI$27,$B30,$C30)</f>
        <v>90</v>
      </c>
      <c r="O30" s="58" t="n">
        <f aca="true">IF($A30="",0,INDEX(tblPosn,$A30,2))</f>
        <v>3374.03784179688</v>
      </c>
      <c r="P30" s="59" t="n">
        <f aca="true">IF($A30="",0,INDEX(tblPosn,$A30,3))</f>
        <v>1687.01892089844</v>
      </c>
      <c r="Q30" s="59" t="n">
        <f aca="true">IF($A30="",0,INDEX(tblPosn,$A30,4))</f>
        <v>0</v>
      </c>
      <c r="R30" s="59" t="n">
        <f aca="true">IF($A30="",0,INDEX(tblPosn,$A30,5))</f>
        <v>0</v>
      </c>
      <c r="S30" s="59" t="n">
        <f aca="true">IF($A30="",0,INDEX(tblPosn,$A30,6))</f>
        <v>0</v>
      </c>
      <c r="T30" s="98" t="n">
        <f aca="false">O30*F30+P30*K30+R30*AC30+S30*AH30+Q30*X30</f>
        <v>-42175.4730224609</v>
      </c>
      <c r="V30" s="99"/>
      <c r="W30" s="100"/>
      <c r="X30" s="101" t="n">
        <f aca="false">F30</f>
        <v>-10</v>
      </c>
      <c r="Y30" s="102"/>
      <c r="Z30" s="102"/>
      <c r="AA30" s="102"/>
      <c r="AB30" s="100"/>
      <c r="AC30" s="101" t="n">
        <f aca="false">F30</f>
        <v>-10</v>
      </c>
      <c r="AD30" s="102"/>
      <c r="AE30" s="102"/>
      <c r="AF30" s="103"/>
      <c r="AG30" s="100"/>
      <c r="AH30" s="101" t="n">
        <f aca="false">IF(MONTH(D30)=MONTH($V$34),$AH$34,$AH$33)</f>
        <v>0</v>
      </c>
      <c r="AI30" s="102"/>
      <c r="AJ30" s="102"/>
      <c r="AK30" s="103"/>
      <c r="AL30" s="104"/>
      <c r="AM30" s="103"/>
      <c r="AN30" s="104"/>
      <c r="AO30" s="104"/>
      <c r="AP30" s="104"/>
      <c r="AQ30" s="100"/>
      <c r="AR30" s="104"/>
      <c r="AS30" s="104"/>
      <c r="AT30" s="100"/>
      <c r="AU30" s="104"/>
      <c r="AV30" s="104"/>
      <c r="AW30" s="100"/>
      <c r="AX30" s="104"/>
      <c r="AY30" s="104"/>
      <c r="AZ30" s="100"/>
      <c r="BA30" s="74"/>
      <c r="BQ30" s="108" t="n">
        <v>36907.7428240741</v>
      </c>
      <c r="BR30" s="109" t="n">
        <v>36907.743287037</v>
      </c>
      <c r="BS30" s="110" t="n">
        <v>36934</v>
      </c>
      <c r="BT30" s="111" t="n">
        <v>3374.03784179688</v>
      </c>
      <c r="BU30" s="112" t="n">
        <v>1687.01892089844</v>
      </c>
      <c r="BV30" s="112" t="n">
        <v>0</v>
      </c>
      <c r="BW30" s="112" t="n">
        <v>0</v>
      </c>
      <c r="BX30" s="113" t="n">
        <v>0</v>
      </c>
      <c r="BY30" s="114"/>
      <c r="BZ30" s="115" t="n">
        <v>36935</v>
      </c>
      <c r="CA30" s="116" t="n">
        <v>185</v>
      </c>
      <c r="CB30" s="116" t="n">
        <v>90</v>
      </c>
      <c r="CC30" s="116"/>
      <c r="CD30" s="116"/>
      <c r="CE30" s="117"/>
      <c r="CG30" s="135" t="n">
        <f aca="false">BB12</f>
        <v>2003</v>
      </c>
      <c r="CH30" s="136" t="n">
        <v>-17</v>
      </c>
      <c r="CI30" s="137" t="n">
        <v>-16</v>
      </c>
      <c r="CJ30" s="137" t="n">
        <v>-14</v>
      </c>
      <c r="CK30" s="137" t="n">
        <v>-8</v>
      </c>
      <c r="CL30" s="137" t="n">
        <v>-8</v>
      </c>
      <c r="CM30" s="137" t="n">
        <v>-7</v>
      </c>
      <c r="CN30" s="137" t="n">
        <v>-7</v>
      </c>
      <c r="CO30" s="137" t="n">
        <v>-8</v>
      </c>
      <c r="CP30" s="137" t="n">
        <v>-7</v>
      </c>
      <c r="CQ30" s="137" t="n">
        <v>-7</v>
      </c>
      <c r="CR30" s="137" t="n">
        <v>-8</v>
      </c>
      <c r="CS30" s="138" t="n">
        <v>-8</v>
      </c>
      <c r="CU30" s="135" t="n">
        <f aca="false">BB12</f>
        <v>2003</v>
      </c>
      <c r="CV30" s="136" t="n">
        <v>-5</v>
      </c>
      <c r="CW30" s="137" t="n">
        <v>-5</v>
      </c>
      <c r="CX30" s="137" t="n">
        <v>-5</v>
      </c>
      <c r="CY30" s="137" t="n">
        <v>-5</v>
      </c>
      <c r="CZ30" s="137" t="n">
        <v>-5</v>
      </c>
      <c r="DA30" s="137" t="n">
        <v>-5</v>
      </c>
      <c r="DB30" s="137" t="n">
        <v>-5</v>
      </c>
      <c r="DC30" s="137" t="n">
        <v>-5</v>
      </c>
      <c r="DD30" s="137" t="n">
        <v>-5</v>
      </c>
      <c r="DE30" s="137" t="n">
        <v>-5</v>
      </c>
      <c r="DF30" s="137" t="n">
        <v>-5</v>
      </c>
      <c r="DG30" s="138" t="n">
        <v>-5</v>
      </c>
      <c r="DI30" s="135" t="n">
        <f aca="false">BB12</f>
        <v>2003</v>
      </c>
      <c r="DJ30" s="136" t="n">
        <v>5</v>
      </c>
      <c r="DK30" s="137" t="n">
        <v>5</v>
      </c>
      <c r="DL30" s="137" t="n">
        <v>5</v>
      </c>
      <c r="DM30" s="137" t="n">
        <v>5</v>
      </c>
      <c r="DN30" s="137" t="n">
        <v>5</v>
      </c>
      <c r="DO30" s="137" t="n">
        <v>5</v>
      </c>
      <c r="DP30" s="137" t="n">
        <v>5</v>
      </c>
      <c r="DQ30" s="137" t="n">
        <v>5</v>
      </c>
      <c r="DR30" s="137" t="n">
        <v>5</v>
      </c>
      <c r="DS30" s="137" t="n">
        <v>5</v>
      </c>
      <c r="DT30" s="137" t="n">
        <v>5</v>
      </c>
      <c r="DU30" s="138" t="n">
        <v>5</v>
      </c>
    </row>
    <row r="31" customFormat="false" ht="12.75" hidden="false" customHeight="false" outlineLevel="0" collapsed="false">
      <c r="A31" s="91" t="n">
        <f aca="true">IF(ISERROR(MATCH(D31,iRefDt,0)),"",MATCH(D31,iRefDt,0))</f>
        <v>31</v>
      </c>
      <c r="B31" s="92" t="n">
        <f aca="false">MATCH(YEAR(D31),iSpreads)</f>
        <v>1</v>
      </c>
      <c r="C31" s="0" t="n">
        <f aca="false">MONTH(D31)</f>
        <v>2</v>
      </c>
      <c r="D31" s="93" t="n">
        <f aca="false">D30+1</f>
        <v>36937</v>
      </c>
      <c r="E31" s="94" t="n">
        <f aca="false">IF(ISERROR(VLOOKUP($D31,tblPriorPrice,2,FALSE())),E$34,VLOOKUP($D31,tblPriorPrice,2,FALSE()))</f>
        <v>185</v>
      </c>
      <c r="F31" s="95" t="n">
        <f aca="false">+[2]EnergyCurve!$D31</f>
        <v>-10</v>
      </c>
      <c r="G31" s="96" t="n">
        <f aca="false">E31+F31</f>
        <v>175</v>
      </c>
      <c r="H31" s="96" t="n">
        <f aca="true">G31+OFFSET($CU$4,$B31,$C31)</f>
        <v>170</v>
      </c>
      <c r="I31" s="96" t="n">
        <f aca="true">G31+OFFSET($DI$4,$B31,$C31)</f>
        <v>200</v>
      </c>
      <c r="J31" s="94" t="n">
        <f aca="false">IF(ISERROR(VLOOKUP($D31,tblPriorPrice,3,FALSE())),J$34,VLOOKUP($D31,tblPriorPrice,3,FALSE()))</f>
        <v>90</v>
      </c>
      <c r="K31" s="95" t="n">
        <f aca="false">+[2]EnergyCurve!$G31</f>
        <v>-5</v>
      </c>
      <c r="L31" s="96" t="n">
        <f aca="false">J31+K31</f>
        <v>85</v>
      </c>
      <c r="M31" s="96" t="n">
        <f aca="true">$L31+OFFSET($CU$27,$B31,$C31)</f>
        <v>80</v>
      </c>
      <c r="N31" s="97" t="n">
        <f aca="true">$L31+OFFSET($DI$27,$B31,$C31)</f>
        <v>90</v>
      </c>
      <c r="O31" s="58" t="n">
        <f aca="true">IF($A31="",0,INDEX(tblPosn,$A31,2))</f>
        <v>3374.03784179688</v>
      </c>
      <c r="P31" s="59" t="n">
        <f aca="true">IF($A31="",0,INDEX(tblPosn,$A31,3))</f>
        <v>1687.01892089844</v>
      </c>
      <c r="Q31" s="59" t="n">
        <f aca="true">IF($A31="",0,INDEX(tblPosn,$A31,4))</f>
        <v>0</v>
      </c>
      <c r="R31" s="59" t="n">
        <f aca="true">IF($A31="",0,INDEX(tblPosn,$A31,5))</f>
        <v>0</v>
      </c>
      <c r="S31" s="59" t="n">
        <f aca="true">IF($A31="",0,INDEX(tblPosn,$A31,6))</f>
        <v>0</v>
      </c>
      <c r="T31" s="98" t="n">
        <f aca="false">O31*F31+P31*K31+R31*AC31+S31*AH31+Q31*X31</f>
        <v>-42175.4730224609</v>
      </c>
      <c r="V31" s="99"/>
      <c r="W31" s="100"/>
      <c r="X31" s="101" t="n">
        <f aca="false">F31</f>
        <v>-10</v>
      </c>
      <c r="Y31" s="102"/>
      <c r="Z31" s="102"/>
      <c r="AA31" s="102"/>
      <c r="AB31" s="100"/>
      <c r="AC31" s="101" t="n">
        <f aca="false">F31</f>
        <v>-10</v>
      </c>
      <c r="AD31" s="102"/>
      <c r="AE31" s="102"/>
      <c r="AF31" s="103"/>
      <c r="AG31" s="100"/>
      <c r="AH31" s="101" t="n">
        <f aca="false">IF(MONTH(D31)=MONTH($V$34),$AH$34,$AH$33)</f>
        <v>0</v>
      </c>
      <c r="AI31" s="102"/>
      <c r="AJ31" s="102"/>
      <c r="AK31" s="103"/>
      <c r="AL31" s="104"/>
      <c r="AM31" s="103"/>
      <c r="AN31" s="104"/>
      <c r="AO31" s="104"/>
      <c r="AP31" s="104"/>
      <c r="AQ31" s="100"/>
      <c r="AR31" s="104"/>
      <c r="AS31" s="104"/>
      <c r="AT31" s="100"/>
      <c r="AU31" s="104"/>
      <c r="AV31" s="104"/>
      <c r="AW31" s="100"/>
      <c r="AX31" s="104"/>
      <c r="AY31" s="104"/>
      <c r="AZ31" s="100"/>
      <c r="BA31" s="74"/>
      <c r="BB31" s="5" t="s">
        <v>122</v>
      </c>
      <c r="BQ31" s="108" t="n">
        <v>36907.7428240741</v>
      </c>
      <c r="BR31" s="109" t="n">
        <v>36907.743287037</v>
      </c>
      <c r="BS31" s="110" t="n">
        <v>36935</v>
      </c>
      <c r="BT31" s="111" t="n">
        <v>3374.03784179688</v>
      </c>
      <c r="BU31" s="112" t="n">
        <v>1687.01892089844</v>
      </c>
      <c r="BV31" s="112" t="n">
        <v>0</v>
      </c>
      <c r="BW31" s="112" t="n">
        <v>0</v>
      </c>
      <c r="BX31" s="113" t="n">
        <v>0</v>
      </c>
      <c r="BY31" s="114"/>
      <c r="BZ31" s="115" t="n">
        <v>36936</v>
      </c>
      <c r="CA31" s="116" t="n">
        <v>185</v>
      </c>
      <c r="CB31" s="116" t="n">
        <v>90</v>
      </c>
      <c r="CC31" s="116"/>
      <c r="CD31" s="116"/>
      <c r="CE31" s="117"/>
      <c r="CG31" s="135" t="n">
        <f aca="false">BB13</f>
        <v>2004</v>
      </c>
      <c r="CH31" s="137" t="n">
        <v>-6</v>
      </c>
      <c r="CI31" s="137" t="n">
        <v>-6</v>
      </c>
      <c r="CJ31" s="137" t="n">
        <v>-5</v>
      </c>
      <c r="CK31" s="137" t="n">
        <v>-4</v>
      </c>
      <c r="CL31" s="137" t="n">
        <v>-4</v>
      </c>
      <c r="CM31" s="137" t="n">
        <v>-4</v>
      </c>
      <c r="CN31" s="137" t="n">
        <v>-4</v>
      </c>
      <c r="CO31" s="137" t="n">
        <v>-3</v>
      </c>
      <c r="CP31" s="137" t="n">
        <v>-4</v>
      </c>
      <c r="CQ31" s="137" t="n">
        <v>-4</v>
      </c>
      <c r="CR31" s="137" t="n">
        <v>-5</v>
      </c>
      <c r="CS31" s="138" t="n">
        <v>-4</v>
      </c>
      <c r="CU31" s="135" t="n">
        <f aca="false">BB13</f>
        <v>2004</v>
      </c>
      <c r="CV31" s="136" t="n">
        <v>-5</v>
      </c>
      <c r="CW31" s="137" t="n">
        <v>-5</v>
      </c>
      <c r="CX31" s="137" t="n">
        <v>-5</v>
      </c>
      <c r="CY31" s="137" t="n">
        <v>-5</v>
      </c>
      <c r="CZ31" s="137" t="n">
        <v>-5</v>
      </c>
      <c r="DA31" s="137" t="n">
        <v>-5</v>
      </c>
      <c r="DB31" s="137" t="n">
        <v>-5</v>
      </c>
      <c r="DC31" s="137" t="n">
        <v>-5</v>
      </c>
      <c r="DD31" s="137" t="n">
        <v>-5</v>
      </c>
      <c r="DE31" s="137" t="n">
        <v>-5</v>
      </c>
      <c r="DF31" s="137" t="n">
        <v>-5</v>
      </c>
      <c r="DG31" s="138" t="n">
        <v>-5</v>
      </c>
      <c r="DI31" s="135" t="n">
        <f aca="false">BB13</f>
        <v>2004</v>
      </c>
      <c r="DJ31" s="136" t="n">
        <v>5</v>
      </c>
      <c r="DK31" s="137" t="n">
        <v>5</v>
      </c>
      <c r="DL31" s="137" t="n">
        <v>5</v>
      </c>
      <c r="DM31" s="137" t="n">
        <v>5</v>
      </c>
      <c r="DN31" s="137" t="n">
        <v>5</v>
      </c>
      <c r="DO31" s="137" t="n">
        <v>5</v>
      </c>
      <c r="DP31" s="137" t="n">
        <v>5</v>
      </c>
      <c r="DQ31" s="137" t="n">
        <v>5</v>
      </c>
      <c r="DR31" s="137" t="n">
        <v>5</v>
      </c>
      <c r="DS31" s="137" t="n">
        <v>5</v>
      </c>
      <c r="DT31" s="137" t="n">
        <v>5</v>
      </c>
      <c r="DU31" s="138" t="n">
        <v>5</v>
      </c>
    </row>
    <row r="32" customFormat="false" ht="12.75" hidden="false" customHeight="false" outlineLevel="0" collapsed="false">
      <c r="A32" s="91" t="n">
        <f aca="true">IF(ISERROR(MATCH(D32,iRefDt,0)),"",MATCH(D32,iRefDt,0))</f>
        <v>32</v>
      </c>
      <c r="B32" s="92" t="n">
        <f aca="false">MATCH(YEAR(D32),iSpreads)</f>
        <v>1</v>
      </c>
      <c r="C32" s="0" t="n">
        <f aca="false">MONTH(D32)</f>
        <v>2</v>
      </c>
      <c r="D32" s="93" t="n">
        <f aca="false">D31+1</f>
        <v>36938</v>
      </c>
      <c r="E32" s="94" t="n">
        <f aca="false">IF(ISERROR(VLOOKUP($D32,tblPriorPrice,2,FALSE())),E$34,VLOOKUP($D32,tblPriorPrice,2,FALSE()))</f>
        <v>185</v>
      </c>
      <c r="F32" s="95" t="n">
        <f aca="false">+[2]EnergyCurve!$D32</f>
        <v>-10</v>
      </c>
      <c r="G32" s="96" t="n">
        <f aca="false">E32+F32</f>
        <v>175</v>
      </c>
      <c r="H32" s="96" t="n">
        <f aca="true">G32+OFFSET($CU$4,$B32,$C32)</f>
        <v>170</v>
      </c>
      <c r="I32" s="96" t="n">
        <f aca="true">G32+OFFSET($DI$4,$B32,$C32)</f>
        <v>200</v>
      </c>
      <c r="J32" s="94" t="n">
        <f aca="false">IF(ISERROR(VLOOKUP($D32,tblPriorPrice,3,FALSE())),J$34,VLOOKUP($D32,tblPriorPrice,3,FALSE()))</f>
        <v>90</v>
      </c>
      <c r="K32" s="95" t="n">
        <f aca="false">+[2]EnergyCurve!$G32</f>
        <v>-5</v>
      </c>
      <c r="L32" s="96" t="n">
        <f aca="false">J32+K32</f>
        <v>85</v>
      </c>
      <c r="M32" s="96" t="n">
        <f aca="true">$L32+OFFSET($CU$27,$B32,$C32)</f>
        <v>80</v>
      </c>
      <c r="N32" s="97" t="n">
        <f aca="true">$L32+OFFSET($DI$27,$B32,$C32)</f>
        <v>90</v>
      </c>
      <c r="O32" s="58" t="n">
        <f aca="true">IF($A32="",0,INDEX(tblPosn,$A32,2))</f>
        <v>3374.03784179688</v>
      </c>
      <c r="P32" s="59" t="n">
        <f aca="true">IF($A32="",0,INDEX(tblPosn,$A32,3))</f>
        <v>1687.01892089844</v>
      </c>
      <c r="Q32" s="59" t="n">
        <f aca="true">IF($A32="",0,INDEX(tblPosn,$A32,4))</f>
        <v>0</v>
      </c>
      <c r="R32" s="59" t="n">
        <f aca="true">IF($A32="",0,INDEX(tblPosn,$A32,5))</f>
        <v>0</v>
      </c>
      <c r="S32" s="59" t="n">
        <f aca="true">IF($A32="",0,INDEX(tblPosn,$A32,6))</f>
        <v>0</v>
      </c>
      <c r="T32" s="98" t="n">
        <f aca="false">O32*F32+P32*K32+R32*AC32+S32*AH32+Q32*X32</f>
        <v>-42175.4730224609</v>
      </c>
      <c r="V32" s="161" t="n">
        <f aca="false">DATE(YEAR(V34),MONTH(V34)-2,1)</f>
        <v>36861</v>
      </c>
      <c r="W32" s="100"/>
      <c r="X32" s="101" t="n">
        <v>0</v>
      </c>
      <c r="Y32" s="102"/>
      <c r="Z32" s="102"/>
      <c r="AA32" s="102"/>
      <c r="AB32" s="100"/>
      <c r="AC32" s="101" t="n">
        <f aca="false">F32</f>
        <v>-10</v>
      </c>
      <c r="AD32" s="102"/>
      <c r="AE32" s="102"/>
      <c r="AF32" s="103"/>
      <c r="AG32" s="94"/>
      <c r="AH32" s="162"/>
      <c r="AI32" s="163"/>
      <c r="AJ32" s="96"/>
      <c r="AK32" s="97"/>
      <c r="AL32" s="164" t="n">
        <v>1</v>
      </c>
      <c r="AM32" s="165" t="n">
        <v>0</v>
      </c>
      <c r="AN32" s="166"/>
      <c r="AO32" s="166"/>
      <c r="AP32" s="166"/>
      <c r="AQ32" s="167"/>
      <c r="AR32" s="166"/>
      <c r="AS32" s="166"/>
      <c r="AT32" s="168"/>
      <c r="AU32" s="169"/>
      <c r="AV32" s="169"/>
      <c r="AW32" s="168"/>
      <c r="AX32" s="169"/>
      <c r="AY32" s="169"/>
      <c r="AZ32" s="167"/>
      <c r="BA32" s="74"/>
      <c r="BB32" s="170"/>
      <c r="BC32" s="140" t="s">
        <v>51</v>
      </c>
      <c r="BD32" s="140"/>
      <c r="BE32" s="140"/>
      <c r="BF32" s="140" t="s">
        <v>116</v>
      </c>
      <c r="BG32" s="140"/>
      <c r="BH32" s="140"/>
      <c r="BI32" s="171" t="s">
        <v>84</v>
      </c>
      <c r="BJ32" s="171"/>
      <c r="BK32" s="171"/>
      <c r="BL32" s="171" t="s">
        <v>53</v>
      </c>
      <c r="BM32" s="171"/>
      <c r="BN32" s="171"/>
      <c r="BQ32" s="108" t="n">
        <v>36907.7428240741</v>
      </c>
      <c r="BR32" s="109" t="n">
        <v>36907.743287037</v>
      </c>
      <c r="BS32" s="110" t="n">
        <v>36936</v>
      </c>
      <c r="BT32" s="111" t="n">
        <v>3374.03784179688</v>
      </c>
      <c r="BU32" s="112" t="n">
        <v>1687.01892089844</v>
      </c>
      <c r="BV32" s="112" t="n">
        <v>0</v>
      </c>
      <c r="BW32" s="112" t="n">
        <v>0</v>
      </c>
      <c r="BX32" s="113" t="n">
        <v>0</v>
      </c>
      <c r="BY32" s="114"/>
      <c r="BZ32" s="115" t="n">
        <v>36937</v>
      </c>
      <c r="CA32" s="116" t="n">
        <v>185</v>
      </c>
      <c r="CB32" s="116" t="n">
        <v>90</v>
      </c>
      <c r="CC32" s="116"/>
      <c r="CD32" s="116"/>
      <c r="CE32" s="117"/>
      <c r="CG32" s="135" t="n">
        <f aca="false">BB14</f>
        <v>2005</v>
      </c>
      <c r="CH32" s="137" t="n">
        <v>-3</v>
      </c>
      <c r="CI32" s="137" t="n">
        <v>-2</v>
      </c>
      <c r="CJ32" s="137" t="n">
        <v>-3</v>
      </c>
      <c r="CK32" s="137" t="n">
        <v>-2</v>
      </c>
      <c r="CL32" s="137" t="n">
        <v>-1</v>
      </c>
      <c r="CM32" s="137" t="n">
        <v>-1</v>
      </c>
      <c r="CN32" s="137" t="n">
        <v>0</v>
      </c>
      <c r="CO32" s="137" t="n">
        <v>-1</v>
      </c>
      <c r="CP32" s="137" t="n">
        <v>-1</v>
      </c>
      <c r="CQ32" s="137" t="n">
        <v>-1</v>
      </c>
      <c r="CR32" s="137" t="n">
        <v>-1</v>
      </c>
      <c r="CS32" s="138" t="n">
        <v>-2</v>
      </c>
      <c r="CU32" s="135" t="n">
        <f aca="false">BB14</f>
        <v>2005</v>
      </c>
      <c r="CV32" s="136" t="n">
        <v>-5</v>
      </c>
      <c r="CW32" s="137" t="n">
        <v>-5</v>
      </c>
      <c r="CX32" s="137" t="n">
        <v>-5</v>
      </c>
      <c r="CY32" s="137" t="n">
        <v>-5</v>
      </c>
      <c r="CZ32" s="137" t="n">
        <v>-5</v>
      </c>
      <c r="DA32" s="137" t="n">
        <v>-5</v>
      </c>
      <c r="DB32" s="137" t="n">
        <v>-5</v>
      </c>
      <c r="DC32" s="137" t="n">
        <v>-5</v>
      </c>
      <c r="DD32" s="137" t="n">
        <v>-5</v>
      </c>
      <c r="DE32" s="137" t="n">
        <v>-5</v>
      </c>
      <c r="DF32" s="137" t="n">
        <v>-5</v>
      </c>
      <c r="DG32" s="138" t="n">
        <v>-5</v>
      </c>
      <c r="DI32" s="135" t="n">
        <f aca="false">BB14</f>
        <v>2005</v>
      </c>
      <c r="DJ32" s="136" t="n">
        <v>5</v>
      </c>
      <c r="DK32" s="137" t="n">
        <v>5</v>
      </c>
      <c r="DL32" s="137" t="n">
        <v>5</v>
      </c>
      <c r="DM32" s="137" t="n">
        <v>5</v>
      </c>
      <c r="DN32" s="137" t="n">
        <v>5</v>
      </c>
      <c r="DO32" s="137" t="n">
        <v>5</v>
      </c>
      <c r="DP32" s="137" t="n">
        <v>5</v>
      </c>
      <c r="DQ32" s="137" t="n">
        <v>5</v>
      </c>
      <c r="DR32" s="137" t="n">
        <v>5</v>
      </c>
      <c r="DS32" s="137" t="n">
        <v>5</v>
      </c>
      <c r="DT32" s="137" t="n">
        <v>5</v>
      </c>
      <c r="DU32" s="138" t="n">
        <v>5</v>
      </c>
    </row>
    <row r="33" customFormat="false" ht="12.75" hidden="false" customHeight="false" outlineLevel="0" collapsed="false">
      <c r="A33" s="91" t="n">
        <f aca="true">IF(ISERROR(MATCH(D33,iRefDt,0)),"",MATCH(D33,iRefDt,0))</f>
        <v>33</v>
      </c>
      <c r="B33" s="92" t="n">
        <f aca="false">MATCH(YEAR(D33),iSpreads)</f>
        <v>1</v>
      </c>
      <c r="C33" s="0" t="n">
        <f aca="false">MONTH(D33)</f>
        <v>2</v>
      </c>
      <c r="D33" s="93" t="n">
        <f aca="false">D32+1</f>
        <v>36939</v>
      </c>
      <c r="E33" s="94" t="n">
        <f aca="false">IF(ISERROR(VLOOKUP($D33,tblPriorPrice,2,FALSE())),E$34,VLOOKUP($D33,tblPriorPrice,2,FALSE()))</f>
        <v>185</v>
      </c>
      <c r="F33" s="95" t="n">
        <f aca="false">+[2]EnergyCurve!$D33</f>
        <v>-10</v>
      </c>
      <c r="G33" s="96" t="n">
        <f aca="false">E33+F33</f>
        <v>175</v>
      </c>
      <c r="H33" s="96" t="n">
        <f aca="true">G33+OFFSET($CU$4,$B33,$C33)</f>
        <v>170</v>
      </c>
      <c r="I33" s="96" t="n">
        <f aca="true">G33+OFFSET($DI$4,$B33,$C33)</f>
        <v>200</v>
      </c>
      <c r="J33" s="94" t="n">
        <f aca="false">IF(ISERROR(VLOOKUP($D33,tblPriorPrice,3,FALSE())),J$34,VLOOKUP($D33,tblPriorPrice,3,FALSE()))</f>
        <v>90</v>
      </c>
      <c r="K33" s="95" t="n">
        <f aca="false">+[2]EnergyCurve!$G33</f>
        <v>-5</v>
      </c>
      <c r="L33" s="96" t="n">
        <f aca="false">J33+K33</f>
        <v>85</v>
      </c>
      <c r="M33" s="96" t="n">
        <f aca="true">$L33+OFFSET($CU$27,$B33,$C33)</f>
        <v>80</v>
      </c>
      <c r="N33" s="97" t="n">
        <f aca="true">$L33+OFFSET($DI$27,$B33,$C33)</f>
        <v>90</v>
      </c>
      <c r="O33" s="58" t="n">
        <f aca="true">IF($A33="",0,INDEX(tblPosn,$A33,2))</f>
        <v>0</v>
      </c>
      <c r="P33" s="59" t="n">
        <f aca="true">IF($A33="",0,INDEX(tblPosn,$A33,3))</f>
        <v>1687.01879882813</v>
      </c>
      <c r="Q33" s="59" t="n">
        <f aca="true">IF($A33="",0,INDEX(tblPosn,$A33,4))</f>
        <v>3374.03784179688</v>
      </c>
      <c r="R33" s="59" t="n">
        <f aca="true">IF($A33="",0,INDEX(tblPosn,$A33,5))</f>
        <v>0</v>
      </c>
      <c r="S33" s="59" t="n">
        <f aca="true">IF($A33="",0,INDEX(tblPosn,$A33,6))</f>
        <v>0</v>
      </c>
      <c r="T33" s="98" t="n">
        <f aca="false">O33*F33+P33*K33+R33*AC33+S33*AH33+Q33*X33</f>
        <v>-8435.09399414063</v>
      </c>
      <c r="V33" s="161" t="n">
        <f aca="false">DATE(YEAR(V34),MONTH(V34)-1,1)</f>
        <v>36892</v>
      </c>
      <c r="W33" s="100"/>
      <c r="X33" s="101" t="n">
        <v>0</v>
      </c>
      <c r="Y33" s="172"/>
      <c r="Z33" s="173"/>
      <c r="AA33" s="173"/>
      <c r="AB33" s="100"/>
      <c r="AC33" s="101" t="n">
        <v>0</v>
      </c>
      <c r="AD33" s="172"/>
      <c r="AE33" s="102"/>
      <c r="AF33" s="103"/>
      <c r="AG33" s="94" t="n">
        <f aca="false">VLOOKUP($D33,tblPriorPrice,6)</f>
        <v>1</v>
      </c>
      <c r="AH33" s="162"/>
      <c r="AI33" s="163" t="n">
        <f aca="false">AG33+AH33</f>
        <v>1</v>
      </c>
      <c r="AJ33" s="96" t="n">
        <f aca="false">AI33</f>
        <v>1</v>
      </c>
      <c r="AK33" s="97" t="n">
        <f aca="false">AI33</f>
        <v>1</v>
      </c>
      <c r="AL33" s="164" t="n">
        <v>1</v>
      </c>
      <c r="AM33" s="165" t="n">
        <v>0</v>
      </c>
      <c r="AN33" s="166" t="n">
        <v>0.95</v>
      </c>
      <c r="AO33" s="166" t="n">
        <v>0.95</v>
      </c>
      <c r="AP33" s="166" t="n">
        <v>1.7813</v>
      </c>
      <c r="AQ33" s="167" t="n">
        <v>0.95</v>
      </c>
      <c r="AR33" s="166" t="n">
        <v>0.7125</v>
      </c>
      <c r="AS33" s="166" t="n">
        <v>1.1875</v>
      </c>
      <c r="AT33" s="169" t="n">
        <f aca="false">IF(G33&lt;110,17.94063*(LN(G33/100))+6.727568*(LN(G33/100)^2)+15.06494,(-4.1*G33+2135)/100)*0.5</f>
        <v>7.0875</v>
      </c>
      <c r="AU33" s="169" t="n">
        <f aca="false">(0.75*AT33-AT33)</f>
        <v>-1.771875</v>
      </c>
      <c r="AV33" s="166" t="n">
        <f aca="false">AT33/0.5*1.25-AT33</f>
        <v>10.63125</v>
      </c>
      <c r="AW33" s="168" t="n">
        <f aca="false">IF(L33&lt;15,(15*L33+375)/100,(-4.71*L33+670.65)/100)*0.5</f>
        <v>1.3515</v>
      </c>
      <c r="AX33" s="166" t="n">
        <f aca="false">0.75*AW33-AW33</f>
        <v>-0.337875</v>
      </c>
      <c r="AY33" s="166" t="n">
        <f aca="false">AW33/0.5*1.25-AW33</f>
        <v>2.02725</v>
      </c>
      <c r="AZ33" s="167" t="n">
        <v>0.5</v>
      </c>
      <c r="BA33" s="74"/>
      <c r="BB33" s="142" t="s">
        <v>78</v>
      </c>
      <c r="BC33" s="140" t="s">
        <v>89</v>
      </c>
      <c r="BD33" s="140" t="s">
        <v>82</v>
      </c>
      <c r="BE33" s="140" t="s">
        <v>83</v>
      </c>
      <c r="BF33" s="140" t="s">
        <v>89</v>
      </c>
      <c r="BG33" s="140" t="s">
        <v>82</v>
      </c>
      <c r="BH33" s="140" t="s">
        <v>83</v>
      </c>
      <c r="BI33" s="171" t="s">
        <v>89</v>
      </c>
      <c r="BJ33" s="171" t="s">
        <v>82</v>
      </c>
      <c r="BK33" s="171" t="s">
        <v>83</v>
      </c>
      <c r="BL33" s="171" t="s">
        <v>89</v>
      </c>
      <c r="BM33" s="171" t="s">
        <v>82</v>
      </c>
      <c r="BN33" s="171" t="s">
        <v>83</v>
      </c>
      <c r="BQ33" s="108" t="n">
        <v>36907.7428240741</v>
      </c>
      <c r="BR33" s="109" t="n">
        <v>36907.743287037</v>
      </c>
      <c r="BS33" s="110" t="n">
        <v>36937</v>
      </c>
      <c r="BT33" s="111" t="n">
        <v>3374.03784179688</v>
      </c>
      <c r="BU33" s="112" t="n">
        <v>1687.01892089844</v>
      </c>
      <c r="BV33" s="112" t="n">
        <v>0</v>
      </c>
      <c r="BW33" s="112" t="n">
        <v>0</v>
      </c>
      <c r="BX33" s="113" t="n">
        <v>0</v>
      </c>
      <c r="BY33" s="114"/>
      <c r="BZ33" s="115" t="n">
        <v>36938</v>
      </c>
      <c r="CA33" s="116" t="n">
        <v>185</v>
      </c>
      <c r="CB33" s="116" t="n">
        <v>90</v>
      </c>
      <c r="CC33" s="116"/>
      <c r="CD33" s="116"/>
      <c r="CE33" s="117" t="n">
        <v>1</v>
      </c>
      <c r="CG33" s="135" t="n">
        <f aca="false">BB15</f>
        <v>2006</v>
      </c>
      <c r="CH33" s="137" t="n">
        <v>-4</v>
      </c>
      <c r="CI33" s="137" t="n">
        <v>-4</v>
      </c>
      <c r="CJ33" s="137" t="n">
        <v>-3</v>
      </c>
      <c r="CK33" s="137" t="n">
        <v>-3</v>
      </c>
      <c r="CL33" s="137" t="n">
        <v>-3</v>
      </c>
      <c r="CM33" s="137" t="n">
        <v>-3</v>
      </c>
      <c r="CN33" s="137" t="n">
        <v>-4</v>
      </c>
      <c r="CO33" s="137" t="n">
        <v>-4</v>
      </c>
      <c r="CP33" s="137" t="n">
        <v>-3</v>
      </c>
      <c r="CQ33" s="137" t="n">
        <v>-3</v>
      </c>
      <c r="CR33" s="137" t="n">
        <v>-3</v>
      </c>
      <c r="CS33" s="138" t="n">
        <v>-4</v>
      </c>
      <c r="CU33" s="135" t="n">
        <f aca="false">BB15</f>
        <v>2006</v>
      </c>
      <c r="CV33" s="136" t="n">
        <v>-5</v>
      </c>
      <c r="CW33" s="137" t="n">
        <v>-5</v>
      </c>
      <c r="CX33" s="137" t="n">
        <v>-5</v>
      </c>
      <c r="CY33" s="137" t="n">
        <v>-5</v>
      </c>
      <c r="CZ33" s="137" t="n">
        <v>-5</v>
      </c>
      <c r="DA33" s="137" t="n">
        <v>-5</v>
      </c>
      <c r="DB33" s="137" t="n">
        <v>-5</v>
      </c>
      <c r="DC33" s="137" t="n">
        <v>-5</v>
      </c>
      <c r="DD33" s="137" t="n">
        <v>-5</v>
      </c>
      <c r="DE33" s="137" t="n">
        <v>-5</v>
      </c>
      <c r="DF33" s="137" t="n">
        <v>-5</v>
      </c>
      <c r="DG33" s="138" t="n">
        <v>-5</v>
      </c>
      <c r="DI33" s="135" t="n">
        <f aca="false">BB15</f>
        <v>2006</v>
      </c>
      <c r="DJ33" s="136" t="n">
        <v>10</v>
      </c>
      <c r="DK33" s="137" t="n">
        <v>10</v>
      </c>
      <c r="DL33" s="137" t="n">
        <v>10</v>
      </c>
      <c r="DM33" s="137" t="n">
        <v>10</v>
      </c>
      <c r="DN33" s="137" t="n">
        <v>10</v>
      </c>
      <c r="DO33" s="137" t="n">
        <v>10</v>
      </c>
      <c r="DP33" s="137" t="n">
        <v>10</v>
      </c>
      <c r="DQ33" s="137" t="n">
        <v>10</v>
      </c>
      <c r="DR33" s="137" t="n">
        <v>10</v>
      </c>
      <c r="DS33" s="137" t="n">
        <v>10</v>
      </c>
      <c r="DT33" s="137" t="n">
        <v>10</v>
      </c>
      <c r="DU33" s="138" t="n">
        <v>10</v>
      </c>
    </row>
    <row r="34" customFormat="false" ht="12.75" hidden="false" customHeight="false" outlineLevel="0" collapsed="false">
      <c r="A34" s="0" t="n">
        <f aca="true">IF(ISERROR(MATCH(D34,iRefDt,0)),"",MATCH(D34,iRefDt,0))</f>
        <v>34</v>
      </c>
      <c r="B34" s="92" t="n">
        <f aca="false">MATCH(YEAR(D34),iSpreads)</f>
        <v>1</v>
      </c>
      <c r="C34" s="0" t="n">
        <f aca="false">MONTH(D34)</f>
        <v>2</v>
      </c>
      <c r="D34" s="93" t="n">
        <f aca="false">DATE(YEAR(TopCurrDate+32),MONTH(TopCurrDate+32)+1,1)-1</f>
        <v>36950</v>
      </c>
      <c r="E34" s="94" t="n">
        <f aca="false">VLOOKUP($D34,tblPriorPrice,2)</f>
        <v>185</v>
      </c>
      <c r="F34" s="162" t="n">
        <f aca="false">[3]TradeSum!$H12</f>
        <v>-10</v>
      </c>
      <c r="G34" s="96" t="n">
        <f aca="false">E34+F34</f>
        <v>175</v>
      </c>
      <c r="H34" s="96" t="n">
        <f aca="true">G34+OFFSET($CU$4,$B34,$C34)</f>
        <v>170</v>
      </c>
      <c r="I34" s="96" t="n">
        <f aca="true">G34+OFFSET($DI$4,$B34,$C34)</f>
        <v>200</v>
      </c>
      <c r="J34" s="94" t="n">
        <f aca="false">VLOOKUP($D34,tblPriorPrice,3)</f>
        <v>90</v>
      </c>
      <c r="K34" s="162" t="n">
        <f aca="false">[3]TradeSum!$R56</f>
        <v>-5</v>
      </c>
      <c r="L34" s="96" t="n">
        <f aca="false">J34+K34</f>
        <v>85</v>
      </c>
      <c r="M34" s="96" t="n">
        <f aca="true">$L34+OFFSET($CU$27,$B34,$C34)</f>
        <v>80</v>
      </c>
      <c r="N34" s="97" t="n">
        <f aca="true">$L34+OFFSET($DI$27,$B34,$C34)</f>
        <v>90</v>
      </c>
      <c r="O34" s="174" t="n">
        <f aca="false" t="array" ref="O34:O34">SUM(IF(MONTH($D34)&amp;YEAR($D34)=MONTH($BS3:$BS40)&amp;YEAR($BS3:$BS40),BT3:BT40))-SUM(IF(MONTH($D34)=MONTH($D3:$D33),O3:O33))</f>
        <v>26992.302734375</v>
      </c>
      <c r="P34" s="175" t="n">
        <f aca="false" t="array" ref="P34:P34">SUM(IF(MONTH($D34)&amp;YEAR($D34)=MONTH($BS3:$BS40)&amp;YEAR($BS3:$BS40),BU3:BU40))-SUM(IF(MONTH($D34)=MONTH($D3:$D33),P3:P33))</f>
        <v>18557.208984375</v>
      </c>
      <c r="Q34" s="175" t="n">
        <f aca="false" t="array" ref="Q34:Q34">SUM(IF(MONTH($D34)&amp;YEAR($D34)=MONTH($BS3:$BS40)&amp;YEAR($BS3:$BS40),BV3:BV40))-SUM(IF(MONTH($D34)=MONTH($D3:$D33),Q3:Q33))</f>
        <v>3374.03784179688</v>
      </c>
      <c r="R34" s="175" t="n">
        <f aca="false" t="array" ref="R34:R34">SUM(IF(MONTH($D34)&amp;YEAR($D34)=MONTH($BS3:$BS40)&amp;YEAR($BS3:$BS40),BW3:BW40))-SUM(IF(MONTH($D34)=MONTH($D3:$D33),R3:R33))</f>
        <v>6748.07568359375</v>
      </c>
      <c r="S34" s="175" t="n">
        <f aca="false" t="array" ref="S34:S34">SUM(IF(MONTH($D34)&amp;YEAR($D34)=MONTH($BS3:$BS40)&amp;YEAR($BS3:$BS40),BX3:BX40))-SUM(IF(MONTH($D34)=MONTH($D3:$D33),S3:S33))</f>
        <v>0</v>
      </c>
      <c r="T34" s="98" t="n">
        <f aca="false">O34*F34+P34*K34+R34*AC34+S34*AH34+Q34*X34</f>
        <v>-463930.207519531</v>
      </c>
      <c r="V34" s="161" t="n">
        <f aca="false">DATE(YEAR(D34),MONTH(D34),1)</f>
        <v>36923</v>
      </c>
      <c r="W34" s="94" t="n">
        <f aca="false">VLOOKUP($D34,tblPriorPrice,4)</f>
        <v>134</v>
      </c>
      <c r="X34" s="162" t="n">
        <f aca="false">[3]TradeSum!$H12</f>
        <v>-10</v>
      </c>
      <c r="Y34" s="176" t="n">
        <f aca="false">W34+X34</f>
        <v>124</v>
      </c>
      <c r="Z34" s="96" t="n">
        <f aca="true">Y34+OFFSET($CU$51,$B34,$C34)</f>
        <v>119</v>
      </c>
      <c r="AA34" s="177" t="n">
        <f aca="true">Y34+OFFSET($DI$51,$B34,$C34)</f>
        <v>139</v>
      </c>
      <c r="AB34" s="94" t="n">
        <f aca="false">VLOOKUP($D34,tblPriorPrice,5)</f>
        <v>116</v>
      </c>
      <c r="AC34" s="162" t="n">
        <f aca="false">[3]TradeSum!$H12</f>
        <v>-10</v>
      </c>
      <c r="AD34" s="176" t="n">
        <f aca="false">AB34+AC34</f>
        <v>106</v>
      </c>
      <c r="AE34" s="96" t="n">
        <f aca="true">AD34+OFFSET($CU$74,$B34,$C34)</f>
        <v>101</v>
      </c>
      <c r="AF34" s="177" t="n">
        <f aca="true">AD34+OFFSET($DI$74,$B34,$C34)</f>
        <v>121</v>
      </c>
      <c r="AG34" s="94" t="n">
        <f aca="false">VLOOKUP($D34,tblPriorPrice,6)</f>
        <v>1</v>
      </c>
      <c r="AH34" s="162"/>
      <c r="AI34" s="163" t="n">
        <f aca="false">AG34+AH34</f>
        <v>1</v>
      </c>
      <c r="AJ34" s="96" t="n">
        <f aca="false">AI34</f>
        <v>1</v>
      </c>
      <c r="AK34" s="97" t="n">
        <f aca="false">AI34</f>
        <v>1</v>
      </c>
      <c r="AL34" s="178" t="n">
        <v>1</v>
      </c>
      <c r="AM34" s="165" t="n">
        <v>0</v>
      </c>
      <c r="AN34" s="167" t="n">
        <f aca="false">'[3]Pricing Summary'!$AM12</f>
        <v>0.8</v>
      </c>
      <c r="AO34" s="167" t="n">
        <f aca="false">0.9*AN34</f>
        <v>0.72</v>
      </c>
      <c r="AP34" s="166" t="n">
        <f aca="false">1.5*AN34</f>
        <v>1.2</v>
      </c>
      <c r="AQ34" s="167" t="n">
        <f aca="false">AN34</f>
        <v>0.8</v>
      </c>
      <c r="AR34" s="166" t="n">
        <f aca="false">0.8*AQ34</f>
        <v>0.64</v>
      </c>
      <c r="AS34" s="166" t="n">
        <f aca="false">1.2*AQ34</f>
        <v>0.96</v>
      </c>
      <c r="AT34" s="169" t="n">
        <f aca="false">IF(G34&lt;110,17.94063*(LN(G34/100))+6.727568*(LN(G34/100)^2)+15.06494,(-4.1*G34+2135)/100)*0.5</f>
        <v>7.0875</v>
      </c>
      <c r="AU34" s="169" t="n">
        <f aca="false">(0.75*AT34-AT34)</f>
        <v>-1.771875</v>
      </c>
      <c r="AV34" s="166" t="n">
        <f aca="false">AT34/0.5*1.25-AT34</f>
        <v>10.63125</v>
      </c>
      <c r="AW34" s="168" t="n">
        <f aca="false">IF(L34&lt;15,(15*L34+375)/100,(-4.71*L34+670.65)/100)*0.5</f>
        <v>1.3515</v>
      </c>
      <c r="AX34" s="166" t="n">
        <f aca="false">0.75*AW34-AW34</f>
        <v>-0.337875</v>
      </c>
      <c r="AY34" s="166" t="n">
        <f aca="false">AW34/0.5*1.25-AW34</f>
        <v>2.02725</v>
      </c>
      <c r="AZ34" s="167" t="n">
        <v>0.5</v>
      </c>
      <c r="BA34" s="74"/>
      <c r="BB34" s="161" t="n">
        <f aca="false">EOMONTH(TopCurrDate,-1)+1</f>
        <v>36892</v>
      </c>
      <c r="BC34" s="179"/>
      <c r="BD34" s="179"/>
      <c r="BE34" s="179"/>
      <c r="BF34" s="179"/>
      <c r="BG34" s="179"/>
      <c r="BH34" s="180"/>
      <c r="BI34" s="179"/>
      <c r="BJ34" s="179"/>
      <c r="BK34" s="179"/>
      <c r="BL34" s="179"/>
      <c r="BM34" s="179"/>
      <c r="BN34" s="180"/>
      <c r="BQ34" s="108" t="n">
        <v>36907.7428240741</v>
      </c>
      <c r="BR34" s="109" t="n">
        <v>36907.743287037</v>
      </c>
      <c r="BS34" s="110" t="n">
        <v>36938</v>
      </c>
      <c r="BT34" s="111" t="n">
        <v>3374.03784179688</v>
      </c>
      <c r="BU34" s="112" t="n">
        <v>1687.01892089844</v>
      </c>
      <c r="BV34" s="112" t="n">
        <v>0</v>
      </c>
      <c r="BW34" s="112" t="n">
        <v>0</v>
      </c>
      <c r="BX34" s="113" t="n">
        <v>0</v>
      </c>
      <c r="BZ34" s="110" t="n">
        <v>36950</v>
      </c>
      <c r="CA34" s="116" t="n">
        <v>185</v>
      </c>
      <c r="CB34" s="116" t="n">
        <v>90</v>
      </c>
      <c r="CC34" s="181" t="n">
        <v>134</v>
      </c>
      <c r="CD34" s="181" t="n">
        <v>116</v>
      </c>
      <c r="CE34" s="117" t="n">
        <v>1</v>
      </c>
      <c r="CG34" s="135" t="n">
        <f aca="false">BB16</f>
        <v>2007</v>
      </c>
      <c r="CH34" s="137" t="n">
        <v>-2</v>
      </c>
      <c r="CI34" s="137" t="n">
        <v>-3</v>
      </c>
      <c r="CJ34" s="137" t="n">
        <v>-2</v>
      </c>
      <c r="CK34" s="137" t="n">
        <v>-2</v>
      </c>
      <c r="CL34" s="137" t="n">
        <v>-2</v>
      </c>
      <c r="CM34" s="137" t="n">
        <v>-2</v>
      </c>
      <c r="CN34" s="137" t="n">
        <v>-2</v>
      </c>
      <c r="CO34" s="137" t="n">
        <v>-1</v>
      </c>
      <c r="CP34" s="137" t="n">
        <v>-2</v>
      </c>
      <c r="CQ34" s="137" t="n">
        <v>-2</v>
      </c>
      <c r="CR34" s="137" t="n">
        <v>-2</v>
      </c>
      <c r="CS34" s="138" t="n">
        <v>-2</v>
      </c>
      <c r="CU34" s="135" t="n">
        <f aca="false">BB16</f>
        <v>2007</v>
      </c>
      <c r="CV34" s="136" t="n">
        <v>-5</v>
      </c>
      <c r="CW34" s="137" t="n">
        <v>-5</v>
      </c>
      <c r="CX34" s="137" t="n">
        <v>-5</v>
      </c>
      <c r="CY34" s="137" t="n">
        <v>-5</v>
      </c>
      <c r="CZ34" s="137" t="n">
        <v>-5</v>
      </c>
      <c r="DA34" s="137" t="n">
        <v>-5</v>
      </c>
      <c r="DB34" s="137" t="n">
        <v>-5</v>
      </c>
      <c r="DC34" s="137" t="n">
        <v>-5</v>
      </c>
      <c r="DD34" s="137" t="n">
        <v>-5</v>
      </c>
      <c r="DE34" s="137" t="n">
        <v>-5</v>
      </c>
      <c r="DF34" s="137" t="n">
        <v>-5</v>
      </c>
      <c r="DG34" s="138" t="n">
        <v>-5</v>
      </c>
      <c r="DI34" s="135" t="n">
        <f aca="false">BB16</f>
        <v>2007</v>
      </c>
      <c r="DJ34" s="136" t="n">
        <v>11</v>
      </c>
      <c r="DK34" s="137" t="n">
        <v>11</v>
      </c>
      <c r="DL34" s="137" t="n">
        <v>11</v>
      </c>
      <c r="DM34" s="137" t="n">
        <v>11</v>
      </c>
      <c r="DN34" s="137" t="n">
        <v>11</v>
      </c>
      <c r="DO34" s="137" t="n">
        <v>11</v>
      </c>
      <c r="DP34" s="137" t="n">
        <v>11</v>
      </c>
      <c r="DQ34" s="137" t="n">
        <v>11</v>
      </c>
      <c r="DR34" s="137" t="n">
        <v>11</v>
      </c>
      <c r="DS34" s="137" t="n">
        <v>11</v>
      </c>
      <c r="DT34" s="137" t="n">
        <v>11</v>
      </c>
      <c r="DU34" s="138" t="n">
        <v>11</v>
      </c>
    </row>
    <row r="35" customFormat="false" ht="12.75" hidden="false" customHeight="false" outlineLevel="0" collapsed="false">
      <c r="A35" s="0" t="n">
        <f aca="true">IF(ISERROR(MATCH(D35,iRefDt,0)),"",MATCH(D35,iRefDt,0))</f>
        <v>35</v>
      </c>
      <c r="B35" s="92" t="n">
        <f aca="false">MATCH(YEAR(D35),iSpreads)</f>
        <v>1</v>
      </c>
      <c r="C35" s="0" t="n">
        <f aca="false">MONTH(D35)</f>
        <v>3</v>
      </c>
      <c r="D35" s="93" t="n">
        <f aca="false">DATE(YEAR(D34),MONTH(D34)+1,1)</f>
        <v>36951</v>
      </c>
      <c r="E35" s="94" t="n">
        <f aca="false">VLOOKUP($D35,tblPriorPrice,2)</f>
        <v>181</v>
      </c>
      <c r="F35" s="162" t="n">
        <f aca="false">[3]TradeSum!$H13</f>
        <v>-10</v>
      </c>
      <c r="G35" s="96" t="n">
        <f aca="false">E35+F35</f>
        <v>171</v>
      </c>
      <c r="H35" s="96" t="n">
        <f aca="true">G35+OFFSET($CU$4,$B35,$C35)</f>
        <v>166</v>
      </c>
      <c r="I35" s="96" t="n">
        <f aca="true">G35+OFFSET($DI$4,$B35,$C35)</f>
        <v>196</v>
      </c>
      <c r="J35" s="94" t="n">
        <f aca="false">VLOOKUP($D35,tblPriorPrice,3)</f>
        <v>80</v>
      </c>
      <c r="K35" s="162" t="n">
        <f aca="false">[3]TradeSum!$R57</f>
        <v>0</v>
      </c>
      <c r="L35" s="96" t="n">
        <f aca="false">J35+K35</f>
        <v>80</v>
      </c>
      <c r="M35" s="96" t="n">
        <f aca="true">$L35+OFFSET($CU$27,$B35,$C35)</f>
        <v>75</v>
      </c>
      <c r="N35" s="97" t="n">
        <f aca="true">$L35+OFFSET($DI$27,$B35,$C35)</f>
        <v>85</v>
      </c>
      <c r="O35" s="59" t="n">
        <f aca="true">IF($A35="",0,INDEX(tblPosn,$A35,2))</f>
        <v>57019.76953125</v>
      </c>
      <c r="P35" s="59" t="n">
        <f aca="true">IF($A35="",0,INDEX(tblPosn,$A35,3))</f>
        <v>40173.01953125</v>
      </c>
      <c r="Q35" s="59" t="n">
        <f aca="true">IF($A35="",0,INDEX(tblPosn,$A35,4))</f>
        <v>12959.0390625</v>
      </c>
      <c r="R35" s="59" t="n">
        <f aca="true">IF($A35="",0,INDEX(tblPosn,$A35,5))</f>
        <v>10367.2314453125</v>
      </c>
      <c r="S35" s="59" t="n">
        <f aca="true">IF($A35="",0,INDEX(tblPosn,$A35,6))</f>
        <v>0</v>
      </c>
      <c r="T35" s="98" t="n">
        <f aca="false">O35*F35+P35*K35+R35*AC35+S35*AH35/0.72+Q35*X35</f>
        <v>-803460.400390625</v>
      </c>
      <c r="V35" s="161" t="n">
        <f aca="false">D35</f>
        <v>36951</v>
      </c>
      <c r="W35" s="94" t="n">
        <f aca="false">VLOOKUP($D35,tblPriorPrice,4)</f>
        <v>126</v>
      </c>
      <c r="X35" s="162" t="n">
        <f aca="false">[3]TradeSum!$H13</f>
        <v>-10</v>
      </c>
      <c r="Y35" s="176" t="n">
        <f aca="false">W35+X35</f>
        <v>116</v>
      </c>
      <c r="Z35" s="96" t="n">
        <f aca="true">Y35+OFFSET($CU$51,$B35,$C35)</f>
        <v>111</v>
      </c>
      <c r="AA35" s="177" t="n">
        <f aca="true">Y35+OFFSET($DI$51,$B35,$C35)</f>
        <v>131</v>
      </c>
      <c r="AB35" s="94" t="n">
        <f aca="false">VLOOKUP($D35,tblPriorPrice,5)</f>
        <v>110</v>
      </c>
      <c r="AC35" s="162" t="n">
        <f aca="false">[3]TradeSum!$H13</f>
        <v>-10</v>
      </c>
      <c r="AD35" s="176" t="n">
        <f aca="false">AB35+AC35</f>
        <v>100</v>
      </c>
      <c r="AE35" s="96" t="n">
        <f aca="true">AD35+OFFSET($CU$74,$B35,$C35)</f>
        <v>95</v>
      </c>
      <c r="AF35" s="177" t="n">
        <f aca="true">AD35+OFFSET($DI$74,$B35,$C35)</f>
        <v>115</v>
      </c>
      <c r="AG35" s="94" t="n">
        <f aca="false">VLOOKUP($D35,tblPriorPrice,6)</f>
        <v>1</v>
      </c>
      <c r="AH35" s="182"/>
      <c r="AI35" s="163" t="n">
        <f aca="false">AG35+AH35</f>
        <v>1</v>
      </c>
      <c r="AJ35" s="96" t="n">
        <f aca="false">AI35</f>
        <v>1</v>
      </c>
      <c r="AK35" s="97" t="n">
        <f aca="false">AI35</f>
        <v>1</v>
      </c>
      <c r="AL35" s="178" t="n">
        <v>2</v>
      </c>
      <c r="AM35" s="165" t="n">
        <v>0</v>
      </c>
      <c r="AN35" s="167" t="n">
        <f aca="false">'[3]Pricing Summary'!$AM13</f>
        <v>0.84</v>
      </c>
      <c r="AO35" s="167" t="n">
        <f aca="false">0.9*AN35</f>
        <v>0.756</v>
      </c>
      <c r="AP35" s="166" t="n">
        <f aca="false">1.5*AN35</f>
        <v>1.26</v>
      </c>
      <c r="AQ35" s="167" t="n">
        <f aca="false">AN35</f>
        <v>0.84</v>
      </c>
      <c r="AR35" s="166" t="n">
        <f aca="false">0.8*AQ35</f>
        <v>0.672</v>
      </c>
      <c r="AS35" s="166" t="n">
        <f aca="false">1.2*AQ35</f>
        <v>1.008</v>
      </c>
      <c r="AT35" s="169" t="n">
        <f aca="false">IF(G35&lt;110,17.94063*(LN(G35/100))+6.727568*(LN(G35/100)^2)+15.06494,(-4.1*G35+2135)/100)*0.5</f>
        <v>7.1695</v>
      </c>
      <c r="AU35" s="169" t="n">
        <f aca="false">(0.75*AT35-AT35)</f>
        <v>-1.792375</v>
      </c>
      <c r="AV35" s="166" t="n">
        <f aca="false">AT35/0.5*1.25-AT35</f>
        <v>10.75425</v>
      </c>
      <c r="AW35" s="168" t="n">
        <f aca="false">IF(L35&lt;15,(15*L35+375)/100,(-4.71*L35+670.65)/100)*0.5</f>
        <v>1.46925</v>
      </c>
      <c r="AX35" s="166" t="n">
        <f aca="false">0.75*AW35-AW35</f>
        <v>-0.3673125</v>
      </c>
      <c r="AY35" s="166" t="n">
        <f aca="false">AW35/0.5*1.25-AW35</f>
        <v>2.203875</v>
      </c>
      <c r="AZ35" s="167" t="n">
        <v>0.5</v>
      </c>
      <c r="BA35" s="74"/>
      <c r="BB35" s="161" t="n">
        <f aca="false">EOMONTH(BB34,0)+1</f>
        <v>36923</v>
      </c>
      <c r="BC35" s="183"/>
      <c r="BD35" s="183"/>
      <c r="BE35" s="183"/>
      <c r="BF35" s="183"/>
      <c r="BG35" s="183"/>
      <c r="BH35" s="184"/>
      <c r="BI35" s="183"/>
      <c r="BJ35" s="183"/>
      <c r="BK35" s="183"/>
      <c r="BL35" s="183"/>
      <c r="BM35" s="183"/>
      <c r="BN35" s="184"/>
      <c r="BQ35" s="108" t="n">
        <v>36907.7428240741</v>
      </c>
      <c r="BR35" s="109" t="n">
        <v>36907.743287037</v>
      </c>
      <c r="BS35" s="110" t="n">
        <v>36939</v>
      </c>
      <c r="BT35" s="111" t="n">
        <v>0</v>
      </c>
      <c r="BU35" s="112" t="n">
        <v>1687.01879882813</v>
      </c>
      <c r="BV35" s="112" t="n">
        <v>3374.03784179688</v>
      </c>
      <c r="BW35" s="112" t="n">
        <v>0</v>
      </c>
      <c r="BX35" s="113" t="n">
        <v>0</v>
      </c>
      <c r="BZ35" s="110" t="n">
        <v>36951</v>
      </c>
      <c r="CA35" s="185" t="n">
        <v>181</v>
      </c>
      <c r="CB35" s="116" t="n">
        <v>80</v>
      </c>
      <c r="CC35" s="181" t="n">
        <v>126</v>
      </c>
      <c r="CD35" s="181" t="n">
        <v>110</v>
      </c>
      <c r="CE35" s="117" t="n">
        <v>1</v>
      </c>
      <c r="CG35" s="135" t="n">
        <f aca="false">BB17</f>
        <v>2008</v>
      </c>
      <c r="CH35" s="137" t="n">
        <v>0</v>
      </c>
      <c r="CI35" s="137" t="n">
        <v>1</v>
      </c>
      <c r="CJ35" s="137" t="n">
        <v>0</v>
      </c>
      <c r="CK35" s="137" t="n">
        <v>0</v>
      </c>
      <c r="CL35" s="137" t="n">
        <v>0</v>
      </c>
      <c r="CM35" s="137" t="n">
        <v>1</v>
      </c>
      <c r="CN35" s="137" t="n">
        <v>1</v>
      </c>
      <c r="CO35" s="137" t="n">
        <v>0</v>
      </c>
      <c r="CP35" s="137" t="n">
        <v>0</v>
      </c>
      <c r="CQ35" s="137" t="n">
        <v>1</v>
      </c>
      <c r="CR35" s="137" t="n">
        <v>0</v>
      </c>
      <c r="CS35" s="137" t="n">
        <v>1</v>
      </c>
      <c r="CU35" s="135" t="n">
        <f aca="false">BB17</f>
        <v>2008</v>
      </c>
      <c r="CV35" s="136" t="n">
        <v>-5</v>
      </c>
      <c r="CW35" s="137" t="n">
        <v>-5</v>
      </c>
      <c r="CX35" s="137" t="n">
        <v>-5</v>
      </c>
      <c r="CY35" s="137" t="n">
        <v>-5</v>
      </c>
      <c r="CZ35" s="137" t="n">
        <v>-5</v>
      </c>
      <c r="DA35" s="137" t="n">
        <v>-5</v>
      </c>
      <c r="DB35" s="137" t="n">
        <v>-5</v>
      </c>
      <c r="DC35" s="137" t="n">
        <v>-5</v>
      </c>
      <c r="DD35" s="137" t="n">
        <v>-5</v>
      </c>
      <c r="DE35" s="137" t="n">
        <v>-5</v>
      </c>
      <c r="DF35" s="137" t="n">
        <v>-5</v>
      </c>
      <c r="DG35" s="138" t="n">
        <v>-5</v>
      </c>
      <c r="DI35" s="135" t="n">
        <f aca="false">BB17</f>
        <v>2008</v>
      </c>
      <c r="DJ35" s="136" t="n">
        <v>12</v>
      </c>
      <c r="DK35" s="137" t="n">
        <v>12</v>
      </c>
      <c r="DL35" s="137" t="n">
        <v>12</v>
      </c>
      <c r="DM35" s="137" t="n">
        <v>12</v>
      </c>
      <c r="DN35" s="137" t="n">
        <v>12</v>
      </c>
      <c r="DO35" s="137" t="n">
        <v>12</v>
      </c>
      <c r="DP35" s="137" t="n">
        <v>12</v>
      </c>
      <c r="DQ35" s="137" t="n">
        <v>12</v>
      </c>
      <c r="DR35" s="137" t="n">
        <v>12</v>
      </c>
      <c r="DS35" s="137" t="n">
        <v>12</v>
      </c>
      <c r="DT35" s="137" t="n">
        <v>12</v>
      </c>
      <c r="DU35" s="138" t="n">
        <v>12</v>
      </c>
    </row>
    <row r="36" customFormat="false" ht="12.75" hidden="false" customHeight="false" outlineLevel="0" collapsed="false">
      <c r="A36" s="0" t="n">
        <f aca="true">IF(ISERROR(MATCH(D36,iRefDt,0)),"",MATCH(D36,iRefDt,0))</f>
        <v>36</v>
      </c>
      <c r="B36" s="92" t="n">
        <f aca="false">MATCH(YEAR(D36),iSpreads)</f>
        <v>1</v>
      </c>
      <c r="C36" s="0" t="n">
        <f aca="false">MONTH(D36)</f>
        <v>4</v>
      </c>
      <c r="D36" s="93" t="n">
        <f aca="false">DATE(YEAR(D35),MONTH(D35)+1,1)</f>
        <v>36982</v>
      </c>
      <c r="E36" s="94" t="n">
        <f aca="false">VLOOKUP($D36,tblPriorPrice,2)</f>
        <v>178</v>
      </c>
      <c r="F36" s="162" t="n">
        <f aca="false">[3]TradeSum!$H14</f>
        <v>-2</v>
      </c>
      <c r="G36" s="96" t="n">
        <f aca="false">E36+F36</f>
        <v>176</v>
      </c>
      <c r="H36" s="96" t="n">
        <f aca="true">G36+OFFSET($CU$4,$B36,$C36)</f>
        <v>171</v>
      </c>
      <c r="I36" s="96" t="n">
        <f aca="true">G36+OFFSET($DI$4,$B36,$C36)</f>
        <v>201</v>
      </c>
      <c r="J36" s="94" t="n">
        <f aca="false">VLOOKUP($D36,tblPriorPrice,3)</f>
        <v>83</v>
      </c>
      <c r="K36" s="162" t="n">
        <f aca="false">[3]TradeSum!$R58</f>
        <v>0</v>
      </c>
      <c r="L36" s="96" t="n">
        <f aca="false">J36+K36</f>
        <v>83</v>
      </c>
      <c r="M36" s="96" t="n">
        <f aca="true">$L36+OFFSET($CU$27,$B36,$C36)</f>
        <v>78</v>
      </c>
      <c r="N36" s="97" t="n">
        <f aca="true">$L36+OFFSET($DI$27,$B36,$C36)</f>
        <v>88</v>
      </c>
      <c r="O36" s="59" t="n">
        <f aca="true">IF($A36="",0,INDEX(tblPosn,$A36,2))</f>
        <v>69082.0390625</v>
      </c>
      <c r="P36" s="59" t="n">
        <f aca="true">IF($A36="",0,INDEX(tblPosn,$A36,3))</f>
        <v>49140.671875</v>
      </c>
      <c r="Q36" s="59" t="n">
        <f aca="true">IF($A36="",0,INDEX(tblPosn,$A36,4))</f>
        <v>13158.4833984375</v>
      </c>
      <c r="R36" s="59" t="n">
        <f aca="true">IF($A36="",0,INDEX(tblPosn,$A36,5))</f>
        <v>16448.103515625</v>
      </c>
      <c r="S36" s="59" t="n">
        <f aca="true">IF($A36="",0,INDEX(tblPosn,$A36,6))</f>
        <v>0</v>
      </c>
      <c r="T36" s="98" t="n">
        <f aca="false">O36*F36+P36*K36+R36*AC36+S36*AH36/0.72+Q36*X36</f>
        <v>-197377.251953125</v>
      </c>
      <c r="U36" s="30"/>
      <c r="V36" s="161" t="n">
        <f aca="false">D36</f>
        <v>36982</v>
      </c>
      <c r="W36" s="94" t="n">
        <f aca="false">VLOOKUP($D36,tblPriorPrice,4)</f>
        <v>125</v>
      </c>
      <c r="X36" s="162" t="n">
        <f aca="false">[3]TradeSum!$H14</f>
        <v>-2</v>
      </c>
      <c r="Y36" s="176" t="n">
        <f aca="false">W36+X36</f>
        <v>123</v>
      </c>
      <c r="Z36" s="96" t="n">
        <f aca="true">Y36+OFFSET($CU$51,$B36,$C36)</f>
        <v>118</v>
      </c>
      <c r="AA36" s="177" t="n">
        <f aca="true">Y36+OFFSET($DI$51,$B36,$C36)</f>
        <v>138</v>
      </c>
      <c r="AB36" s="94" t="n">
        <f aca="false">VLOOKUP($D36,tblPriorPrice,5)</f>
        <v>112</v>
      </c>
      <c r="AC36" s="162" t="n">
        <f aca="false">[3]TradeSum!$H14</f>
        <v>-2</v>
      </c>
      <c r="AD36" s="176" t="n">
        <f aca="false">AB36+AC36</f>
        <v>110</v>
      </c>
      <c r="AE36" s="96" t="n">
        <f aca="true">AD36+OFFSET($CU$74,$B36,$C36)</f>
        <v>105</v>
      </c>
      <c r="AF36" s="177" t="n">
        <f aca="true">AD36+OFFSET($DI$74,$B36,$C36)</f>
        <v>125</v>
      </c>
      <c r="AG36" s="94" t="n">
        <f aca="false">VLOOKUP($D36,tblPriorPrice,6)</f>
        <v>1</v>
      </c>
      <c r="AH36" s="182"/>
      <c r="AI36" s="163" t="n">
        <f aca="false">AG36+AH36</f>
        <v>1</v>
      </c>
      <c r="AJ36" s="96" t="n">
        <f aca="false">AI36</f>
        <v>1</v>
      </c>
      <c r="AK36" s="97" t="n">
        <f aca="false">AI36</f>
        <v>1</v>
      </c>
      <c r="AL36" s="178" t="n">
        <v>2</v>
      </c>
      <c r="AM36" s="165" t="n">
        <v>0</v>
      </c>
      <c r="AN36" s="167" t="n">
        <f aca="false">'[3]Pricing Summary'!$AM14</f>
        <v>0.61</v>
      </c>
      <c r="AO36" s="167" t="n">
        <f aca="false">0.9*AN36</f>
        <v>0.549</v>
      </c>
      <c r="AP36" s="166" t="n">
        <f aca="false">1.5*AN36</f>
        <v>0.915</v>
      </c>
      <c r="AQ36" s="167" t="n">
        <f aca="false">AN36</f>
        <v>0.61</v>
      </c>
      <c r="AR36" s="166" t="n">
        <f aca="false">0.8*AQ36</f>
        <v>0.488</v>
      </c>
      <c r="AS36" s="166" t="n">
        <f aca="false">1.2*AQ36</f>
        <v>0.732</v>
      </c>
      <c r="AT36" s="169" t="n">
        <f aca="false">IF(G36&lt;110,17.94063*(LN(G36/100))+6.727568*(LN(G36/100)^2)+15.06494,(-4.1*G36+2135)/100)*0.5</f>
        <v>7.067</v>
      </c>
      <c r="AU36" s="169" t="n">
        <f aca="false">(0.75*AT36-AT36)</f>
        <v>-1.76675</v>
      </c>
      <c r="AV36" s="166" t="n">
        <f aca="false">AT36/0.5*1.25-AT36</f>
        <v>10.6005</v>
      </c>
      <c r="AW36" s="168" t="n">
        <f aca="false">IF(L36&lt;15,(15*L36+375)/100,(-4.71*L36+670.65)/100)*0.5</f>
        <v>1.3986</v>
      </c>
      <c r="AX36" s="166" t="n">
        <f aca="false">0.75*AW36-AW36</f>
        <v>-0.34965</v>
      </c>
      <c r="AY36" s="166" t="n">
        <f aca="false">AW36/0.5*1.25-AW36</f>
        <v>2.0979</v>
      </c>
      <c r="AZ36" s="167" t="n">
        <v>0.5</v>
      </c>
      <c r="BA36" s="74"/>
      <c r="BB36" s="161" t="n">
        <f aca="false">EOMONTH(BB35,0)+1</f>
        <v>36951</v>
      </c>
      <c r="BC36" s="183"/>
      <c r="BD36" s="183"/>
      <c r="BE36" s="183"/>
      <c r="BF36" s="183"/>
      <c r="BG36" s="183"/>
      <c r="BH36" s="184"/>
      <c r="BI36" s="183"/>
      <c r="BJ36" s="183"/>
      <c r="BK36" s="183"/>
      <c r="BL36" s="183"/>
      <c r="BM36" s="183"/>
      <c r="BN36" s="184"/>
      <c r="BQ36" s="108" t="n">
        <v>36907.7428240741</v>
      </c>
      <c r="BR36" s="109" t="n">
        <v>36907.743287037</v>
      </c>
      <c r="BS36" s="110" t="n">
        <v>36950</v>
      </c>
      <c r="BT36" s="111" t="n">
        <v>26992.302734375</v>
      </c>
      <c r="BU36" s="112" t="n">
        <v>18557.208984375</v>
      </c>
      <c r="BV36" s="112" t="n">
        <v>3374.03784179688</v>
      </c>
      <c r="BW36" s="112" t="n">
        <v>6748.07568359375</v>
      </c>
      <c r="BX36" s="113" t="n">
        <v>0</v>
      </c>
      <c r="BZ36" s="110" t="n">
        <v>36982</v>
      </c>
      <c r="CA36" s="185" t="n">
        <v>178</v>
      </c>
      <c r="CB36" s="116" t="n">
        <v>83</v>
      </c>
      <c r="CC36" s="181" t="n">
        <v>125</v>
      </c>
      <c r="CD36" s="181" t="n">
        <v>112</v>
      </c>
      <c r="CE36" s="117" t="n">
        <v>1</v>
      </c>
      <c r="CG36" s="135" t="n">
        <f aca="false">BB18</f>
        <v>2009</v>
      </c>
      <c r="CH36" s="137" t="n">
        <v>0</v>
      </c>
      <c r="CI36" s="137" t="n">
        <v>0</v>
      </c>
      <c r="CJ36" s="137" t="n">
        <v>0</v>
      </c>
      <c r="CK36" s="137" t="n">
        <v>0</v>
      </c>
      <c r="CL36" s="137" t="n">
        <v>1</v>
      </c>
      <c r="CM36" s="137" t="n">
        <v>0</v>
      </c>
      <c r="CN36" s="137" t="n">
        <v>0</v>
      </c>
      <c r="CO36" s="137" t="n">
        <v>1</v>
      </c>
      <c r="CP36" s="137" t="n">
        <v>1</v>
      </c>
      <c r="CQ36" s="137" t="n">
        <v>0</v>
      </c>
      <c r="CR36" s="137" t="n">
        <v>0</v>
      </c>
      <c r="CS36" s="138" t="n">
        <v>-1</v>
      </c>
      <c r="CU36" s="135" t="n">
        <f aca="false">BB18</f>
        <v>2009</v>
      </c>
      <c r="CV36" s="136" t="n">
        <v>-5</v>
      </c>
      <c r="CW36" s="137" t="n">
        <v>-5</v>
      </c>
      <c r="CX36" s="137" t="n">
        <v>-5</v>
      </c>
      <c r="CY36" s="137" t="n">
        <v>-5</v>
      </c>
      <c r="CZ36" s="137" t="n">
        <v>-5</v>
      </c>
      <c r="DA36" s="137" t="n">
        <v>-5</v>
      </c>
      <c r="DB36" s="137" t="n">
        <v>-5</v>
      </c>
      <c r="DC36" s="137" t="n">
        <v>-5</v>
      </c>
      <c r="DD36" s="137" t="n">
        <v>-5</v>
      </c>
      <c r="DE36" s="137" t="n">
        <v>-5</v>
      </c>
      <c r="DF36" s="137" t="n">
        <v>-5</v>
      </c>
      <c r="DG36" s="138" t="n">
        <v>-5</v>
      </c>
      <c r="DI36" s="135" t="n">
        <f aca="false">BB18</f>
        <v>2009</v>
      </c>
      <c r="DJ36" s="136" t="n">
        <v>13</v>
      </c>
      <c r="DK36" s="137" t="n">
        <v>13</v>
      </c>
      <c r="DL36" s="137" t="n">
        <v>13</v>
      </c>
      <c r="DM36" s="137" t="n">
        <v>13</v>
      </c>
      <c r="DN36" s="137" t="n">
        <v>13</v>
      </c>
      <c r="DO36" s="137" t="n">
        <v>13</v>
      </c>
      <c r="DP36" s="137" t="n">
        <v>13</v>
      </c>
      <c r="DQ36" s="137" t="n">
        <v>13</v>
      </c>
      <c r="DR36" s="137" t="n">
        <v>13</v>
      </c>
      <c r="DS36" s="137" t="n">
        <v>13</v>
      </c>
      <c r="DT36" s="137" t="n">
        <v>13</v>
      </c>
      <c r="DU36" s="138" t="n">
        <v>13</v>
      </c>
    </row>
    <row r="37" customFormat="false" ht="12.75" hidden="false" customHeight="false" outlineLevel="0" collapsed="false">
      <c r="A37" s="0" t="n">
        <f aca="true">IF(ISERROR(MATCH(D37,iRefDt,0)),"",MATCH(D37,iRefDt,0))</f>
        <v>37</v>
      </c>
      <c r="B37" s="92" t="n">
        <f aca="false">MATCH(YEAR(D37),iSpreads)</f>
        <v>1</v>
      </c>
      <c r="C37" s="0" t="n">
        <f aca="false">MONTH(D37)</f>
        <v>5</v>
      </c>
      <c r="D37" s="93" t="n">
        <f aca="false">DATE(YEAR(D36),MONTH(D36)+1,1)</f>
        <v>37012</v>
      </c>
      <c r="E37" s="94" t="n">
        <f aca="false">VLOOKUP($D37,tblPriorPrice,2)</f>
        <v>159</v>
      </c>
      <c r="F37" s="162" t="n">
        <f aca="false">[3]TradeSum!$H15</f>
        <v>-2</v>
      </c>
      <c r="G37" s="96" t="n">
        <f aca="false">E37+F37</f>
        <v>157</v>
      </c>
      <c r="H37" s="96" t="n">
        <f aca="true">G37+OFFSET($CU$4,$B37,$C37)</f>
        <v>152</v>
      </c>
      <c r="I37" s="96" t="n">
        <f aca="true">G37+OFFSET($DI$4,$B37,$C37)</f>
        <v>182</v>
      </c>
      <c r="J37" s="94" t="n">
        <f aca="false">VLOOKUP($D37,tblPriorPrice,3)</f>
        <v>78</v>
      </c>
      <c r="K37" s="162" t="n">
        <f aca="false">[3]TradeSum!$R59</f>
        <v>0</v>
      </c>
      <c r="L37" s="96" t="n">
        <f aca="false">J37+K37</f>
        <v>78</v>
      </c>
      <c r="M37" s="96" t="n">
        <f aca="true">$L37+OFFSET($CU$27,$B37,$C37)</f>
        <v>73</v>
      </c>
      <c r="N37" s="97" t="n">
        <f aca="true">$L37+OFFSET($DI$27,$B37,$C37)</f>
        <v>83</v>
      </c>
      <c r="O37" s="59" t="n">
        <f aca="true">IF($A37="",0,INDEX(tblPosn,$A37,2))</f>
        <v>72065.203125</v>
      </c>
      <c r="P37" s="59" t="n">
        <f aca="true">IF($A37="",0,INDEX(tblPosn,$A37,3))</f>
        <v>50773.21484375</v>
      </c>
      <c r="Q37" s="59" t="n">
        <f aca="true">IF($A37="",0,INDEX(tblPosn,$A37,4))</f>
        <v>13102.7646484375</v>
      </c>
      <c r="R37" s="59" t="n">
        <f aca="true">IF($A37="",0,INDEX(tblPosn,$A37,5))</f>
        <v>16378.4560546875</v>
      </c>
      <c r="S37" s="59" t="n">
        <f aca="true">IF($A37="",0,INDEX(tblPosn,$A37,6))</f>
        <v>0</v>
      </c>
      <c r="T37" s="98" t="n">
        <f aca="false">O37*F37+P37*K37+R37*AC37+S37*AH37/0.72+Q37*X37</f>
        <v>-203092.84765625</v>
      </c>
      <c r="U37" s="30"/>
      <c r="V37" s="161" t="n">
        <f aca="false">D37</f>
        <v>37012</v>
      </c>
      <c r="W37" s="94" t="n">
        <f aca="false">VLOOKUP($D37,tblPriorPrice,4)</f>
        <v>108</v>
      </c>
      <c r="X37" s="162" t="n">
        <f aca="false">[3]TradeSum!$H15</f>
        <v>-2</v>
      </c>
      <c r="Y37" s="176" t="n">
        <f aca="false">W37+X37</f>
        <v>106</v>
      </c>
      <c r="Z37" s="96" t="n">
        <f aca="true">Y37+OFFSET($CU$51,$B37,$C37)</f>
        <v>101</v>
      </c>
      <c r="AA37" s="177" t="n">
        <f aca="true">Y37+OFFSET($DI$51,$B37,$C37)</f>
        <v>121</v>
      </c>
      <c r="AB37" s="94" t="n">
        <f aca="false">VLOOKUP($D37,tblPriorPrice,5)</f>
        <v>96</v>
      </c>
      <c r="AC37" s="162" t="n">
        <f aca="false">[3]TradeSum!$H15</f>
        <v>-2</v>
      </c>
      <c r="AD37" s="176" t="n">
        <f aca="false">AB37+AC37</f>
        <v>94</v>
      </c>
      <c r="AE37" s="96" t="n">
        <f aca="true">AD37+OFFSET($CU$74,$B37,$C37)</f>
        <v>89</v>
      </c>
      <c r="AF37" s="177" t="n">
        <f aca="true">AD37+OFFSET($DI$74,$B37,$C37)</f>
        <v>109</v>
      </c>
      <c r="AG37" s="94" t="n">
        <f aca="false">VLOOKUP($D37,tblPriorPrice,6)</f>
        <v>1</v>
      </c>
      <c r="AH37" s="182"/>
      <c r="AI37" s="163" t="n">
        <f aca="false">AG37+AH37</f>
        <v>1</v>
      </c>
      <c r="AJ37" s="96" t="n">
        <f aca="false">AI37</f>
        <v>1</v>
      </c>
      <c r="AK37" s="97" t="n">
        <f aca="false">AI37</f>
        <v>1</v>
      </c>
      <c r="AL37" s="178" t="n">
        <v>2</v>
      </c>
      <c r="AM37" s="165" t="n">
        <v>0</v>
      </c>
      <c r="AN37" s="167" t="n">
        <f aca="false">'[3]Pricing Summary'!$AM15</f>
        <v>0.485</v>
      </c>
      <c r="AO37" s="167" t="n">
        <f aca="false">0.9*AN37</f>
        <v>0.4365</v>
      </c>
      <c r="AP37" s="166" t="n">
        <f aca="false">1.5*AN37</f>
        <v>0.7275</v>
      </c>
      <c r="AQ37" s="167" t="n">
        <f aca="false">AN37</f>
        <v>0.485</v>
      </c>
      <c r="AR37" s="166" t="n">
        <f aca="false">0.8*AQ37</f>
        <v>0.388</v>
      </c>
      <c r="AS37" s="166" t="n">
        <f aca="false">1.2*AQ37</f>
        <v>0.582</v>
      </c>
      <c r="AT37" s="169" t="n">
        <f aca="false">IF(G37&lt;110,17.94063*(LN(G37/100))+6.727568*(LN(G37/100)^2)+15.06494,(-4.1*G37+2135)/100)*0.5</f>
        <v>7.4565</v>
      </c>
      <c r="AU37" s="169" t="n">
        <f aca="false">(0.75*AT37-AT37)</f>
        <v>-1.864125</v>
      </c>
      <c r="AV37" s="166" t="n">
        <f aca="false">AT37/0.5*1.25-AT37</f>
        <v>11.18475</v>
      </c>
      <c r="AW37" s="168" t="n">
        <f aca="false">IF(L37&lt;15,(15*L37+375)/100,(-4.71*L37+670.65)/100)*0.5</f>
        <v>1.51635</v>
      </c>
      <c r="AX37" s="166" t="n">
        <f aca="false">0.75*AW37-AW37</f>
        <v>-0.3790875</v>
      </c>
      <c r="AY37" s="166" t="n">
        <f aca="false">AW37/0.5*1.25-AW37</f>
        <v>2.274525</v>
      </c>
      <c r="AZ37" s="167" t="n">
        <v>0.5</v>
      </c>
      <c r="BA37" s="74"/>
      <c r="BB37" s="161" t="n">
        <f aca="false">EOMONTH(BB36,0)+1</f>
        <v>36982</v>
      </c>
      <c r="BC37" s="183"/>
      <c r="BD37" s="183"/>
      <c r="BE37" s="183"/>
      <c r="BF37" s="183"/>
      <c r="BG37" s="183"/>
      <c r="BH37" s="184"/>
      <c r="BI37" s="183"/>
      <c r="BJ37" s="183"/>
      <c r="BK37" s="183"/>
      <c r="BL37" s="183"/>
      <c r="BM37" s="183"/>
      <c r="BN37" s="184"/>
      <c r="BQ37" s="108" t="n">
        <v>36907.7428240741</v>
      </c>
      <c r="BR37" s="109" t="n">
        <v>36907.743287037</v>
      </c>
      <c r="BS37" s="110" t="n">
        <v>36951</v>
      </c>
      <c r="BT37" s="111" t="n">
        <v>57019.76953125</v>
      </c>
      <c r="BU37" s="112" t="n">
        <v>40173.01953125</v>
      </c>
      <c r="BV37" s="112" t="n">
        <v>12959.0390625</v>
      </c>
      <c r="BW37" s="112" t="n">
        <v>10367.2314453125</v>
      </c>
      <c r="BX37" s="113" t="n">
        <v>0</v>
      </c>
      <c r="BZ37" s="110" t="n">
        <v>37012</v>
      </c>
      <c r="CA37" s="185" t="n">
        <v>159</v>
      </c>
      <c r="CB37" s="116" t="n">
        <v>78</v>
      </c>
      <c r="CC37" s="181" t="n">
        <v>108</v>
      </c>
      <c r="CD37" s="181" t="n">
        <v>96</v>
      </c>
      <c r="CE37" s="117" t="n">
        <v>1</v>
      </c>
      <c r="CG37" s="135" t="n">
        <f aca="false">BB19</f>
        <v>2010</v>
      </c>
      <c r="CH37" s="137" t="n">
        <v>0</v>
      </c>
      <c r="CI37" s="137" t="n">
        <v>0</v>
      </c>
      <c r="CJ37" s="137" t="n">
        <v>0</v>
      </c>
      <c r="CK37" s="137" t="n">
        <v>1</v>
      </c>
      <c r="CL37" s="137" t="n">
        <v>0</v>
      </c>
      <c r="CM37" s="137" t="n">
        <v>1</v>
      </c>
      <c r="CN37" s="137" t="n">
        <v>1</v>
      </c>
      <c r="CO37" s="137" t="n">
        <v>1</v>
      </c>
      <c r="CP37" s="137" t="n">
        <v>1</v>
      </c>
      <c r="CQ37" s="137" t="n">
        <v>1</v>
      </c>
      <c r="CR37" s="137" t="n">
        <v>0</v>
      </c>
      <c r="CS37" s="138" t="n">
        <v>0</v>
      </c>
      <c r="CU37" s="135" t="n">
        <f aca="false">BB19</f>
        <v>2010</v>
      </c>
      <c r="CV37" s="136" t="n">
        <v>-5</v>
      </c>
      <c r="CW37" s="137" t="n">
        <v>-5</v>
      </c>
      <c r="CX37" s="137" t="n">
        <v>-5</v>
      </c>
      <c r="CY37" s="137" t="n">
        <v>-5</v>
      </c>
      <c r="CZ37" s="137" t="n">
        <v>-5</v>
      </c>
      <c r="DA37" s="137" t="n">
        <v>-5</v>
      </c>
      <c r="DB37" s="137" t="n">
        <v>-5</v>
      </c>
      <c r="DC37" s="137" t="n">
        <v>-5</v>
      </c>
      <c r="DD37" s="137" t="n">
        <v>-5</v>
      </c>
      <c r="DE37" s="137" t="n">
        <v>-5</v>
      </c>
      <c r="DF37" s="137" t="n">
        <v>-5</v>
      </c>
      <c r="DG37" s="138" t="n">
        <v>-5</v>
      </c>
      <c r="DI37" s="135" t="n">
        <f aca="false">BB19</f>
        <v>2010</v>
      </c>
      <c r="DJ37" s="136" t="n">
        <v>14</v>
      </c>
      <c r="DK37" s="137" t="n">
        <v>14</v>
      </c>
      <c r="DL37" s="137" t="n">
        <v>14</v>
      </c>
      <c r="DM37" s="137" t="n">
        <v>14</v>
      </c>
      <c r="DN37" s="137" t="n">
        <v>14</v>
      </c>
      <c r="DO37" s="137" t="n">
        <v>14</v>
      </c>
      <c r="DP37" s="137" t="n">
        <v>14</v>
      </c>
      <c r="DQ37" s="137" t="n">
        <v>14</v>
      </c>
      <c r="DR37" s="137" t="n">
        <v>14</v>
      </c>
      <c r="DS37" s="137" t="n">
        <v>14</v>
      </c>
      <c r="DT37" s="137" t="n">
        <v>14</v>
      </c>
      <c r="DU37" s="138" t="n">
        <v>14</v>
      </c>
    </row>
    <row r="38" customFormat="false" ht="12.75" hidden="false" customHeight="false" outlineLevel="0" collapsed="false">
      <c r="A38" s="0" t="n">
        <f aca="true">IF(ISERROR(MATCH(D38,iRefDt,0)),"",MATCH(D38,iRefDt,0))</f>
        <v>38</v>
      </c>
      <c r="B38" s="92" t="n">
        <f aca="false">MATCH(YEAR(D38),iSpreads)</f>
        <v>1</v>
      </c>
      <c r="C38" s="0" t="n">
        <f aca="false">MONTH(D38)</f>
        <v>6</v>
      </c>
      <c r="D38" s="93" t="n">
        <f aca="false">DATE(YEAR(D37),MONTH(D37)+1,1)</f>
        <v>37043</v>
      </c>
      <c r="E38" s="94" t="n">
        <f aca="false">VLOOKUP($D38,tblPriorPrice,2)</f>
        <v>178</v>
      </c>
      <c r="F38" s="162" t="n">
        <f aca="false">[3]TradeSum!$H16</f>
        <v>-2</v>
      </c>
      <c r="G38" s="96" t="n">
        <f aca="false">E38+F38</f>
        <v>176</v>
      </c>
      <c r="H38" s="96" t="n">
        <f aca="true">G38+OFFSET($CU$4,$B38,$C38)</f>
        <v>171</v>
      </c>
      <c r="I38" s="96" t="n">
        <f aca="true">G38+OFFSET($DI$4,$B38,$C38)</f>
        <v>201</v>
      </c>
      <c r="J38" s="94" t="n">
        <f aca="false">VLOOKUP($D38,tblPriorPrice,3)</f>
        <v>84</v>
      </c>
      <c r="K38" s="162" t="n">
        <f aca="false">[3]TradeSum!$R60</f>
        <v>0</v>
      </c>
      <c r="L38" s="96" t="n">
        <f aca="false">J38+K38</f>
        <v>84</v>
      </c>
      <c r="M38" s="96" t="n">
        <f aca="true">$L38+OFFSET($CU$27,$B38,$C38)</f>
        <v>79</v>
      </c>
      <c r="N38" s="97" t="n">
        <f aca="true">$L38+OFFSET($DI$27,$B38,$C38)</f>
        <v>89</v>
      </c>
      <c r="O38" s="59" t="n">
        <f aca="true">IF($A38="",0,INDEX(tblPosn,$A38,2))</f>
        <v>68539.6328125</v>
      </c>
      <c r="P38" s="59" t="n">
        <f aca="true">IF($A38="",0,INDEX(tblPosn,$A38,3))</f>
        <v>48956.875</v>
      </c>
      <c r="Q38" s="59" t="n">
        <f aca="true">IF($A38="",0,INDEX(tblPosn,$A38,4))</f>
        <v>16318.958984375</v>
      </c>
      <c r="R38" s="59" t="n">
        <f aca="true">IF($A38="",0,INDEX(tblPosn,$A38,5))</f>
        <v>13055.16796875</v>
      </c>
      <c r="S38" s="59" t="n">
        <f aca="true">IF($A38="",0,INDEX(tblPosn,$A38,6))</f>
        <v>0</v>
      </c>
      <c r="T38" s="98" t="n">
        <f aca="false">O38*F38+P38*K38+R38*AC38+S38*AH38/0.72+Q38*X38</f>
        <v>-195827.51953125</v>
      </c>
      <c r="U38" s="30"/>
      <c r="V38" s="161" t="n">
        <f aca="false">D38</f>
        <v>37043</v>
      </c>
      <c r="W38" s="94" t="n">
        <f aca="false">VLOOKUP($D38,tblPriorPrice,4)</f>
        <v>132</v>
      </c>
      <c r="X38" s="162" t="n">
        <f aca="false">[3]TradeSum!$H16</f>
        <v>-2</v>
      </c>
      <c r="Y38" s="176" t="n">
        <f aca="false">W38+X38</f>
        <v>130</v>
      </c>
      <c r="Z38" s="96" t="n">
        <f aca="true">Y38+OFFSET($CU$51,$B38,$C38)</f>
        <v>125</v>
      </c>
      <c r="AA38" s="177" t="n">
        <f aca="true">Y38+OFFSET($DI$51,$B38,$C38)</f>
        <v>145</v>
      </c>
      <c r="AB38" s="94" t="n">
        <f aca="false">VLOOKUP($D38,tblPriorPrice,5)</f>
        <v>118</v>
      </c>
      <c r="AC38" s="162" t="n">
        <f aca="false">[3]TradeSum!$H16</f>
        <v>-2</v>
      </c>
      <c r="AD38" s="176" t="n">
        <f aca="false">AB38+AC38</f>
        <v>116</v>
      </c>
      <c r="AE38" s="96" t="n">
        <f aca="true">AD38+OFFSET($CU$74,$B38,$C38)</f>
        <v>111</v>
      </c>
      <c r="AF38" s="177" t="n">
        <f aca="true">AD38+OFFSET($DI$74,$B38,$C38)</f>
        <v>131</v>
      </c>
      <c r="AG38" s="94" t="n">
        <f aca="false">VLOOKUP($D38,tblPriorPrice,6)</f>
        <v>1</v>
      </c>
      <c r="AH38" s="182"/>
      <c r="AI38" s="163" t="n">
        <f aca="false">AG38+AH38</f>
        <v>1</v>
      </c>
      <c r="AJ38" s="96" t="n">
        <f aca="false">AI38</f>
        <v>1</v>
      </c>
      <c r="AK38" s="97" t="n">
        <f aca="false">AI38</f>
        <v>1</v>
      </c>
      <c r="AL38" s="178" t="n">
        <v>3</v>
      </c>
      <c r="AM38" s="165" t="n">
        <v>0</v>
      </c>
      <c r="AN38" s="167" t="n">
        <f aca="false">'[3]Pricing Summary'!$AM16</f>
        <v>0.475</v>
      </c>
      <c r="AO38" s="167" t="n">
        <f aca="false">0.9*AN38</f>
        <v>0.4275</v>
      </c>
      <c r="AP38" s="166" t="n">
        <f aca="false">1.5*AN38</f>
        <v>0.7125</v>
      </c>
      <c r="AQ38" s="167" t="n">
        <f aca="false">AN38</f>
        <v>0.475</v>
      </c>
      <c r="AR38" s="166" t="n">
        <f aca="false">0.8*AQ38</f>
        <v>0.38</v>
      </c>
      <c r="AS38" s="166" t="n">
        <f aca="false">1.2*AQ38</f>
        <v>0.57</v>
      </c>
      <c r="AT38" s="169" t="n">
        <f aca="false">IF(G38&lt;110,17.94063*(LN(G38/100))+6.727568*(LN(G38/100)^2)+15.06494,(-4.1*G38+2135)/100)*0.5</f>
        <v>7.067</v>
      </c>
      <c r="AU38" s="169" t="n">
        <f aca="false">(0.75*AT38-AT38)</f>
        <v>-1.76675</v>
      </c>
      <c r="AV38" s="166" t="n">
        <f aca="false">AT38/0.5*1.25-AT38</f>
        <v>10.6005</v>
      </c>
      <c r="AW38" s="168" t="n">
        <f aca="false">IF(L38&lt;15,(15*L38+375)/100,(-4.71*L38+670.65)/100)*0.5</f>
        <v>1.37505</v>
      </c>
      <c r="AX38" s="166" t="n">
        <f aca="false">0.75*AW38-AW38</f>
        <v>-0.3437625</v>
      </c>
      <c r="AY38" s="166" t="n">
        <f aca="false">AW38/0.5*1.25-AW38</f>
        <v>2.062575</v>
      </c>
      <c r="AZ38" s="167" t="n">
        <v>0.5</v>
      </c>
      <c r="BA38" s="74"/>
      <c r="BB38" s="161" t="n">
        <f aca="false">EOMONTH(BB37,0)+1</f>
        <v>37012</v>
      </c>
      <c r="BC38" s="183"/>
      <c r="BD38" s="183"/>
      <c r="BE38" s="183"/>
      <c r="BF38" s="183"/>
      <c r="BG38" s="183"/>
      <c r="BH38" s="184"/>
      <c r="BI38" s="183"/>
      <c r="BJ38" s="183"/>
      <c r="BK38" s="183"/>
      <c r="BL38" s="183"/>
      <c r="BM38" s="183"/>
      <c r="BN38" s="184"/>
      <c r="BQ38" s="108" t="n">
        <v>36907.7428240741</v>
      </c>
      <c r="BR38" s="109" t="n">
        <v>36907.743287037</v>
      </c>
      <c r="BS38" s="110" t="n">
        <v>36982</v>
      </c>
      <c r="BT38" s="111" t="n">
        <v>69082.0390625</v>
      </c>
      <c r="BU38" s="112" t="n">
        <v>49140.671875</v>
      </c>
      <c r="BV38" s="112" t="n">
        <v>13158.4833984375</v>
      </c>
      <c r="BW38" s="112" t="n">
        <v>16448.103515625</v>
      </c>
      <c r="BX38" s="113" t="n">
        <v>0</v>
      </c>
      <c r="BZ38" s="110" t="n">
        <v>37043</v>
      </c>
      <c r="CA38" s="185" t="n">
        <v>178</v>
      </c>
      <c r="CB38" s="116" t="n">
        <v>84</v>
      </c>
      <c r="CC38" s="181" t="n">
        <v>132</v>
      </c>
      <c r="CD38" s="181" t="n">
        <v>118</v>
      </c>
      <c r="CE38" s="117" t="n">
        <v>1</v>
      </c>
      <c r="CG38" s="135" t="n">
        <f aca="false">BB20</f>
        <v>2011</v>
      </c>
      <c r="CH38" s="137" t="n">
        <v>0</v>
      </c>
      <c r="CI38" s="137" t="n">
        <v>0</v>
      </c>
      <c r="CJ38" s="137" t="n">
        <v>0</v>
      </c>
      <c r="CK38" s="137" t="n">
        <v>0</v>
      </c>
      <c r="CL38" s="137" t="n">
        <v>0</v>
      </c>
      <c r="CM38" s="137" t="n">
        <v>0</v>
      </c>
      <c r="CN38" s="137" t="n">
        <v>0</v>
      </c>
      <c r="CO38" s="137" t="n">
        <v>0</v>
      </c>
      <c r="CP38" s="137" t="n">
        <v>0</v>
      </c>
      <c r="CQ38" s="137" t="n">
        <v>0</v>
      </c>
      <c r="CR38" s="137" t="n">
        <v>0</v>
      </c>
      <c r="CS38" s="138" t="n">
        <v>0</v>
      </c>
      <c r="CU38" s="135" t="n">
        <f aca="false">BB20</f>
        <v>2011</v>
      </c>
      <c r="CV38" s="136" t="n">
        <v>-5</v>
      </c>
      <c r="CW38" s="137" t="n">
        <v>-5</v>
      </c>
      <c r="CX38" s="137" t="n">
        <v>-5</v>
      </c>
      <c r="CY38" s="137" t="n">
        <v>-5</v>
      </c>
      <c r="CZ38" s="137" t="n">
        <v>-5</v>
      </c>
      <c r="DA38" s="137" t="n">
        <v>-5</v>
      </c>
      <c r="DB38" s="137" t="n">
        <v>-5</v>
      </c>
      <c r="DC38" s="137" t="n">
        <v>-5</v>
      </c>
      <c r="DD38" s="137" t="n">
        <v>-5</v>
      </c>
      <c r="DE38" s="137" t="n">
        <v>-5</v>
      </c>
      <c r="DF38" s="137" t="n">
        <v>-5</v>
      </c>
      <c r="DG38" s="138" t="n">
        <v>-5</v>
      </c>
      <c r="DI38" s="135" t="n">
        <f aca="false">BB20</f>
        <v>2011</v>
      </c>
      <c r="DJ38" s="136" t="n">
        <v>15</v>
      </c>
      <c r="DK38" s="137" t="n">
        <v>15</v>
      </c>
      <c r="DL38" s="137" t="n">
        <v>15</v>
      </c>
      <c r="DM38" s="137" t="n">
        <v>15</v>
      </c>
      <c r="DN38" s="137" t="n">
        <v>15</v>
      </c>
      <c r="DO38" s="137" t="n">
        <v>15</v>
      </c>
      <c r="DP38" s="137" t="n">
        <v>15</v>
      </c>
      <c r="DQ38" s="137" t="n">
        <v>15</v>
      </c>
      <c r="DR38" s="137" t="n">
        <v>15</v>
      </c>
      <c r="DS38" s="137" t="n">
        <v>15</v>
      </c>
      <c r="DT38" s="137" t="n">
        <v>15</v>
      </c>
      <c r="DU38" s="138" t="n">
        <v>15</v>
      </c>
    </row>
    <row r="39" customFormat="false" ht="12.75" hidden="false" customHeight="false" outlineLevel="0" collapsed="false">
      <c r="A39" s="0" t="n">
        <f aca="true">IF(ISERROR(MATCH(D39,iRefDt,0)),"",MATCH(D39,iRefDt,0))</f>
        <v>39</v>
      </c>
      <c r="B39" s="92" t="n">
        <f aca="false">MATCH(YEAR(D39),iSpreads)</f>
        <v>1</v>
      </c>
      <c r="C39" s="0" t="n">
        <f aca="false">MONTH(D39)</f>
        <v>7</v>
      </c>
      <c r="D39" s="93" t="n">
        <f aca="false">DATE(YEAR(D38),MONTH(D38)+1,1)</f>
        <v>37073</v>
      </c>
      <c r="E39" s="94" t="n">
        <f aca="false">VLOOKUP($D39,tblPriorPrice,2)</f>
        <v>200</v>
      </c>
      <c r="F39" s="162" t="n">
        <f aca="false">[3]TradeSum!$H17</f>
        <v>-5</v>
      </c>
      <c r="G39" s="96" t="n">
        <f aca="false">E39+F39</f>
        <v>195</v>
      </c>
      <c r="H39" s="96" t="n">
        <f aca="true">G39+OFFSET($CU$4,$B39,$C39)</f>
        <v>190</v>
      </c>
      <c r="I39" s="96" t="n">
        <f aca="true">G39+OFFSET($DI$4,$B39,$C39)</f>
        <v>220</v>
      </c>
      <c r="J39" s="94" t="n">
        <f aca="false">VLOOKUP($D39,tblPriorPrice,3)</f>
        <v>70</v>
      </c>
      <c r="K39" s="162" t="n">
        <f aca="false">[3]TradeSum!$R61</f>
        <v>0</v>
      </c>
      <c r="L39" s="96" t="n">
        <f aca="false">J39+K39</f>
        <v>70</v>
      </c>
      <c r="M39" s="96" t="n">
        <f aca="true">$L39+OFFSET($CU$27,$B39,$C39)</f>
        <v>65</v>
      </c>
      <c r="N39" s="97" t="n">
        <f aca="true">$L39+OFFSET($DI$27,$B39,$C39)</f>
        <v>75</v>
      </c>
      <c r="O39" s="59" t="n">
        <f aca="true">IF($A39="",0,INDEX(tblPosn,$A39,2))</f>
        <v>68225.9140625</v>
      </c>
      <c r="P39" s="59" t="n">
        <f aca="true">IF($A39="",0,INDEX(tblPosn,$A39,3))</f>
        <v>50357.2265625</v>
      </c>
      <c r="Q39" s="59" t="n">
        <f aca="true">IF($A39="",0,INDEX(tblPosn,$A39,4))</f>
        <v>12995.412109375</v>
      </c>
      <c r="R39" s="59" t="n">
        <f aca="true">IF($A39="",0,INDEX(tblPosn,$A39,5))</f>
        <v>19493.119140625</v>
      </c>
      <c r="S39" s="59" t="n">
        <f aca="true">IF($A39="",0,INDEX(tblPosn,$A39,6))</f>
        <v>0</v>
      </c>
      <c r="T39" s="98" t="n">
        <f aca="false">O39*F39+P39*K39+R39*AC39+S39*AH39/0.72+Q39*X39</f>
        <v>-503572.2265625</v>
      </c>
      <c r="V39" s="161" t="n">
        <f aca="false">D39</f>
        <v>37073</v>
      </c>
      <c r="W39" s="94" t="n">
        <f aca="false">VLOOKUP($D39,tblPriorPrice,4)</f>
        <v>139</v>
      </c>
      <c r="X39" s="162" t="n">
        <f aca="false">[3]TradeSum!$H17</f>
        <v>-5</v>
      </c>
      <c r="Y39" s="176" t="n">
        <f aca="false">W39+X39</f>
        <v>134</v>
      </c>
      <c r="Z39" s="96" t="n">
        <f aca="true">Y39+OFFSET($CU$51,$B39,$C39)</f>
        <v>129</v>
      </c>
      <c r="AA39" s="177" t="n">
        <f aca="true">Y39+OFFSET($DI$51,$B39,$C39)</f>
        <v>149</v>
      </c>
      <c r="AB39" s="94" t="n">
        <f aca="false">VLOOKUP($D39,tblPriorPrice,5)</f>
        <v>124</v>
      </c>
      <c r="AC39" s="162" t="n">
        <f aca="false">[3]TradeSum!$H17</f>
        <v>-5</v>
      </c>
      <c r="AD39" s="176" t="n">
        <f aca="false">AB39+AC39</f>
        <v>119</v>
      </c>
      <c r="AE39" s="96" t="n">
        <f aca="true">AD39+OFFSET($CU$74,$B39,$C39)</f>
        <v>114</v>
      </c>
      <c r="AF39" s="177" t="n">
        <f aca="true">AD39+OFFSET($DI$74,$B39,$C39)</f>
        <v>134</v>
      </c>
      <c r="AG39" s="94" t="n">
        <f aca="false">VLOOKUP($D39,tblPriorPrice,6)</f>
        <v>1</v>
      </c>
      <c r="AH39" s="182"/>
      <c r="AI39" s="163" t="n">
        <f aca="false">AG39+AH39</f>
        <v>1</v>
      </c>
      <c r="AJ39" s="96" t="n">
        <f aca="false">AI39</f>
        <v>1</v>
      </c>
      <c r="AK39" s="97" t="n">
        <f aca="false">AI39</f>
        <v>1</v>
      </c>
      <c r="AL39" s="178" t="n">
        <v>3</v>
      </c>
      <c r="AM39" s="165" t="n">
        <v>0</v>
      </c>
      <c r="AN39" s="167" t="n">
        <f aca="false">'[3]Pricing Summary'!$AM17</f>
        <v>0.475</v>
      </c>
      <c r="AO39" s="167" t="n">
        <f aca="false">0.9*AN39</f>
        <v>0.4275</v>
      </c>
      <c r="AP39" s="166" t="n">
        <f aca="false">1.5*AN39</f>
        <v>0.7125</v>
      </c>
      <c r="AQ39" s="167" t="n">
        <f aca="false">AN39</f>
        <v>0.475</v>
      </c>
      <c r="AR39" s="166" t="n">
        <f aca="false">0.8*AQ39</f>
        <v>0.38</v>
      </c>
      <c r="AS39" s="166" t="n">
        <f aca="false">1.2*AQ39</f>
        <v>0.57</v>
      </c>
      <c r="AT39" s="169" t="n">
        <f aca="false">IF(G39&lt;110,17.94063*(LN(G39/100))+6.727568*(LN(G39/100)^2)+15.06494,(-4.1*G39+2135)/100)*0.5</f>
        <v>6.6775</v>
      </c>
      <c r="AU39" s="169" t="n">
        <f aca="false">(0.75*AT39-AT39)</f>
        <v>-1.669375</v>
      </c>
      <c r="AV39" s="166" t="n">
        <f aca="false">AT39/0.5*1.25-AT39</f>
        <v>10.01625</v>
      </c>
      <c r="AW39" s="168" t="n">
        <f aca="false">IF(L39&lt;15,(15*L39+375)/100,(-4.71*L39+670.65)/100)*0.5</f>
        <v>1.70475</v>
      </c>
      <c r="AX39" s="166" t="n">
        <f aca="false">0.75*AW39-AW39</f>
        <v>-0.4261875</v>
      </c>
      <c r="AY39" s="166" t="n">
        <f aca="false">AW39/0.5*1.25-AW39</f>
        <v>2.557125</v>
      </c>
      <c r="AZ39" s="167" t="n">
        <v>0.5</v>
      </c>
      <c r="BA39" s="74"/>
      <c r="BB39" s="161" t="n">
        <f aca="false">EOMONTH(BB38,0)+1</f>
        <v>37043</v>
      </c>
      <c r="BC39" s="183"/>
      <c r="BD39" s="183"/>
      <c r="BE39" s="183"/>
      <c r="BF39" s="183"/>
      <c r="BG39" s="183"/>
      <c r="BH39" s="184"/>
      <c r="BI39" s="183"/>
      <c r="BJ39" s="183"/>
      <c r="BK39" s="183"/>
      <c r="BL39" s="183"/>
      <c r="BM39" s="183"/>
      <c r="BN39" s="184"/>
      <c r="BQ39" s="108" t="n">
        <v>36907.7428240741</v>
      </c>
      <c r="BR39" s="109" t="n">
        <v>36907.743287037</v>
      </c>
      <c r="BS39" s="110" t="n">
        <v>37012</v>
      </c>
      <c r="BT39" s="111" t="n">
        <v>72065.203125</v>
      </c>
      <c r="BU39" s="112" t="n">
        <v>50773.21484375</v>
      </c>
      <c r="BV39" s="112" t="n">
        <v>13102.7646484375</v>
      </c>
      <c r="BW39" s="112" t="n">
        <v>16378.4560546875</v>
      </c>
      <c r="BX39" s="113" t="n">
        <v>0</v>
      </c>
      <c r="BZ39" s="110" t="n">
        <v>37073</v>
      </c>
      <c r="CA39" s="185" t="n">
        <v>200</v>
      </c>
      <c r="CB39" s="116" t="n">
        <v>70</v>
      </c>
      <c r="CC39" s="181" t="n">
        <v>139</v>
      </c>
      <c r="CD39" s="181" t="n">
        <v>124</v>
      </c>
      <c r="CE39" s="117" t="n">
        <v>1</v>
      </c>
      <c r="CG39" s="135" t="n">
        <f aca="false">BB21</f>
        <v>2012</v>
      </c>
      <c r="CH39" s="137" t="n">
        <v>0</v>
      </c>
      <c r="CI39" s="137" t="n">
        <v>0</v>
      </c>
      <c r="CJ39" s="137" t="n">
        <v>0</v>
      </c>
      <c r="CK39" s="137" t="n">
        <v>0</v>
      </c>
      <c r="CL39" s="137" t="n">
        <v>0</v>
      </c>
      <c r="CM39" s="137" t="n">
        <v>0</v>
      </c>
      <c r="CN39" s="137" t="n">
        <v>0</v>
      </c>
      <c r="CO39" s="137" t="n">
        <v>0</v>
      </c>
      <c r="CP39" s="137" t="n">
        <v>0</v>
      </c>
      <c r="CQ39" s="137" t="n">
        <v>0</v>
      </c>
      <c r="CR39" s="137" t="n">
        <v>0</v>
      </c>
      <c r="CS39" s="138" t="n">
        <v>0</v>
      </c>
      <c r="CU39" s="135" t="n">
        <f aca="false">BB21</f>
        <v>2012</v>
      </c>
      <c r="CV39" s="136" t="n">
        <v>-5</v>
      </c>
      <c r="CW39" s="137" t="n">
        <v>-5</v>
      </c>
      <c r="CX39" s="137" t="n">
        <v>-5</v>
      </c>
      <c r="CY39" s="137" t="n">
        <v>-5</v>
      </c>
      <c r="CZ39" s="137" t="n">
        <v>-5</v>
      </c>
      <c r="DA39" s="137" t="n">
        <v>-5</v>
      </c>
      <c r="DB39" s="137" t="n">
        <v>-5</v>
      </c>
      <c r="DC39" s="137" t="n">
        <v>-5</v>
      </c>
      <c r="DD39" s="137" t="n">
        <v>-5</v>
      </c>
      <c r="DE39" s="137" t="n">
        <v>-5</v>
      </c>
      <c r="DF39" s="137" t="n">
        <v>-5</v>
      </c>
      <c r="DG39" s="138" t="n">
        <v>-5</v>
      </c>
      <c r="DI39" s="135" t="n">
        <f aca="false">BB21</f>
        <v>2012</v>
      </c>
      <c r="DJ39" s="136" t="n">
        <v>16</v>
      </c>
      <c r="DK39" s="137" t="n">
        <v>16</v>
      </c>
      <c r="DL39" s="137" t="n">
        <v>16</v>
      </c>
      <c r="DM39" s="137" t="n">
        <v>16</v>
      </c>
      <c r="DN39" s="137" t="n">
        <v>16</v>
      </c>
      <c r="DO39" s="137" t="n">
        <v>16</v>
      </c>
      <c r="DP39" s="137" t="n">
        <v>16</v>
      </c>
      <c r="DQ39" s="137" t="n">
        <v>16</v>
      </c>
      <c r="DR39" s="137" t="n">
        <v>16</v>
      </c>
      <c r="DS39" s="137" t="n">
        <v>16</v>
      </c>
      <c r="DT39" s="137" t="n">
        <v>16</v>
      </c>
      <c r="DU39" s="138" t="n">
        <v>16</v>
      </c>
    </row>
    <row r="40" customFormat="false" ht="12.75" hidden="false" customHeight="false" outlineLevel="0" collapsed="false">
      <c r="A40" s="0" t="n">
        <f aca="true">IF(ISERROR(MATCH(D40,iRefDt,0)),"",MATCH(D40,iRefDt,0))</f>
        <v>40</v>
      </c>
      <c r="B40" s="92" t="n">
        <f aca="false">MATCH(YEAR(D40),iSpreads)</f>
        <v>1</v>
      </c>
      <c r="C40" s="0" t="n">
        <f aca="false">MONTH(D40)</f>
        <v>8</v>
      </c>
      <c r="D40" s="93" t="n">
        <f aca="false">DATE(YEAR(D39),MONTH(D39)+1,1)</f>
        <v>37104</v>
      </c>
      <c r="E40" s="94" t="n">
        <f aca="false">VLOOKUP($D40,tblPriorPrice,2)</f>
        <v>238</v>
      </c>
      <c r="F40" s="162" t="n">
        <f aca="false">[3]TradeSum!$H18</f>
        <v>-5</v>
      </c>
      <c r="G40" s="96" t="n">
        <f aca="false">E40+F40</f>
        <v>233</v>
      </c>
      <c r="H40" s="96" t="n">
        <f aca="true">G40+OFFSET($CU$4,$B40,$C40)</f>
        <v>228</v>
      </c>
      <c r="I40" s="96" t="n">
        <f aca="true">G40+OFFSET($DI$4,$B40,$C40)</f>
        <v>258</v>
      </c>
      <c r="J40" s="94" t="n">
        <f aca="false">VLOOKUP($D40,tblPriorPrice,3)</f>
        <v>71</v>
      </c>
      <c r="K40" s="162" t="n">
        <f aca="false">[3]TradeSum!$R62</f>
        <v>0</v>
      </c>
      <c r="L40" s="96" t="n">
        <f aca="false">J40+K40</f>
        <v>71</v>
      </c>
      <c r="M40" s="96" t="n">
        <f aca="true">$L40+OFFSET($CU$27,$B40,$C40)</f>
        <v>66</v>
      </c>
      <c r="N40" s="97" t="n">
        <f aca="true">$L40+OFFSET($DI$27,$B40,$C40)</f>
        <v>76</v>
      </c>
      <c r="O40" s="59" t="n">
        <f aca="true">IF($A40="",0,INDEX(tblPosn,$A40,2))</f>
        <v>74463.7734375</v>
      </c>
      <c r="P40" s="59" t="n">
        <f aca="true">IF($A40="",0,INDEX(tblPosn,$A40,3))</f>
        <v>50182.109375</v>
      </c>
      <c r="Q40" s="59" t="n">
        <f aca="true">IF($A40="",0,INDEX(tblPosn,$A40,4))</f>
        <v>12950.220703125</v>
      </c>
      <c r="R40" s="59" t="n">
        <f aca="true">IF($A40="",0,INDEX(tblPosn,$A40,5))</f>
        <v>12950.220703125</v>
      </c>
      <c r="S40" s="59" t="n">
        <f aca="true">IF($A40="",0,INDEX(tblPosn,$A40,6))</f>
        <v>0</v>
      </c>
      <c r="T40" s="98" t="n">
        <f aca="false">O40*F40+P40*K40+R40*AC40+S40*AH40/0.72+Q40*X40</f>
        <v>-501821.07421875</v>
      </c>
      <c r="V40" s="161" t="n">
        <f aca="false">D40</f>
        <v>37104</v>
      </c>
      <c r="W40" s="94" t="n">
        <f aca="false">VLOOKUP($D40,tblPriorPrice,4)</f>
        <v>162</v>
      </c>
      <c r="X40" s="162" t="n">
        <f aca="false">[3]TradeSum!$H18</f>
        <v>-5</v>
      </c>
      <c r="Y40" s="176" t="n">
        <f aca="false">W40+X40</f>
        <v>157</v>
      </c>
      <c r="Z40" s="96" t="n">
        <f aca="true">Y40+OFFSET($CU$51,$B40,$C40)</f>
        <v>152</v>
      </c>
      <c r="AA40" s="177" t="n">
        <f aca="true">Y40+OFFSET($DI$51,$B40,$C40)</f>
        <v>172</v>
      </c>
      <c r="AB40" s="94" t="n">
        <f aca="false">VLOOKUP($D40,tblPriorPrice,5)</f>
        <v>145</v>
      </c>
      <c r="AC40" s="162" t="n">
        <f aca="false">[3]TradeSum!$H18</f>
        <v>-5</v>
      </c>
      <c r="AD40" s="176" t="n">
        <f aca="false">AB40+AC40</f>
        <v>140</v>
      </c>
      <c r="AE40" s="96" t="n">
        <f aca="true">AD40+OFFSET($CU$74,$B40,$C40)</f>
        <v>135</v>
      </c>
      <c r="AF40" s="177" t="n">
        <f aca="true">AD40+OFFSET($DI$74,$B40,$C40)</f>
        <v>155</v>
      </c>
      <c r="AG40" s="94" t="n">
        <f aca="false">VLOOKUP($D40,tblPriorPrice,6)</f>
        <v>1</v>
      </c>
      <c r="AH40" s="182"/>
      <c r="AI40" s="163" t="n">
        <f aca="false">AG40+AH40</f>
        <v>1</v>
      </c>
      <c r="AJ40" s="96" t="n">
        <f aca="false">AI40</f>
        <v>1</v>
      </c>
      <c r="AK40" s="97" t="n">
        <f aca="false">AI40</f>
        <v>1</v>
      </c>
      <c r="AL40" s="178" t="n">
        <v>3</v>
      </c>
      <c r="AM40" s="165" t="n">
        <v>0.1</v>
      </c>
      <c r="AN40" s="167" t="n">
        <f aca="false">'[3]Pricing Summary'!$AM18</f>
        <v>0.475</v>
      </c>
      <c r="AO40" s="167" t="n">
        <f aca="false">0.9*AN40</f>
        <v>0.4275</v>
      </c>
      <c r="AP40" s="166" t="n">
        <f aca="false">1.5*AN40</f>
        <v>0.7125</v>
      </c>
      <c r="AQ40" s="167" t="n">
        <f aca="false">AN40</f>
        <v>0.475</v>
      </c>
      <c r="AR40" s="166" t="n">
        <f aca="false">0.8*AQ40</f>
        <v>0.38</v>
      </c>
      <c r="AS40" s="166" t="n">
        <f aca="false">1.2*AQ40</f>
        <v>0.57</v>
      </c>
      <c r="AT40" s="169" t="n">
        <f aca="false">IF(G40&lt;110,17.94063*(LN(G40/100))+6.727568*(LN(G40/100)^2)+15.06494,(-4.1*G40+2135)/100)*0.5</f>
        <v>5.8985</v>
      </c>
      <c r="AU40" s="169" t="n">
        <f aca="false">(0.75*AT40-AT40)</f>
        <v>-1.474625</v>
      </c>
      <c r="AV40" s="166" t="n">
        <f aca="false">AT40/0.5*1.25-AT40</f>
        <v>8.84775</v>
      </c>
      <c r="AW40" s="168" t="n">
        <f aca="false">IF(L40&lt;15,(15*L40+375)/100,(-4.71*L40+670.65)/100)*0.5</f>
        <v>1.6812</v>
      </c>
      <c r="AX40" s="166" t="n">
        <f aca="false">0.75*AW40-AW40</f>
        <v>-0.4203</v>
      </c>
      <c r="AY40" s="166" t="n">
        <f aca="false">AW40/0.5*1.25-AW40</f>
        <v>2.5218</v>
      </c>
      <c r="AZ40" s="167" t="n">
        <v>0.5</v>
      </c>
      <c r="BA40" s="74"/>
      <c r="BB40" s="161" t="n">
        <f aca="false">EOMONTH(BB39,0)+1</f>
        <v>37073</v>
      </c>
      <c r="BC40" s="183"/>
      <c r="BD40" s="183"/>
      <c r="BE40" s="183"/>
      <c r="BF40" s="183"/>
      <c r="BG40" s="183"/>
      <c r="BH40" s="184"/>
      <c r="BI40" s="183"/>
      <c r="BJ40" s="183"/>
      <c r="BK40" s="183"/>
      <c r="BL40" s="183"/>
      <c r="BM40" s="183"/>
      <c r="BN40" s="184"/>
      <c r="BQ40" s="108" t="n">
        <v>36907.7428240741</v>
      </c>
      <c r="BR40" s="109" t="n">
        <v>36907.743287037</v>
      </c>
      <c r="BS40" s="110" t="n">
        <v>37043</v>
      </c>
      <c r="BT40" s="111" t="n">
        <v>68539.6328125</v>
      </c>
      <c r="BU40" s="112" t="n">
        <v>48956.875</v>
      </c>
      <c r="BV40" s="112" t="n">
        <v>16318.958984375</v>
      </c>
      <c r="BW40" s="112" t="n">
        <v>13055.16796875</v>
      </c>
      <c r="BX40" s="113" t="n">
        <v>0</v>
      </c>
      <c r="BZ40" s="110" t="n">
        <v>37104</v>
      </c>
      <c r="CA40" s="185" t="n">
        <v>238</v>
      </c>
      <c r="CB40" s="116" t="n">
        <v>71</v>
      </c>
      <c r="CC40" s="181" t="n">
        <v>162</v>
      </c>
      <c r="CD40" s="181" t="n">
        <v>145</v>
      </c>
      <c r="CE40" s="117" t="n">
        <v>1</v>
      </c>
      <c r="CG40" s="135" t="n">
        <f aca="false">BB22</f>
        <v>2013</v>
      </c>
      <c r="CH40" s="137" t="n">
        <v>0</v>
      </c>
      <c r="CI40" s="137" t="n">
        <v>0</v>
      </c>
      <c r="CJ40" s="137" t="n">
        <v>0</v>
      </c>
      <c r="CK40" s="137" t="n">
        <v>0</v>
      </c>
      <c r="CL40" s="137" t="n">
        <v>0</v>
      </c>
      <c r="CM40" s="137" t="n">
        <v>0</v>
      </c>
      <c r="CN40" s="137" t="n">
        <v>0</v>
      </c>
      <c r="CO40" s="137" t="n">
        <v>0</v>
      </c>
      <c r="CP40" s="137" t="n">
        <v>0</v>
      </c>
      <c r="CQ40" s="137" t="n">
        <v>0</v>
      </c>
      <c r="CR40" s="137" t="n">
        <v>0</v>
      </c>
      <c r="CS40" s="138" t="n">
        <v>0</v>
      </c>
      <c r="CU40" s="135" t="n">
        <f aca="false">BB22</f>
        <v>2013</v>
      </c>
      <c r="CV40" s="136" t="n">
        <v>-5</v>
      </c>
      <c r="CW40" s="137" t="n">
        <v>-5</v>
      </c>
      <c r="CX40" s="137" t="n">
        <v>-5</v>
      </c>
      <c r="CY40" s="137" t="n">
        <v>-5</v>
      </c>
      <c r="CZ40" s="137" t="n">
        <v>-5</v>
      </c>
      <c r="DA40" s="137" t="n">
        <v>-5</v>
      </c>
      <c r="DB40" s="137" t="n">
        <v>-5</v>
      </c>
      <c r="DC40" s="137" t="n">
        <v>-5</v>
      </c>
      <c r="DD40" s="137" t="n">
        <v>-5</v>
      </c>
      <c r="DE40" s="137" t="n">
        <v>-5</v>
      </c>
      <c r="DF40" s="137" t="n">
        <v>-5</v>
      </c>
      <c r="DG40" s="138" t="n">
        <v>-5</v>
      </c>
      <c r="DI40" s="135" t="n">
        <f aca="false">BB22</f>
        <v>2013</v>
      </c>
      <c r="DJ40" s="136" t="n">
        <v>17</v>
      </c>
      <c r="DK40" s="137" t="n">
        <v>17</v>
      </c>
      <c r="DL40" s="137" t="n">
        <v>17</v>
      </c>
      <c r="DM40" s="137" t="n">
        <v>17</v>
      </c>
      <c r="DN40" s="137" t="n">
        <v>17</v>
      </c>
      <c r="DO40" s="137" t="n">
        <v>17</v>
      </c>
      <c r="DP40" s="137" t="n">
        <v>17</v>
      </c>
      <c r="DQ40" s="137" t="n">
        <v>17</v>
      </c>
      <c r="DR40" s="137" t="n">
        <v>17</v>
      </c>
      <c r="DS40" s="137" t="n">
        <v>17</v>
      </c>
      <c r="DT40" s="137" t="n">
        <v>17</v>
      </c>
      <c r="DU40" s="138" t="n">
        <v>17</v>
      </c>
    </row>
    <row r="41" customFormat="false" ht="12.75" hidden="false" customHeight="false" outlineLevel="0" collapsed="false">
      <c r="A41" s="0" t="n">
        <f aca="true">IF(ISERROR(MATCH(D41,iRefDt,0)),"",MATCH(D41,iRefDt,0))</f>
        <v>41</v>
      </c>
      <c r="B41" s="92" t="n">
        <f aca="false">MATCH(YEAR(D41),iSpreads)</f>
        <v>1</v>
      </c>
      <c r="C41" s="0" t="n">
        <f aca="false">MONTH(D41)</f>
        <v>9</v>
      </c>
      <c r="D41" s="93" t="n">
        <f aca="false">DATE(YEAR(D40),MONTH(D40)+1,1)</f>
        <v>37135</v>
      </c>
      <c r="E41" s="94" t="n">
        <f aca="false">VLOOKUP($D41,tblPriorPrice,2)</f>
        <v>194</v>
      </c>
      <c r="F41" s="162" t="n">
        <f aca="false">[3]TradeSum!$H19</f>
        <v>-5</v>
      </c>
      <c r="G41" s="96" t="n">
        <f aca="false">E41+F41</f>
        <v>189</v>
      </c>
      <c r="H41" s="96" t="n">
        <f aca="true">G41+OFFSET($CU$4,$B41,$C41)</f>
        <v>184</v>
      </c>
      <c r="I41" s="96" t="n">
        <f aca="true">G41+OFFSET($DI$4,$B41,$C41)</f>
        <v>214</v>
      </c>
      <c r="J41" s="94" t="n">
        <f aca="false">VLOOKUP($D41,tblPriorPrice,3)</f>
        <v>66</v>
      </c>
      <c r="K41" s="162" t="n">
        <f aca="false">[3]TradeSum!$R63</f>
        <v>0</v>
      </c>
      <c r="L41" s="96" t="n">
        <f aca="false">J41+K41</f>
        <v>66</v>
      </c>
      <c r="M41" s="96" t="n">
        <f aca="true">$L41+OFFSET($CU$27,$B41,$C41)</f>
        <v>61</v>
      </c>
      <c r="N41" s="97" t="n">
        <f aca="true">$L41+OFFSET($DI$27,$B41,$C41)</f>
        <v>71</v>
      </c>
      <c r="O41" s="59" t="n">
        <f aca="true">IF($A41="",0,INDEX(tblPosn,$A41,2))</f>
        <v>61197.640625</v>
      </c>
      <c r="P41" s="59" t="n">
        <f aca="true">IF($A41="",0,INDEX(tblPosn,$A41,3))</f>
        <v>48313.9296875</v>
      </c>
      <c r="Q41" s="59" t="n">
        <f aca="true">IF($A41="",0,INDEX(tblPosn,$A41,4))</f>
        <v>16104.642578125</v>
      </c>
      <c r="R41" s="59" t="n">
        <f aca="true">IF($A41="",0,INDEX(tblPosn,$A41,5))</f>
        <v>19325.5703125</v>
      </c>
      <c r="S41" s="59" t="n">
        <f aca="true">IF($A41="",0,INDEX(tblPosn,$A41,6))</f>
        <v>0</v>
      </c>
      <c r="T41" s="98" t="n">
        <f aca="false">O41*F41+P41*K41+R41*AC41+S41*AH41/0.72+Q41*X41</f>
        <v>-483139.267578125</v>
      </c>
      <c r="V41" s="161" t="n">
        <f aca="false">D41</f>
        <v>37135</v>
      </c>
      <c r="W41" s="94" t="n">
        <f aca="false">VLOOKUP($D41,tblPriorPrice,4)</f>
        <v>148</v>
      </c>
      <c r="X41" s="162" t="n">
        <f aca="false">[3]TradeSum!$H19</f>
        <v>-5</v>
      </c>
      <c r="Y41" s="176" t="n">
        <f aca="false">W41+X41</f>
        <v>143</v>
      </c>
      <c r="Z41" s="96" t="n">
        <f aca="true">Y41+OFFSET($CU$51,$B41,$C41)</f>
        <v>138</v>
      </c>
      <c r="AA41" s="177" t="n">
        <f aca="true">Y41+OFFSET($DI$51,$B41,$C41)</f>
        <v>158</v>
      </c>
      <c r="AB41" s="94" t="n">
        <f aca="false">VLOOKUP($D41,tblPriorPrice,5)</f>
        <v>132</v>
      </c>
      <c r="AC41" s="162" t="n">
        <f aca="false">[3]TradeSum!$H19</f>
        <v>-5</v>
      </c>
      <c r="AD41" s="176" t="n">
        <f aca="false">AB41+AC41</f>
        <v>127</v>
      </c>
      <c r="AE41" s="96" t="n">
        <f aca="true">AD41+OFFSET($CU$74,$B41,$C41)</f>
        <v>122</v>
      </c>
      <c r="AF41" s="177" t="n">
        <f aca="true">AD41+OFFSET($DI$74,$B41,$C41)</f>
        <v>142</v>
      </c>
      <c r="AG41" s="94" t="n">
        <f aca="false">VLOOKUP($D41,tblPriorPrice,6)</f>
        <v>1</v>
      </c>
      <c r="AH41" s="182"/>
      <c r="AI41" s="163" t="n">
        <f aca="false">AG41+AH41</f>
        <v>1</v>
      </c>
      <c r="AJ41" s="96" t="n">
        <f aca="false">AI41</f>
        <v>1</v>
      </c>
      <c r="AK41" s="97" t="n">
        <f aca="false">AI41</f>
        <v>1</v>
      </c>
      <c r="AL41" s="178" t="n">
        <v>4</v>
      </c>
      <c r="AM41" s="165" t="n">
        <v>0.1</v>
      </c>
      <c r="AN41" s="167" t="n">
        <f aca="false">'[3]Pricing Summary'!$AM19</f>
        <v>0.4775</v>
      </c>
      <c r="AO41" s="167" t="n">
        <f aca="false">0.9*AN41</f>
        <v>0.42975</v>
      </c>
      <c r="AP41" s="166" t="n">
        <f aca="false">1.5*AN41</f>
        <v>0.71625</v>
      </c>
      <c r="AQ41" s="167" t="n">
        <f aca="false">AN41</f>
        <v>0.4775</v>
      </c>
      <c r="AR41" s="166" t="n">
        <f aca="false">0.8*AQ41</f>
        <v>0.382</v>
      </c>
      <c r="AS41" s="166" t="n">
        <f aca="false">1.2*AQ41</f>
        <v>0.573</v>
      </c>
      <c r="AT41" s="169" t="n">
        <f aca="false">IF(G41&lt;110,17.94063*(LN(G41/100))+6.727568*(LN(G41/100)^2)+15.06494,(-4.1*G41+2135)/100)*0.5</f>
        <v>6.8005</v>
      </c>
      <c r="AU41" s="169" t="n">
        <f aca="false">(0.75*AT41-AT41)</f>
        <v>-1.700125</v>
      </c>
      <c r="AV41" s="166" t="n">
        <f aca="false">AT41/0.5*1.25-AT41</f>
        <v>10.20075</v>
      </c>
      <c r="AW41" s="168" t="n">
        <f aca="false">IF(L41&lt;15,(15*L41+375)/100,(-4.71*L41+670.65)/100)*0.5</f>
        <v>1.79895</v>
      </c>
      <c r="AX41" s="166" t="n">
        <f aca="false">0.75*AW41-AW41</f>
        <v>-0.4497375</v>
      </c>
      <c r="AY41" s="166" t="n">
        <f aca="false">AW41/0.5*1.25-AW41</f>
        <v>2.698425</v>
      </c>
      <c r="AZ41" s="167" t="n">
        <v>0.5</v>
      </c>
      <c r="BA41" s="74"/>
      <c r="BB41" s="161" t="n">
        <f aca="false">EOMONTH(BB40,0)+1</f>
        <v>37104</v>
      </c>
      <c r="BC41" s="183"/>
      <c r="BD41" s="183"/>
      <c r="BE41" s="183"/>
      <c r="BF41" s="183"/>
      <c r="BG41" s="183"/>
      <c r="BH41" s="184"/>
      <c r="BI41" s="183"/>
      <c r="BJ41" s="183"/>
      <c r="BK41" s="183"/>
      <c r="BL41" s="183"/>
      <c r="BM41" s="183"/>
      <c r="BN41" s="184"/>
      <c r="BQ41" s="108" t="n">
        <v>36907.7428240741</v>
      </c>
      <c r="BR41" s="109" t="n">
        <v>36907.743287037</v>
      </c>
      <c r="BS41" s="110" t="n">
        <v>37073</v>
      </c>
      <c r="BT41" s="111" t="n">
        <v>68225.9140625</v>
      </c>
      <c r="BU41" s="112" t="n">
        <v>50357.2265625</v>
      </c>
      <c r="BV41" s="112" t="n">
        <v>12995.412109375</v>
      </c>
      <c r="BW41" s="112" t="n">
        <v>19493.119140625</v>
      </c>
      <c r="BX41" s="113" t="n">
        <v>0</v>
      </c>
      <c r="BZ41" s="110" t="n">
        <v>37135</v>
      </c>
      <c r="CA41" s="185" t="n">
        <v>194</v>
      </c>
      <c r="CB41" s="116" t="n">
        <v>66</v>
      </c>
      <c r="CC41" s="181" t="n">
        <v>148</v>
      </c>
      <c r="CD41" s="181" t="n">
        <v>132</v>
      </c>
      <c r="CE41" s="117" t="n">
        <v>1</v>
      </c>
      <c r="CG41" s="135" t="n">
        <f aca="false">BB23</f>
        <v>2014</v>
      </c>
      <c r="CH41" s="137" t="n">
        <v>0</v>
      </c>
      <c r="CI41" s="137" t="n">
        <v>0</v>
      </c>
      <c r="CJ41" s="137" t="n">
        <v>0</v>
      </c>
      <c r="CK41" s="137" t="n">
        <v>0</v>
      </c>
      <c r="CL41" s="137" t="n">
        <v>0</v>
      </c>
      <c r="CM41" s="137" t="n">
        <v>0</v>
      </c>
      <c r="CN41" s="137" t="n">
        <v>0</v>
      </c>
      <c r="CO41" s="137" t="n">
        <v>0</v>
      </c>
      <c r="CP41" s="137" t="n">
        <v>0</v>
      </c>
      <c r="CQ41" s="137" t="n">
        <v>0</v>
      </c>
      <c r="CR41" s="137" t="n">
        <v>0</v>
      </c>
      <c r="CS41" s="138" t="n">
        <v>0</v>
      </c>
      <c r="CU41" s="135" t="n">
        <f aca="false">BB23</f>
        <v>2014</v>
      </c>
      <c r="CV41" s="136" t="n">
        <v>-5</v>
      </c>
      <c r="CW41" s="137" t="n">
        <v>-5</v>
      </c>
      <c r="CX41" s="137" t="n">
        <v>-5</v>
      </c>
      <c r="CY41" s="137" t="n">
        <v>-5</v>
      </c>
      <c r="CZ41" s="137" t="n">
        <v>-5</v>
      </c>
      <c r="DA41" s="137" t="n">
        <v>-5</v>
      </c>
      <c r="DB41" s="137" t="n">
        <v>-5</v>
      </c>
      <c r="DC41" s="137" t="n">
        <v>-5</v>
      </c>
      <c r="DD41" s="137" t="n">
        <v>-5</v>
      </c>
      <c r="DE41" s="137" t="n">
        <v>-5</v>
      </c>
      <c r="DF41" s="137" t="n">
        <v>-5</v>
      </c>
      <c r="DG41" s="138" t="n">
        <v>-5</v>
      </c>
      <c r="DI41" s="135" t="n">
        <f aca="false">BB23</f>
        <v>2014</v>
      </c>
      <c r="DJ41" s="136" t="n">
        <v>18</v>
      </c>
      <c r="DK41" s="137" t="n">
        <v>18</v>
      </c>
      <c r="DL41" s="137" t="n">
        <v>18</v>
      </c>
      <c r="DM41" s="137" t="n">
        <v>18</v>
      </c>
      <c r="DN41" s="137" t="n">
        <v>18</v>
      </c>
      <c r="DO41" s="137" t="n">
        <v>18</v>
      </c>
      <c r="DP41" s="137" t="n">
        <v>18</v>
      </c>
      <c r="DQ41" s="137" t="n">
        <v>18</v>
      </c>
      <c r="DR41" s="137" t="n">
        <v>18</v>
      </c>
      <c r="DS41" s="137" t="n">
        <v>18</v>
      </c>
      <c r="DT41" s="137" t="n">
        <v>18</v>
      </c>
      <c r="DU41" s="138" t="n">
        <v>18</v>
      </c>
    </row>
    <row r="42" customFormat="false" ht="12.75" hidden="false" customHeight="false" outlineLevel="0" collapsed="false">
      <c r="A42" s="0" t="n">
        <f aca="true">IF(ISERROR(MATCH(D42,iRefDt,0)),"",MATCH(D42,iRefDt,0))</f>
        <v>42</v>
      </c>
      <c r="B42" s="92" t="n">
        <f aca="false">MATCH(YEAR(D42),iSpreads)</f>
        <v>1</v>
      </c>
      <c r="C42" s="0" t="n">
        <f aca="false">MONTH(D42)</f>
        <v>10</v>
      </c>
      <c r="D42" s="93" t="n">
        <f aca="false">DATE(YEAR(D41),MONTH(D41)+1,1)</f>
        <v>37165</v>
      </c>
      <c r="E42" s="94" t="n">
        <f aca="false">VLOOKUP($D42,tblPriorPrice,2)</f>
        <v>169</v>
      </c>
      <c r="F42" s="162" t="n">
        <f aca="false">[3]TradeSum!$H20</f>
        <v>-2</v>
      </c>
      <c r="G42" s="96" t="n">
        <f aca="false">E42+F42</f>
        <v>167</v>
      </c>
      <c r="H42" s="96" t="n">
        <f aca="true">G42+OFFSET($CU$4,$B42,$C42)</f>
        <v>162</v>
      </c>
      <c r="I42" s="96" t="n">
        <f aca="true">G42+OFFSET($DI$4,$B42,$C42)</f>
        <v>192</v>
      </c>
      <c r="J42" s="94" t="n">
        <f aca="false">VLOOKUP($D42,tblPriorPrice,3)</f>
        <v>67</v>
      </c>
      <c r="K42" s="162" t="n">
        <f aca="false">[3]TradeSum!$R64</f>
        <v>0</v>
      </c>
      <c r="L42" s="96" t="n">
        <f aca="false">J42+K42</f>
        <v>67</v>
      </c>
      <c r="M42" s="96" t="n">
        <f aca="true">$L42+OFFSET($CU$27,$B42,$C42)</f>
        <v>62</v>
      </c>
      <c r="N42" s="97" t="n">
        <f aca="true">$L42+OFFSET($DI$27,$B42,$C42)</f>
        <v>72</v>
      </c>
      <c r="O42" s="59" t="n">
        <f aca="true">IF($A42="",0,INDEX(tblPosn,$A42,2))</f>
        <v>82636.4453125</v>
      </c>
      <c r="P42" s="59" t="n">
        <f aca="true">IF($A42="",0,INDEX(tblPosn,$A42,3))</f>
        <v>55914.3359375</v>
      </c>
      <c r="Q42" s="59" t="n">
        <f aca="true">IF($A42="",0,INDEX(tblPosn,$A42,4))</f>
        <v>14371.5556640625</v>
      </c>
      <c r="R42" s="59" t="n">
        <f aca="true">IF($A42="",0,INDEX(tblPosn,$A42,5))</f>
        <v>14371.5556640625</v>
      </c>
      <c r="S42" s="59" t="n">
        <f aca="true">IF($A42="",0,INDEX(tblPosn,$A42,6))</f>
        <v>0</v>
      </c>
      <c r="T42" s="98" t="n">
        <f aca="false">O42*F42+P42*K42+R42*AC42+S42*AH42/0.72+Q42*X42</f>
        <v>-222759.11328125</v>
      </c>
      <c r="V42" s="161" t="n">
        <f aca="false">D42</f>
        <v>37165</v>
      </c>
      <c r="W42" s="94" t="n">
        <f aca="false">VLOOKUP($D42,tblPriorPrice,4)</f>
        <v>113</v>
      </c>
      <c r="X42" s="162" t="n">
        <f aca="false">[3]TradeSum!$H20</f>
        <v>-2</v>
      </c>
      <c r="Y42" s="176" t="n">
        <f aca="false">W42+X42</f>
        <v>111</v>
      </c>
      <c r="Z42" s="96" t="n">
        <f aca="true">Y42+OFFSET($CU$51,$B42,$C42)</f>
        <v>106</v>
      </c>
      <c r="AA42" s="177" t="n">
        <f aca="true">Y42+OFFSET($DI$51,$B42,$C42)</f>
        <v>126</v>
      </c>
      <c r="AB42" s="94" t="n">
        <f aca="false">VLOOKUP($D42,tblPriorPrice,5)</f>
        <v>101</v>
      </c>
      <c r="AC42" s="162" t="n">
        <f aca="false">[3]TradeSum!$H20</f>
        <v>-2</v>
      </c>
      <c r="AD42" s="176" t="n">
        <f aca="false">AB42+AC42</f>
        <v>99</v>
      </c>
      <c r="AE42" s="96" t="n">
        <f aca="true">AD42+OFFSET($CU$74,$B42,$C42)</f>
        <v>94</v>
      </c>
      <c r="AF42" s="177" t="n">
        <f aca="true">AD42+OFFSET($DI$74,$B42,$C42)</f>
        <v>114</v>
      </c>
      <c r="AG42" s="94" t="n">
        <f aca="false">VLOOKUP($D42,tblPriorPrice,6)</f>
        <v>1</v>
      </c>
      <c r="AH42" s="182"/>
      <c r="AI42" s="163" t="n">
        <f aca="false">AG42+AH42</f>
        <v>1</v>
      </c>
      <c r="AJ42" s="96" t="n">
        <f aca="false">AI42</f>
        <v>1</v>
      </c>
      <c r="AK42" s="97" t="n">
        <f aca="false">AI42</f>
        <v>1</v>
      </c>
      <c r="AL42" s="178" t="n">
        <v>4</v>
      </c>
      <c r="AM42" s="165" t="n">
        <v>0.1</v>
      </c>
      <c r="AN42" s="167" t="n">
        <f aca="false">'[3]Pricing Summary'!$AM20</f>
        <v>0.4775</v>
      </c>
      <c r="AO42" s="167" t="n">
        <f aca="false">0.9*AN42</f>
        <v>0.42975</v>
      </c>
      <c r="AP42" s="166" t="n">
        <f aca="false">1.5*AN42</f>
        <v>0.71625</v>
      </c>
      <c r="AQ42" s="167" t="n">
        <f aca="false">AN42</f>
        <v>0.4775</v>
      </c>
      <c r="AR42" s="166" t="n">
        <f aca="false">0.8*AQ42</f>
        <v>0.382</v>
      </c>
      <c r="AS42" s="166" t="n">
        <f aca="false">1.2*AQ42</f>
        <v>0.573</v>
      </c>
      <c r="AT42" s="169" t="n">
        <f aca="false">IF(G42&lt;110,17.94063*(LN(G42/100))+6.727568*(LN(G42/100)^2)+15.06494,(-4.1*G42+2135)/100)*0.5</f>
        <v>7.2515</v>
      </c>
      <c r="AU42" s="169" t="n">
        <f aca="false">(0.75*AT42-AT42)</f>
        <v>-1.812875</v>
      </c>
      <c r="AV42" s="166" t="n">
        <f aca="false">AT42/0.5*1.25-AT42</f>
        <v>10.87725</v>
      </c>
      <c r="AW42" s="168" t="n">
        <f aca="false">IF(L42&lt;15,(15*L42+375)/100,(-4.71*L42+670.65)/100)*0.5</f>
        <v>1.7754</v>
      </c>
      <c r="AX42" s="166" t="n">
        <f aca="false">0.75*AW42-AW42</f>
        <v>-0.44385</v>
      </c>
      <c r="AY42" s="166" t="n">
        <f aca="false">AW42/0.5*1.25-AW42</f>
        <v>2.6631</v>
      </c>
      <c r="AZ42" s="167" t="n">
        <v>0.5</v>
      </c>
      <c r="BA42" s="74"/>
      <c r="BB42" s="161" t="n">
        <f aca="false">EOMONTH(BB41,0)+1</f>
        <v>37135</v>
      </c>
      <c r="BC42" s="183"/>
      <c r="BD42" s="183"/>
      <c r="BE42" s="183"/>
      <c r="BF42" s="183"/>
      <c r="BG42" s="183"/>
      <c r="BH42" s="184"/>
      <c r="BI42" s="183"/>
      <c r="BJ42" s="183"/>
      <c r="BK42" s="183"/>
      <c r="BL42" s="183"/>
      <c r="BM42" s="183"/>
      <c r="BN42" s="184"/>
      <c r="BQ42" s="108" t="n">
        <v>36907.7428240741</v>
      </c>
      <c r="BR42" s="109" t="n">
        <v>36907.743287037</v>
      </c>
      <c r="BS42" s="110" t="n">
        <v>37104</v>
      </c>
      <c r="BT42" s="111" t="n">
        <v>74463.7734375</v>
      </c>
      <c r="BU42" s="112" t="n">
        <v>50182.109375</v>
      </c>
      <c r="BV42" s="112" t="n">
        <v>12950.220703125</v>
      </c>
      <c r="BW42" s="112" t="n">
        <v>12950.220703125</v>
      </c>
      <c r="BX42" s="113" t="n">
        <v>0</v>
      </c>
      <c r="BZ42" s="110" t="n">
        <v>37165</v>
      </c>
      <c r="CA42" s="185" t="n">
        <v>169</v>
      </c>
      <c r="CB42" s="116" t="n">
        <v>67</v>
      </c>
      <c r="CC42" s="181" t="n">
        <v>113</v>
      </c>
      <c r="CD42" s="181" t="n">
        <v>101</v>
      </c>
      <c r="CE42" s="117" t="n">
        <v>1</v>
      </c>
      <c r="CG42" s="135" t="n">
        <f aca="false">BB24</f>
        <v>2015</v>
      </c>
      <c r="CH42" s="137" t="n">
        <v>0</v>
      </c>
      <c r="CI42" s="137" t="n">
        <v>0</v>
      </c>
      <c r="CJ42" s="137" t="n">
        <v>0</v>
      </c>
      <c r="CK42" s="137" t="n">
        <v>0</v>
      </c>
      <c r="CL42" s="137" t="n">
        <v>0</v>
      </c>
      <c r="CM42" s="137" t="n">
        <v>0</v>
      </c>
      <c r="CN42" s="137" t="n">
        <v>0</v>
      </c>
      <c r="CO42" s="137" t="n">
        <v>0</v>
      </c>
      <c r="CP42" s="137" t="n">
        <v>0</v>
      </c>
      <c r="CQ42" s="137" t="n">
        <v>0</v>
      </c>
      <c r="CR42" s="137" t="n">
        <v>0</v>
      </c>
      <c r="CS42" s="138" t="n">
        <v>0</v>
      </c>
      <c r="CU42" s="135" t="n">
        <f aca="false">BB24</f>
        <v>2015</v>
      </c>
      <c r="CV42" s="136" t="n">
        <v>-5</v>
      </c>
      <c r="CW42" s="137" t="n">
        <v>-5</v>
      </c>
      <c r="CX42" s="137" t="n">
        <v>-5</v>
      </c>
      <c r="CY42" s="137" t="n">
        <v>-5</v>
      </c>
      <c r="CZ42" s="137" t="n">
        <v>-5</v>
      </c>
      <c r="DA42" s="137" t="n">
        <v>-5</v>
      </c>
      <c r="DB42" s="137" t="n">
        <v>-5</v>
      </c>
      <c r="DC42" s="137" t="n">
        <v>-5</v>
      </c>
      <c r="DD42" s="137" t="n">
        <v>-5</v>
      </c>
      <c r="DE42" s="137" t="n">
        <v>-5</v>
      </c>
      <c r="DF42" s="137" t="n">
        <v>-5</v>
      </c>
      <c r="DG42" s="138" t="n">
        <v>-5</v>
      </c>
      <c r="DI42" s="135" t="n">
        <f aca="false">BB24</f>
        <v>2015</v>
      </c>
      <c r="DJ42" s="136" t="n">
        <v>19</v>
      </c>
      <c r="DK42" s="137" t="n">
        <v>19</v>
      </c>
      <c r="DL42" s="137" t="n">
        <v>19</v>
      </c>
      <c r="DM42" s="137" t="n">
        <v>19</v>
      </c>
      <c r="DN42" s="137" t="n">
        <v>19</v>
      </c>
      <c r="DO42" s="137" t="n">
        <v>19</v>
      </c>
      <c r="DP42" s="137" t="n">
        <v>19</v>
      </c>
      <c r="DQ42" s="137" t="n">
        <v>19</v>
      </c>
      <c r="DR42" s="137" t="n">
        <v>19</v>
      </c>
      <c r="DS42" s="137" t="n">
        <v>19</v>
      </c>
      <c r="DT42" s="137" t="n">
        <v>19</v>
      </c>
      <c r="DU42" s="138" t="n">
        <v>19</v>
      </c>
    </row>
    <row r="43" customFormat="false" ht="12.75" hidden="false" customHeight="false" outlineLevel="0" collapsed="false">
      <c r="A43" s="0" t="n">
        <f aca="true">IF(ISERROR(MATCH(D43,iRefDt,0)),"",MATCH(D43,iRefDt,0))</f>
        <v>43</v>
      </c>
      <c r="B43" s="92" t="n">
        <f aca="false">MATCH(YEAR(D43),iSpreads)</f>
        <v>1</v>
      </c>
      <c r="C43" s="0" t="n">
        <f aca="false">MONTH(D43)</f>
        <v>11</v>
      </c>
      <c r="D43" s="93" t="n">
        <f aca="false">DATE(YEAR(D42),MONTH(D42)+1,1)</f>
        <v>37196</v>
      </c>
      <c r="E43" s="94" t="n">
        <f aca="false">VLOOKUP($D43,tblPriorPrice,2)</f>
        <v>140</v>
      </c>
      <c r="F43" s="162" t="n">
        <f aca="false">[3]TradeSum!$H21</f>
        <v>-2</v>
      </c>
      <c r="G43" s="96" t="n">
        <f aca="false">E43+F43</f>
        <v>138</v>
      </c>
      <c r="H43" s="96" t="n">
        <f aca="true">G43+OFFSET($CU$4,$B43,$C43)</f>
        <v>133</v>
      </c>
      <c r="I43" s="96" t="n">
        <f aca="true">G43+OFFSET($DI$4,$B43,$C43)</f>
        <v>163</v>
      </c>
      <c r="J43" s="94" t="n">
        <f aca="false">VLOOKUP($D43,tblPriorPrice,3)</f>
        <v>66</v>
      </c>
      <c r="K43" s="162" t="n">
        <f aca="false">[3]TradeSum!$R65</f>
        <v>0</v>
      </c>
      <c r="L43" s="96" t="n">
        <f aca="false">J43+K43</f>
        <v>66</v>
      </c>
      <c r="M43" s="96" t="n">
        <f aca="true">$L43+OFFSET($CU$27,$B43,$C43)</f>
        <v>61</v>
      </c>
      <c r="N43" s="97" t="n">
        <f aca="true">$L43+OFFSET($DI$27,$B43,$C43)</f>
        <v>71</v>
      </c>
      <c r="O43" s="59" t="n">
        <f aca="true">IF($A43="",0,INDEX(tblPosn,$A43,2))</f>
        <v>75146.5078125</v>
      </c>
      <c r="P43" s="59" t="n">
        <f aca="true">IF($A43="",0,INDEX(tblPosn,$A43,3))</f>
        <v>53484.95703125</v>
      </c>
      <c r="Q43" s="59" t="n">
        <f aca="true">IF($A43="",0,INDEX(tblPosn,$A43,4))</f>
        <v>14313.62109375</v>
      </c>
      <c r="R43" s="59" t="n">
        <f aca="true">IF($A43="",0,INDEX(tblPosn,$A43,5))</f>
        <v>17509.775390625</v>
      </c>
      <c r="S43" s="59" t="n">
        <f aca="true">IF($A43="",0,INDEX(tblPosn,$A43,6))</f>
        <v>0</v>
      </c>
      <c r="T43" s="98" t="n">
        <f aca="false">O43*F43+P43*K43+R43*AC43+S43*AH43/0.72+Q43*X43</f>
        <v>-213939.80859375</v>
      </c>
      <c r="V43" s="161" t="n">
        <f aca="false">D43</f>
        <v>37196</v>
      </c>
      <c r="W43" s="94" t="n">
        <f aca="false">VLOOKUP($D43,tblPriorPrice,4)</f>
        <v>95</v>
      </c>
      <c r="X43" s="162" t="n">
        <f aca="false">[3]TradeSum!$H21</f>
        <v>-2</v>
      </c>
      <c r="Y43" s="176" t="n">
        <f aca="false">W43+X43</f>
        <v>93</v>
      </c>
      <c r="Z43" s="96" t="n">
        <f aca="true">Y43+OFFSET($CU$51,$B43,$C43)</f>
        <v>88</v>
      </c>
      <c r="AA43" s="177" t="n">
        <f aca="true">Y43+OFFSET($DI$51,$B43,$C43)</f>
        <v>108</v>
      </c>
      <c r="AB43" s="94" t="n">
        <f aca="false">VLOOKUP($D43,tblPriorPrice,5)</f>
        <v>84</v>
      </c>
      <c r="AC43" s="162" t="n">
        <f aca="false">[3]TradeSum!$H21</f>
        <v>-2</v>
      </c>
      <c r="AD43" s="176" t="n">
        <f aca="false">AB43+AC43</f>
        <v>82</v>
      </c>
      <c r="AE43" s="96" t="n">
        <f aca="true">AD43+OFFSET($CU$74,$B43,$C43)</f>
        <v>77</v>
      </c>
      <c r="AF43" s="177" t="n">
        <f aca="true">AD43+OFFSET($DI$74,$B43,$C43)</f>
        <v>97</v>
      </c>
      <c r="AG43" s="94" t="n">
        <f aca="false">VLOOKUP($D43,tblPriorPrice,6)</f>
        <v>1</v>
      </c>
      <c r="AH43" s="182"/>
      <c r="AI43" s="163" t="n">
        <f aca="false">AG43+AH43</f>
        <v>1</v>
      </c>
      <c r="AJ43" s="96" t="n">
        <f aca="false">AI43</f>
        <v>1</v>
      </c>
      <c r="AK43" s="97" t="n">
        <f aca="false">AI43</f>
        <v>1</v>
      </c>
      <c r="AL43" s="178" t="n">
        <v>4</v>
      </c>
      <c r="AM43" s="165" t="n">
        <v>0.1</v>
      </c>
      <c r="AN43" s="167" t="n">
        <f aca="false">'[3]Pricing Summary'!$AM21</f>
        <v>0.4825</v>
      </c>
      <c r="AO43" s="167" t="n">
        <f aca="false">0.9*AN43</f>
        <v>0.43425</v>
      </c>
      <c r="AP43" s="166" t="n">
        <f aca="false">1.5*AN43</f>
        <v>0.72375</v>
      </c>
      <c r="AQ43" s="167" t="n">
        <f aca="false">AN43</f>
        <v>0.4825</v>
      </c>
      <c r="AR43" s="166" t="n">
        <f aca="false">0.8*AQ43</f>
        <v>0.386</v>
      </c>
      <c r="AS43" s="166" t="n">
        <f aca="false">1.2*AQ43</f>
        <v>0.579</v>
      </c>
      <c r="AT43" s="169" t="n">
        <f aca="false">IF(G43&lt;110,17.94063*(LN(G43/100))+6.727568*(LN(G43/100)^2)+15.06494,(-4.1*G43+2135)/100)*0.5</f>
        <v>7.846</v>
      </c>
      <c r="AU43" s="169" t="n">
        <f aca="false">(0.75*AT43-AT43)</f>
        <v>-1.9615</v>
      </c>
      <c r="AV43" s="166" t="n">
        <f aca="false">AT43/0.5*1.25-AT43</f>
        <v>11.769</v>
      </c>
      <c r="AW43" s="168" t="n">
        <f aca="false">IF(L43&lt;15,(15*L43+375)/100,(-4.71*L43+670.65)/100)*0.5</f>
        <v>1.79895</v>
      </c>
      <c r="AX43" s="166" t="n">
        <f aca="false">0.75*AW43-AW43</f>
        <v>-0.4497375</v>
      </c>
      <c r="AY43" s="166" t="n">
        <f aca="false">AW43/0.5*1.25-AW43</f>
        <v>2.698425</v>
      </c>
      <c r="AZ43" s="167" t="n">
        <v>0.5</v>
      </c>
      <c r="BA43" s="74"/>
      <c r="BB43" s="161" t="n">
        <f aca="false">EOMONTH(BB42,0)+1</f>
        <v>37165</v>
      </c>
      <c r="BC43" s="183"/>
      <c r="BD43" s="183"/>
      <c r="BE43" s="183"/>
      <c r="BF43" s="183"/>
      <c r="BG43" s="183"/>
      <c r="BH43" s="184"/>
      <c r="BI43" s="183"/>
      <c r="BJ43" s="183"/>
      <c r="BK43" s="183"/>
      <c r="BL43" s="183"/>
      <c r="BM43" s="183"/>
      <c r="BN43" s="184"/>
      <c r="BQ43" s="108" t="n">
        <v>36907.7428240741</v>
      </c>
      <c r="BR43" s="109" t="n">
        <v>36907.743287037</v>
      </c>
      <c r="BS43" s="110" t="n">
        <v>37135</v>
      </c>
      <c r="BT43" s="111" t="n">
        <v>61197.640625</v>
      </c>
      <c r="BU43" s="112" t="n">
        <v>48313.9296875</v>
      </c>
      <c r="BV43" s="112" t="n">
        <v>16104.642578125</v>
      </c>
      <c r="BW43" s="112" t="n">
        <v>19325.5703125</v>
      </c>
      <c r="BX43" s="113" t="n">
        <v>0</v>
      </c>
      <c r="BZ43" s="110" t="n">
        <v>37196</v>
      </c>
      <c r="CA43" s="185" t="n">
        <v>140</v>
      </c>
      <c r="CB43" s="116" t="n">
        <v>66</v>
      </c>
      <c r="CC43" s="181" t="n">
        <v>95</v>
      </c>
      <c r="CD43" s="181" t="n">
        <v>84</v>
      </c>
      <c r="CE43" s="117" t="n">
        <v>1</v>
      </c>
      <c r="CG43" s="135" t="n">
        <f aca="false">BB25</f>
        <v>2016</v>
      </c>
      <c r="CH43" s="137" t="n">
        <v>0</v>
      </c>
      <c r="CI43" s="137" t="n">
        <v>0</v>
      </c>
      <c r="CJ43" s="137" t="n">
        <v>0</v>
      </c>
      <c r="CK43" s="137" t="n">
        <v>0</v>
      </c>
      <c r="CL43" s="137" t="n">
        <v>0</v>
      </c>
      <c r="CM43" s="137" t="n">
        <v>0</v>
      </c>
      <c r="CN43" s="137" t="n">
        <v>0</v>
      </c>
      <c r="CO43" s="137" t="n">
        <v>0</v>
      </c>
      <c r="CP43" s="137" t="n">
        <v>0</v>
      </c>
      <c r="CQ43" s="137" t="n">
        <v>0</v>
      </c>
      <c r="CR43" s="137" t="n">
        <v>0</v>
      </c>
      <c r="CS43" s="138" t="n">
        <v>0</v>
      </c>
      <c r="CU43" s="135" t="n">
        <f aca="false">BB25</f>
        <v>2016</v>
      </c>
      <c r="CV43" s="136" t="n">
        <v>-5</v>
      </c>
      <c r="CW43" s="137" t="n">
        <v>-5</v>
      </c>
      <c r="CX43" s="137" t="n">
        <v>-5</v>
      </c>
      <c r="CY43" s="137" t="n">
        <v>-5</v>
      </c>
      <c r="CZ43" s="137" t="n">
        <v>-5</v>
      </c>
      <c r="DA43" s="137" t="n">
        <v>-5</v>
      </c>
      <c r="DB43" s="137" t="n">
        <v>-5</v>
      </c>
      <c r="DC43" s="137" t="n">
        <v>-5</v>
      </c>
      <c r="DD43" s="137" t="n">
        <v>-5</v>
      </c>
      <c r="DE43" s="137" t="n">
        <v>-5</v>
      </c>
      <c r="DF43" s="137" t="n">
        <v>-5</v>
      </c>
      <c r="DG43" s="138" t="n">
        <v>-5</v>
      </c>
      <c r="DI43" s="135" t="n">
        <f aca="false">BB25</f>
        <v>2016</v>
      </c>
      <c r="DJ43" s="136" t="n">
        <v>20</v>
      </c>
      <c r="DK43" s="137" t="n">
        <v>20</v>
      </c>
      <c r="DL43" s="137" t="n">
        <v>20</v>
      </c>
      <c r="DM43" s="137" t="n">
        <v>20</v>
      </c>
      <c r="DN43" s="137" t="n">
        <v>20</v>
      </c>
      <c r="DO43" s="137" t="n">
        <v>20</v>
      </c>
      <c r="DP43" s="137" t="n">
        <v>20</v>
      </c>
      <c r="DQ43" s="137" t="n">
        <v>20</v>
      </c>
      <c r="DR43" s="137" t="n">
        <v>20</v>
      </c>
      <c r="DS43" s="137" t="n">
        <v>20</v>
      </c>
      <c r="DT43" s="137" t="n">
        <v>20</v>
      </c>
      <c r="DU43" s="138" t="n">
        <v>20</v>
      </c>
    </row>
    <row r="44" customFormat="false" ht="12.75" hidden="false" customHeight="false" outlineLevel="0" collapsed="false">
      <c r="A44" s="0" t="n">
        <f aca="true">IF(ISERROR(MATCH(D44,iRefDt,0)),"",MATCH(D44,iRefDt,0))</f>
        <v>44</v>
      </c>
      <c r="B44" s="92" t="n">
        <f aca="false">MATCH(YEAR(D44),iSpreads)</f>
        <v>1</v>
      </c>
      <c r="C44" s="0" t="n">
        <f aca="false">MONTH(D44)</f>
        <v>12</v>
      </c>
      <c r="D44" s="93" t="n">
        <f aca="false">DATE(YEAR(D43),MONTH(D43)+1,1)</f>
        <v>37226</v>
      </c>
      <c r="E44" s="94" t="n">
        <f aca="false">VLOOKUP($D44,tblPriorPrice,2)</f>
        <v>157</v>
      </c>
      <c r="F44" s="162" t="n">
        <f aca="false">[3]TradeSum!$H22</f>
        <v>-2</v>
      </c>
      <c r="G44" s="96" t="n">
        <f aca="false">E44+F44</f>
        <v>155</v>
      </c>
      <c r="H44" s="96" t="n">
        <f aca="true">G44+OFFSET($CU$4,$B44,$C44)</f>
        <v>150</v>
      </c>
      <c r="I44" s="96" t="n">
        <f aca="true">G44+OFFSET($DI$4,$B44,$C44)</f>
        <v>180</v>
      </c>
      <c r="J44" s="94" t="n">
        <f aca="false">VLOOKUP($D44,tblPriorPrice,3)</f>
        <v>65</v>
      </c>
      <c r="K44" s="162" t="n">
        <f aca="false">[3]TradeSum!$R66</f>
        <v>0</v>
      </c>
      <c r="L44" s="96" t="n">
        <f aca="false">J44+K44</f>
        <v>65</v>
      </c>
      <c r="M44" s="96" t="n">
        <f aca="true">$L44+OFFSET($CU$27,$B44,$C44)</f>
        <v>60</v>
      </c>
      <c r="N44" s="97" t="n">
        <f aca="true">$L44+OFFSET($DI$27,$B44,$C44)</f>
        <v>70</v>
      </c>
      <c r="O44" s="59" t="n">
        <f aca="true">IF($A44="",0,INDEX(tblPosn,$A44,2))</f>
        <v>71278.78125</v>
      </c>
      <c r="P44" s="59" t="n">
        <f aca="true">IF($A44="",0,INDEX(tblPosn,$A44,3))</f>
        <v>55050.7578125</v>
      </c>
      <c r="Q44" s="59" t="n">
        <f aca="true">IF($A44="",0,INDEX(tblPosn,$A44,4))</f>
        <v>17819.6953125</v>
      </c>
      <c r="R44" s="59" t="n">
        <f aca="true">IF($A44="",0,INDEX(tblPosn,$A44,5))</f>
        <v>21003.03125</v>
      </c>
      <c r="S44" s="59" t="n">
        <f aca="true">IF($A44="",0,INDEX(tblPosn,$A44,6))</f>
        <v>0</v>
      </c>
      <c r="T44" s="98" t="n">
        <f aca="false">O44*F44+P44*K44+R44*AC44+S44*AH44/0.72+Q44*X44</f>
        <v>-220203.015625</v>
      </c>
      <c r="V44" s="161" t="n">
        <f aca="false">D44</f>
        <v>37226</v>
      </c>
      <c r="W44" s="94" t="n">
        <f aca="false">VLOOKUP($D44,tblPriorPrice,4)</f>
        <v>119</v>
      </c>
      <c r="X44" s="162" t="n">
        <f aca="false">[3]TradeSum!$H22</f>
        <v>-2</v>
      </c>
      <c r="Y44" s="176" t="n">
        <f aca="false">W44+X44</f>
        <v>117</v>
      </c>
      <c r="Z44" s="96" t="n">
        <f aca="true">Y44+OFFSET($CU$51,$B44,$C44)</f>
        <v>112</v>
      </c>
      <c r="AA44" s="177" t="n">
        <f aca="true">Y44+OFFSET($DI$51,$B44,$C44)</f>
        <v>132</v>
      </c>
      <c r="AB44" s="94" t="n">
        <f aca="false">VLOOKUP($D44,tblPriorPrice,5)</f>
        <v>106</v>
      </c>
      <c r="AC44" s="162" t="n">
        <f aca="false">[3]TradeSum!$H22</f>
        <v>-2</v>
      </c>
      <c r="AD44" s="176" t="n">
        <f aca="false">AB44+AC44</f>
        <v>104</v>
      </c>
      <c r="AE44" s="96" t="n">
        <f aca="true">AD44+OFFSET($CU$74,$B44,$C44)</f>
        <v>99</v>
      </c>
      <c r="AF44" s="177" t="n">
        <f aca="true">AD44+OFFSET($DI$74,$B44,$C44)</f>
        <v>119</v>
      </c>
      <c r="AG44" s="94" t="n">
        <f aca="false">VLOOKUP($D44,tblPriorPrice,6)</f>
        <v>1</v>
      </c>
      <c r="AH44" s="182"/>
      <c r="AI44" s="163" t="n">
        <f aca="false">AG44+AH44</f>
        <v>1</v>
      </c>
      <c r="AJ44" s="96" t="n">
        <f aca="false">AI44</f>
        <v>1</v>
      </c>
      <c r="AK44" s="97" t="n">
        <f aca="false">AI44</f>
        <v>1</v>
      </c>
      <c r="AL44" s="178" t="n">
        <v>5</v>
      </c>
      <c r="AM44" s="165" t="n">
        <v>0.1</v>
      </c>
      <c r="AN44" s="167" t="n">
        <f aca="false">'[3]Pricing Summary'!$AM22</f>
        <v>0.4825</v>
      </c>
      <c r="AO44" s="167" t="n">
        <f aca="false">0.9*AN44</f>
        <v>0.43425</v>
      </c>
      <c r="AP44" s="166" t="n">
        <f aca="false">1.5*AN44</f>
        <v>0.72375</v>
      </c>
      <c r="AQ44" s="167" t="n">
        <f aca="false">AN44</f>
        <v>0.4825</v>
      </c>
      <c r="AR44" s="166" t="n">
        <f aca="false">0.8*AQ44</f>
        <v>0.386</v>
      </c>
      <c r="AS44" s="166" t="n">
        <f aca="false">1.2*AQ44</f>
        <v>0.579</v>
      </c>
      <c r="AT44" s="169" t="n">
        <f aca="false">IF(G44&lt;110,17.94063*(LN(G44/100))+6.727568*(LN(G44/100)^2)+15.06494,(-4.1*G44+2135)/100)*0.5</f>
        <v>7.4975</v>
      </c>
      <c r="AU44" s="169" t="n">
        <f aca="false">(0.75*AT44-AT44)</f>
        <v>-1.874375</v>
      </c>
      <c r="AV44" s="166" t="n">
        <f aca="false">AT44/0.5*1.25-AT44</f>
        <v>11.24625</v>
      </c>
      <c r="AW44" s="168" t="n">
        <f aca="false">IF(L44&lt;15,(15*L44+375)/100,(-4.71*L44+670.65)/100)*0.5</f>
        <v>1.8225</v>
      </c>
      <c r="AX44" s="166" t="n">
        <f aca="false">0.75*AW44-AW44</f>
        <v>-0.455625</v>
      </c>
      <c r="AY44" s="166" t="n">
        <f aca="false">AW44/0.5*1.25-AW44</f>
        <v>2.73375</v>
      </c>
      <c r="AZ44" s="167" t="n">
        <v>0.5</v>
      </c>
      <c r="BA44" s="74"/>
      <c r="BB44" s="161" t="n">
        <f aca="false">EOMONTH(BB43,0)+1</f>
        <v>37196</v>
      </c>
      <c r="BC44" s="183"/>
      <c r="BD44" s="183"/>
      <c r="BE44" s="183"/>
      <c r="BF44" s="183"/>
      <c r="BG44" s="183"/>
      <c r="BH44" s="184"/>
      <c r="BI44" s="183"/>
      <c r="BJ44" s="183"/>
      <c r="BK44" s="183"/>
      <c r="BL44" s="183"/>
      <c r="BM44" s="183"/>
      <c r="BN44" s="184"/>
      <c r="BQ44" s="108" t="n">
        <v>36907.7428240741</v>
      </c>
      <c r="BR44" s="109" t="n">
        <v>36907.743287037</v>
      </c>
      <c r="BS44" s="110" t="n">
        <v>37165</v>
      </c>
      <c r="BT44" s="111" t="n">
        <v>82636.4453125</v>
      </c>
      <c r="BU44" s="112" t="n">
        <v>55914.3359375</v>
      </c>
      <c r="BV44" s="112" t="n">
        <v>14371.5556640625</v>
      </c>
      <c r="BW44" s="112" t="n">
        <v>14371.5556640625</v>
      </c>
      <c r="BX44" s="113" t="n">
        <v>0</v>
      </c>
      <c r="BZ44" s="110" t="n">
        <v>37226</v>
      </c>
      <c r="CA44" s="185" t="n">
        <v>157</v>
      </c>
      <c r="CB44" s="116" t="n">
        <v>65</v>
      </c>
      <c r="CC44" s="181" t="n">
        <v>119</v>
      </c>
      <c r="CD44" s="181" t="n">
        <v>106</v>
      </c>
      <c r="CE44" s="117" t="n">
        <v>1</v>
      </c>
      <c r="CG44" s="135" t="n">
        <f aca="false">BB26</f>
        <v>2017</v>
      </c>
      <c r="CH44" s="137" t="n">
        <v>0</v>
      </c>
      <c r="CI44" s="137" t="n">
        <v>0</v>
      </c>
      <c r="CJ44" s="137" t="n">
        <v>0</v>
      </c>
      <c r="CK44" s="137" t="n">
        <v>0</v>
      </c>
      <c r="CL44" s="137" t="n">
        <v>0</v>
      </c>
      <c r="CM44" s="137" t="n">
        <v>0</v>
      </c>
      <c r="CN44" s="137" t="n">
        <v>0</v>
      </c>
      <c r="CO44" s="137" t="n">
        <v>0</v>
      </c>
      <c r="CP44" s="137" t="n">
        <v>0</v>
      </c>
      <c r="CQ44" s="137" t="n">
        <v>0</v>
      </c>
      <c r="CR44" s="137" t="n">
        <v>0</v>
      </c>
      <c r="CS44" s="138" t="n">
        <v>0</v>
      </c>
      <c r="CU44" s="135" t="n">
        <f aca="false">BB26</f>
        <v>2017</v>
      </c>
      <c r="CV44" s="136" t="n">
        <v>-5</v>
      </c>
      <c r="CW44" s="137" t="n">
        <v>-5</v>
      </c>
      <c r="CX44" s="137" t="n">
        <v>-5</v>
      </c>
      <c r="CY44" s="137" t="n">
        <v>-5</v>
      </c>
      <c r="CZ44" s="137" t="n">
        <v>-5</v>
      </c>
      <c r="DA44" s="137" t="n">
        <v>-5</v>
      </c>
      <c r="DB44" s="137" t="n">
        <v>-5</v>
      </c>
      <c r="DC44" s="137" t="n">
        <v>-5</v>
      </c>
      <c r="DD44" s="137" t="n">
        <v>-5</v>
      </c>
      <c r="DE44" s="137" t="n">
        <v>-5</v>
      </c>
      <c r="DF44" s="137" t="n">
        <v>-5</v>
      </c>
      <c r="DG44" s="138" t="n">
        <v>-5</v>
      </c>
      <c r="DI44" s="135" t="n">
        <f aca="false">BB26</f>
        <v>2017</v>
      </c>
      <c r="DJ44" s="136" t="n">
        <v>21</v>
      </c>
      <c r="DK44" s="137" t="n">
        <v>21</v>
      </c>
      <c r="DL44" s="137" t="n">
        <v>21</v>
      </c>
      <c r="DM44" s="137" t="n">
        <v>21</v>
      </c>
      <c r="DN44" s="137" t="n">
        <v>21</v>
      </c>
      <c r="DO44" s="137" t="n">
        <v>21</v>
      </c>
      <c r="DP44" s="137" t="n">
        <v>21</v>
      </c>
      <c r="DQ44" s="137" t="n">
        <v>21</v>
      </c>
      <c r="DR44" s="137" t="n">
        <v>21</v>
      </c>
      <c r="DS44" s="137" t="n">
        <v>21</v>
      </c>
      <c r="DT44" s="137" t="n">
        <v>21</v>
      </c>
      <c r="DU44" s="138" t="n">
        <v>21</v>
      </c>
    </row>
    <row r="45" customFormat="false" ht="12.75" hidden="false" customHeight="false" outlineLevel="0" collapsed="false">
      <c r="A45" s="0" t="n">
        <f aca="true">IF(ISERROR(MATCH(D45,iRefDt,0)),"",MATCH(D45,iRefDt,0))</f>
        <v>45</v>
      </c>
      <c r="B45" s="92" t="n">
        <f aca="false">MATCH(YEAR(D45),iSpreads)</f>
        <v>2</v>
      </c>
      <c r="C45" s="0" t="n">
        <f aca="false">MONTH(D45)</f>
        <v>1</v>
      </c>
      <c r="D45" s="93" t="n">
        <f aca="false">DATE(YEAR(D44),MONTH(D44)+1,1)</f>
        <v>37257</v>
      </c>
      <c r="E45" s="94" t="n">
        <f aca="false">VLOOKUP($D45,tblPriorPrice,2)</f>
        <v>156</v>
      </c>
      <c r="F45" s="162" t="n">
        <f aca="false">[3]TradeSum!$H23</f>
        <v>1</v>
      </c>
      <c r="G45" s="96" t="n">
        <f aca="false">E45+F45</f>
        <v>157</v>
      </c>
      <c r="H45" s="96" t="n">
        <f aca="true">G45+OFFSET($CU$4,$B45,$C45)</f>
        <v>152</v>
      </c>
      <c r="I45" s="96" t="n">
        <f aca="true">G45+OFFSET($DI$4,$B45,$C45)</f>
        <v>172</v>
      </c>
      <c r="J45" s="94" t="n">
        <f aca="false">VLOOKUP($D45,tblPriorPrice,3)</f>
        <v>62</v>
      </c>
      <c r="K45" s="162" t="n">
        <f aca="false">[3]TradeSum!$R67</f>
        <v>1</v>
      </c>
      <c r="L45" s="96" t="n">
        <f aca="false">J45+K45</f>
        <v>63</v>
      </c>
      <c r="M45" s="96" t="n">
        <f aca="true">$L45+OFFSET($CU$27,$B45,$C45)</f>
        <v>58</v>
      </c>
      <c r="N45" s="97" t="n">
        <f aca="true">$L45+OFFSET($DI$27,$B45,$C45)</f>
        <v>68</v>
      </c>
      <c r="O45" s="59" t="n">
        <f aca="true">IF($A45="",0,INDEX(tblPosn,$A45,2))</f>
        <v>151747.859375</v>
      </c>
      <c r="P45" s="59" t="n">
        <f aca="true">IF($A45="",0,INDEX(tblPosn,$A45,3))</f>
        <v>106913.265625</v>
      </c>
      <c r="Q45" s="59" t="n">
        <f aca="true">IF($A45="",0,INDEX(tblPosn,$A45,4))</f>
        <v>27590.51953125</v>
      </c>
      <c r="R45" s="59" t="n">
        <f aca="true">IF($A45="",0,INDEX(tblPosn,$A45,5))</f>
        <v>34488.1484375</v>
      </c>
      <c r="S45" s="59" t="n">
        <f aca="true">IF($A45="",0,INDEX(tblPosn,$A45,6))</f>
        <v>0</v>
      </c>
      <c r="T45" s="98" t="n">
        <f aca="false">O45*F45+P45*K45+R45*AC45+S45*AH45/0.72+Q45*X45</f>
        <v>320739.79296875</v>
      </c>
      <c r="V45" s="161" t="n">
        <f aca="false">D45</f>
        <v>37257</v>
      </c>
      <c r="W45" s="94" t="n">
        <f aca="false">VLOOKUP($D45,tblPriorPrice,4)</f>
        <v>112</v>
      </c>
      <c r="X45" s="162" t="n">
        <f aca="false">[3]TradeSum!$H23</f>
        <v>1</v>
      </c>
      <c r="Y45" s="176" t="n">
        <f aca="false">W45+X45</f>
        <v>113</v>
      </c>
      <c r="Z45" s="96" t="n">
        <f aca="true">Y45+OFFSET($CU$51,$B45,$C45)</f>
        <v>108</v>
      </c>
      <c r="AA45" s="177" t="n">
        <f aca="true">Y45+OFFSET($DI$51,$B45,$C45)</f>
        <v>128</v>
      </c>
      <c r="AB45" s="94" t="n">
        <f aca="false">VLOOKUP($D45,tblPriorPrice,5)</f>
        <v>101</v>
      </c>
      <c r="AC45" s="162" t="n">
        <f aca="false">[3]TradeSum!$H23</f>
        <v>1</v>
      </c>
      <c r="AD45" s="176" t="n">
        <f aca="false">AB45+AC45</f>
        <v>102</v>
      </c>
      <c r="AE45" s="96" t="n">
        <f aca="true">AD45+OFFSET($CU$74,$B45,$C45)</f>
        <v>97</v>
      </c>
      <c r="AF45" s="177" t="n">
        <f aca="true">AD45+OFFSET($DI$74,$B45,$C45)</f>
        <v>117</v>
      </c>
      <c r="AG45" s="94" t="n">
        <f aca="false">VLOOKUP($D45,tblPriorPrice,6)</f>
        <v>1</v>
      </c>
      <c r="AH45" s="182"/>
      <c r="AI45" s="163" t="n">
        <f aca="false">AG45+AH45</f>
        <v>1</v>
      </c>
      <c r="AJ45" s="96" t="n">
        <f aca="false">AI45</f>
        <v>1</v>
      </c>
      <c r="AK45" s="97" t="n">
        <f aca="false">AI45</f>
        <v>1</v>
      </c>
      <c r="AL45" s="178" t="n">
        <v>5</v>
      </c>
      <c r="AM45" s="165" t="n">
        <v>0.1</v>
      </c>
      <c r="AN45" s="167" t="n">
        <f aca="false">'[3]Pricing Summary'!$AM23</f>
        <v>0.4825</v>
      </c>
      <c r="AO45" s="167" t="n">
        <f aca="false">0.9*AN45</f>
        <v>0.43425</v>
      </c>
      <c r="AP45" s="166" t="n">
        <f aca="false">1.5*AN45</f>
        <v>0.72375</v>
      </c>
      <c r="AQ45" s="167" t="n">
        <f aca="false">AN45</f>
        <v>0.4825</v>
      </c>
      <c r="AR45" s="166" t="n">
        <f aca="false">0.8*AQ45</f>
        <v>0.386</v>
      </c>
      <c r="AS45" s="166" t="n">
        <f aca="false">1.2*AQ45</f>
        <v>0.579</v>
      </c>
      <c r="AT45" s="169" t="n">
        <f aca="false">IF(G45&lt;110,17.94063*(LN(G45/100))+6.727568*(LN(G45/100)^2)+15.06494,(-4.1*G45+2135)/100)*0.5</f>
        <v>7.4565</v>
      </c>
      <c r="AU45" s="169" t="n">
        <f aca="false">(0.75*AT45-AT45)</f>
        <v>-1.864125</v>
      </c>
      <c r="AV45" s="166" t="n">
        <f aca="false">AT45/0.5*1.25-AT45</f>
        <v>11.18475</v>
      </c>
      <c r="AW45" s="168" t="n">
        <f aca="false">IF(L45&lt;15,(15*L45+375)/100,(-4.71*L45+670.65)/100)*0.5</f>
        <v>1.8696</v>
      </c>
      <c r="AX45" s="166" t="n">
        <f aca="false">0.75*AW45-AW45</f>
        <v>-0.4674</v>
      </c>
      <c r="AY45" s="166" t="n">
        <f aca="false">AW45/0.5*1.25-AW45</f>
        <v>2.8044</v>
      </c>
      <c r="AZ45" s="167" t="n">
        <v>0.5</v>
      </c>
      <c r="BA45" s="74"/>
      <c r="BB45" s="161" t="n">
        <f aca="false">EOMONTH(BB44,0)+1</f>
        <v>37226</v>
      </c>
      <c r="BC45" s="183"/>
      <c r="BD45" s="183"/>
      <c r="BE45" s="183"/>
      <c r="BF45" s="183"/>
      <c r="BG45" s="183"/>
      <c r="BH45" s="184"/>
      <c r="BI45" s="183"/>
      <c r="BJ45" s="183"/>
      <c r="BK45" s="183"/>
      <c r="BL45" s="183"/>
      <c r="BM45" s="183"/>
      <c r="BN45" s="184"/>
      <c r="BQ45" s="108" t="n">
        <v>36907.7428240741</v>
      </c>
      <c r="BR45" s="109" t="n">
        <v>36907.743287037</v>
      </c>
      <c r="BS45" s="110" t="n">
        <v>37196</v>
      </c>
      <c r="BT45" s="111" t="n">
        <v>75146.5078125</v>
      </c>
      <c r="BU45" s="112" t="n">
        <v>53484.95703125</v>
      </c>
      <c r="BV45" s="112" t="n">
        <v>14313.62109375</v>
      </c>
      <c r="BW45" s="112" t="n">
        <v>17509.775390625</v>
      </c>
      <c r="BX45" s="113" t="n">
        <v>0</v>
      </c>
      <c r="BZ45" s="110" t="n">
        <v>37257</v>
      </c>
      <c r="CA45" s="185" t="n">
        <v>156</v>
      </c>
      <c r="CB45" s="116" t="n">
        <v>62</v>
      </c>
      <c r="CC45" s="181" t="n">
        <v>112</v>
      </c>
      <c r="CD45" s="181" t="n">
        <v>101</v>
      </c>
      <c r="CE45" s="117" t="n">
        <v>1</v>
      </c>
      <c r="CG45" s="135" t="n">
        <f aca="false">BB27</f>
        <v>2018</v>
      </c>
      <c r="CH45" s="137" t="n">
        <v>0</v>
      </c>
      <c r="CI45" s="137" t="n">
        <v>0</v>
      </c>
      <c r="CJ45" s="137" t="n">
        <v>0</v>
      </c>
      <c r="CK45" s="137" t="n">
        <v>0</v>
      </c>
      <c r="CL45" s="137" t="n">
        <v>0</v>
      </c>
      <c r="CM45" s="137" t="n">
        <v>0</v>
      </c>
      <c r="CN45" s="137" t="n">
        <v>0</v>
      </c>
      <c r="CO45" s="137" t="n">
        <v>0</v>
      </c>
      <c r="CP45" s="137" t="n">
        <v>0</v>
      </c>
      <c r="CQ45" s="137" t="n">
        <v>0</v>
      </c>
      <c r="CR45" s="137" t="n">
        <v>0</v>
      </c>
      <c r="CS45" s="138" t="n">
        <v>0</v>
      </c>
      <c r="CU45" s="135" t="n">
        <f aca="false">BB27</f>
        <v>2018</v>
      </c>
      <c r="CV45" s="136" t="n">
        <v>-5</v>
      </c>
      <c r="CW45" s="137" t="n">
        <v>-5</v>
      </c>
      <c r="CX45" s="137" t="n">
        <v>-5</v>
      </c>
      <c r="CY45" s="137" t="n">
        <v>-5</v>
      </c>
      <c r="CZ45" s="137" t="n">
        <v>-5</v>
      </c>
      <c r="DA45" s="137" t="n">
        <v>-5</v>
      </c>
      <c r="DB45" s="137" t="n">
        <v>-5</v>
      </c>
      <c r="DC45" s="137" t="n">
        <v>-5</v>
      </c>
      <c r="DD45" s="137" t="n">
        <v>-5</v>
      </c>
      <c r="DE45" s="137" t="n">
        <v>-5</v>
      </c>
      <c r="DF45" s="137" t="n">
        <v>-5</v>
      </c>
      <c r="DG45" s="138" t="n">
        <v>-5</v>
      </c>
      <c r="DI45" s="135" t="n">
        <f aca="false">BB27</f>
        <v>2018</v>
      </c>
      <c r="DJ45" s="136" t="n">
        <v>22</v>
      </c>
      <c r="DK45" s="137" t="n">
        <v>22</v>
      </c>
      <c r="DL45" s="137" t="n">
        <v>22</v>
      </c>
      <c r="DM45" s="137" t="n">
        <v>22</v>
      </c>
      <c r="DN45" s="137" t="n">
        <v>22</v>
      </c>
      <c r="DO45" s="137" t="n">
        <v>22</v>
      </c>
      <c r="DP45" s="137" t="n">
        <v>22</v>
      </c>
      <c r="DQ45" s="137" t="n">
        <v>22</v>
      </c>
      <c r="DR45" s="137" t="n">
        <v>22</v>
      </c>
      <c r="DS45" s="137" t="n">
        <v>22</v>
      </c>
      <c r="DT45" s="137" t="n">
        <v>22</v>
      </c>
      <c r="DU45" s="138" t="n">
        <v>22</v>
      </c>
    </row>
    <row r="46" customFormat="false" ht="12.75" hidden="false" customHeight="false" outlineLevel="0" collapsed="false">
      <c r="A46" s="0" t="n">
        <f aca="true">IF(ISERROR(MATCH(D46,iRefDt,0)),"",MATCH(D46,iRefDt,0))</f>
        <v>46</v>
      </c>
      <c r="B46" s="92" t="n">
        <f aca="false">MATCH(YEAR(D46),iSpreads)</f>
        <v>2</v>
      </c>
      <c r="C46" s="0" t="n">
        <f aca="false">MONTH(D46)</f>
        <v>2</v>
      </c>
      <c r="D46" s="93" t="n">
        <f aca="false">DATE(YEAR(D45),MONTH(D45)+1,1)</f>
        <v>37288</v>
      </c>
      <c r="E46" s="94" t="n">
        <f aca="false">VLOOKUP($D46,tblPriorPrice,2)</f>
        <v>141</v>
      </c>
      <c r="F46" s="162" t="n">
        <f aca="false">[3]TradeSum!$H24</f>
        <v>1</v>
      </c>
      <c r="G46" s="96" t="n">
        <f aca="false">E46+F46</f>
        <v>142</v>
      </c>
      <c r="H46" s="96" t="n">
        <f aca="true">G46+OFFSET($CU$4,$B46,$C46)</f>
        <v>137</v>
      </c>
      <c r="I46" s="96" t="n">
        <f aca="true">G46+OFFSET($DI$4,$B46,$C46)</f>
        <v>157</v>
      </c>
      <c r="J46" s="94" t="n">
        <f aca="false">VLOOKUP($D46,tblPriorPrice,3)</f>
        <v>59</v>
      </c>
      <c r="K46" s="162" t="n">
        <f aca="false">[3]TradeSum!$R68</f>
        <v>1</v>
      </c>
      <c r="L46" s="96" t="n">
        <f aca="false">J46+K46</f>
        <v>60</v>
      </c>
      <c r="M46" s="96" t="n">
        <f aca="true">$L46+OFFSET($CU$27,$B46,$C46)</f>
        <v>55</v>
      </c>
      <c r="N46" s="97" t="n">
        <f aca="true">$L46+OFFSET($DI$27,$B46,$C46)</f>
        <v>65</v>
      </c>
      <c r="O46" s="59" t="n">
        <f aca="true">IF($A46="",0,INDEX(tblPosn,$A46,2))</f>
        <v>137421.296875</v>
      </c>
      <c r="P46" s="59" t="n">
        <f aca="true">IF($A46="",0,INDEX(tblPosn,$A46,3))</f>
        <v>96194.9140625</v>
      </c>
      <c r="Q46" s="59" t="n">
        <f aca="true">IF($A46="",0,INDEX(tblPosn,$A46,4))</f>
        <v>27484.259765625</v>
      </c>
      <c r="R46" s="59" t="n">
        <f aca="true">IF($A46="",0,INDEX(tblPosn,$A46,5))</f>
        <v>27484.259765625</v>
      </c>
      <c r="S46" s="59" t="n">
        <f aca="true">IF($A46="",0,INDEX(tblPosn,$A46,6))</f>
        <v>0</v>
      </c>
      <c r="T46" s="98" t="n">
        <f aca="false">O46*F46+P46*K46+R46*AC46+S46*AH46/0.72+Q46*X46</f>
        <v>288584.73046875</v>
      </c>
      <c r="V46" s="161" t="n">
        <f aca="false">D46</f>
        <v>37288</v>
      </c>
      <c r="W46" s="94" t="n">
        <f aca="false">VLOOKUP($D46,tblPriorPrice,4)</f>
        <v>106</v>
      </c>
      <c r="X46" s="162" t="n">
        <f aca="false">[3]TradeSum!$H24</f>
        <v>1</v>
      </c>
      <c r="Y46" s="176" t="n">
        <f aca="false">W46+X46</f>
        <v>107</v>
      </c>
      <c r="Z46" s="96" t="n">
        <f aca="true">Y46+OFFSET($CU$51,$B46,$C46)</f>
        <v>102</v>
      </c>
      <c r="AA46" s="177" t="n">
        <f aca="true">Y46+OFFSET($DI$51,$B46,$C46)</f>
        <v>122</v>
      </c>
      <c r="AB46" s="94" t="n">
        <f aca="false">VLOOKUP($D46,tblPriorPrice,5)</f>
        <v>95</v>
      </c>
      <c r="AC46" s="162" t="n">
        <f aca="false">[3]TradeSum!$H24</f>
        <v>1</v>
      </c>
      <c r="AD46" s="176" t="n">
        <f aca="false">AB46+AC46</f>
        <v>96</v>
      </c>
      <c r="AE46" s="96" t="n">
        <f aca="true">AD46+OFFSET($CU$74,$B46,$C46)</f>
        <v>91</v>
      </c>
      <c r="AF46" s="177" t="n">
        <f aca="true">AD46+OFFSET($DI$74,$B46,$C46)</f>
        <v>111</v>
      </c>
      <c r="AG46" s="94" t="n">
        <f aca="false">VLOOKUP($D46,tblPriorPrice,6)</f>
        <v>1</v>
      </c>
      <c r="AH46" s="182"/>
      <c r="AI46" s="163" t="n">
        <f aca="false">AG46+AH46</f>
        <v>1</v>
      </c>
      <c r="AJ46" s="96" t="n">
        <f aca="false">AI46</f>
        <v>1</v>
      </c>
      <c r="AK46" s="97" t="n">
        <f aca="false">AI46</f>
        <v>1</v>
      </c>
      <c r="AL46" s="178" t="n">
        <v>5</v>
      </c>
      <c r="AM46" s="165" t="n">
        <v>0.1</v>
      </c>
      <c r="AN46" s="167" t="n">
        <f aca="false">'[3]Pricing Summary'!$AM24</f>
        <v>0.47</v>
      </c>
      <c r="AO46" s="167" t="n">
        <f aca="false">0.9*AN46</f>
        <v>0.423</v>
      </c>
      <c r="AP46" s="166" t="n">
        <f aca="false">1.5*AN46</f>
        <v>0.705</v>
      </c>
      <c r="AQ46" s="167" t="n">
        <f aca="false">AN46</f>
        <v>0.47</v>
      </c>
      <c r="AR46" s="166" t="n">
        <f aca="false">0.8*AQ46</f>
        <v>0.376</v>
      </c>
      <c r="AS46" s="166" t="n">
        <f aca="false">1.2*AQ46</f>
        <v>0.564</v>
      </c>
      <c r="AT46" s="169" t="n">
        <f aca="false">IF(G46&lt;110,17.94063*(LN(G46/100))+6.727568*(LN(G46/100)^2)+15.06494,(-4.1*G46+2135)/100)*0.5</f>
        <v>7.764</v>
      </c>
      <c r="AU46" s="169" t="n">
        <f aca="false">(0.75*AT46-AT46)</f>
        <v>-1.941</v>
      </c>
      <c r="AV46" s="166" t="n">
        <f aca="false">AT46/0.5*1.25-AT46</f>
        <v>11.646</v>
      </c>
      <c r="AW46" s="168" t="n">
        <f aca="false">IF(L46&lt;15,(15*L46+375)/100,(-4.71*L46+670.65)/100)*0.5</f>
        <v>1.94025</v>
      </c>
      <c r="AX46" s="166" t="n">
        <f aca="false">0.75*AW46-AW46</f>
        <v>-0.4850625</v>
      </c>
      <c r="AY46" s="166" t="n">
        <f aca="false">AW46/0.5*1.25-AW46</f>
        <v>2.910375</v>
      </c>
      <c r="AZ46" s="167" t="n">
        <v>0.5</v>
      </c>
      <c r="BA46" s="74"/>
      <c r="BB46" s="161" t="n">
        <f aca="false">EOMONTH(BB45,0)+1</f>
        <v>37257</v>
      </c>
      <c r="BC46" s="183"/>
      <c r="BD46" s="183"/>
      <c r="BE46" s="183"/>
      <c r="BF46" s="183"/>
      <c r="BG46" s="183"/>
      <c r="BH46" s="184"/>
      <c r="BI46" s="183"/>
      <c r="BJ46" s="183"/>
      <c r="BK46" s="183"/>
      <c r="BL46" s="183"/>
      <c r="BM46" s="183"/>
      <c r="BN46" s="184"/>
      <c r="BQ46" s="108" t="n">
        <v>36907.7428240741</v>
      </c>
      <c r="BR46" s="109" t="n">
        <v>36907.743287037</v>
      </c>
      <c r="BS46" s="110" t="n">
        <v>37226</v>
      </c>
      <c r="BT46" s="111" t="n">
        <v>71278.78125</v>
      </c>
      <c r="BU46" s="112" t="n">
        <v>55050.7578125</v>
      </c>
      <c r="BV46" s="112" t="n">
        <v>17819.6953125</v>
      </c>
      <c r="BW46" s="112" t="n">
        <v>21003.03125</v>
      </c>
      <c r="BX46" s="113" t="n">
        <v>0</v>
      </c>
      <c r="BZ46" s="110" t="n">
        <v>37288</v>
      </c>
      <c r="CA46" s="185" t="n">
        <v>141</v>
      </c>
      <c r="CB46" s="116" t="n">
        <v>59</v>
      </c>
      <c r="CC46" s="181" t="n">
        <v>106</v>
      </c>
      <c r="CD46" s="181" t="n">
        <v>95</v>
      </c>
      <c r="CE46" s="117" t="n">
        <v>1</v>
      </c>
      <c r="CG46" s="135" t="n">
        <f aca="false">BB28</f>
        <v>2019</v>
      </c>
      <c r="CH46" s="137" t="n">
        <v>0</v>
      </c>
      <c r="CI46" s="137" t="n">
        <v>0</v>
      </c>
      <c r="CJ46" s="137" t="n">
        <v>0</v>
      </c>
      <c r="CK46" s="137" t="n">
        <v>0</v>
      </c>
      <c r="CL46" s="137" t="n">
        <v>0</v>
      </c>
      <c r="CM46" s="137" t="n">
        <v>0</v>
      </c>
      <c r="CN46" s="137" t="n">
        <v>0</v>
      </c>
      <c r="CO46" s="137" t="n">
        <v>0</v>
      </c>
      <c r="CP46" s="137" t="n">
        <v>0</v>
      </c>
      <c r="CQ46" s="137" t="n">
        <v>0</v>
      </c>
      <c r="CR46" s="137" t="n">
        <v>0</v>
      </c>
      <c r="CS46" s="138" t="n">
        <v>0</v>
      </c>
      <c r="CU46" s="135" t="n">
        <f aca="false">BB28</f>
        <v>2019</v>
      </c>
      <c r="CV46" s="136" t="n">
        <v>-5</v>
      </c>
      <c r="CW46" s="137" t="n">
        <v>-5</v>
      </c>
      <c r="CX46" s="137" t="n">
        <v>-5</v>
      </c>
      <c r="CY46" s="137" t="n">
        <v>-5</v>
      </c>
      <c r="CZ46" s="137" t="n">
        <v>-5</v>
      </c>
      <c r="DA46" s="137" t="n">
        <v>-5</v>
      </c>
      <c r="DB46" s="137" t="n">
        <v>-5</v>
      </c>
      <c r="DC46" s="137" t="n">
        <v>-5</v>
      </c>
      <c r="DD46" s="137" t="n">
        <v>-5</v>
      </c>
      <c r="DE46" s="137" t="n">
        <v>-5</v>
      </c>
      <c r="DF46" s="137" t="n">
        <v>-5</v>
      </c>
      <c r="DG46" s="138" t="n">
        <v>-5</v>
      </c>
      <c r="DI46" s="135" t="n">
        <f aca="false">BB28</f>
        <v>2019</v>
      </c>
      <c r="DJ46" s="136" t="n">
        <v>23</v>
      </c>
      <c r="DK46" s="137" t="n">
        <v>23</v>
      </c>
      <c r="DL46" s="137" t="n">
        <v>23</v>
      </c>
      <c r="DM46" s="137" t="n">
        <v>23</v>
      </c>
      <c r="DN46" s="137" t="n">
        <v>23</v>
      </c>
      <c r="DO46" s="137" t="n">
        <v>23</v>
      </c>
      <c r="DP46" s="137" t="n">
        <v>23</v>
      </c>
      <c r="DQ46" s="137" t="n">
        <v>23</v>
      </c>
      <c r="DR46" s="137" t="n">
        <v>23</v>
      </c>
      <c r="DS46" s="137" t="n">
        <v>23</v>
      </c>
      <c r="DT46" s="137" t="n">
        <v>23</v>
      </c>
      <c r="DU46" s="138" t="n">
        <v>23</v>
      </c>
    </row>
    <row r="47" customFormat="false" ht="12.75" hidden="false" customHeight="false" outlineLevel="0" collapsed="false">
      <c r="A47" s="0" t="n">
        <f aca="true">IF(ISERROR(MATCH(D47,iRefDt,0)),"",MATCH(D47,iRefDt,0))</f>
        <v>47</v>
      </c>
      <c r="B47" s="92" t="n">
        <f aca="false">MATCH(YEAR(D47),iSpreads)</f>
        <v>2</v>
      </c>
      <c r="C47" s="0" t="n">
        <f aca="false">MONTH(D47)</f>
        <v>3</v>
      </c>
      <c r="D47" s="93" t="n">
        <f aca="false">DATE(YEAR(D46),MONTH(D46)+1,1)</f>
        <v>37316</v>
      </c>
      <c r="E47" s="94" t="n">
        <f aca="false">VLOOKUP($D47,tblPriorPrice,2)</f>
        <v>114</v>
      </c>
      <c r="F47" s="162" t="n">
        <f aca="false">[3]TradeSum!$H25</f>
        <v>1</v>
      </c>
      <c r="G47" s="96" t="n">
        <f aca="false">E47+F47</f>
        <v>115</v>
      </c>
      <c r="H47" s="96" t="n">
        <f aca="true">G47+OFFSET($CU$4,$B47,$C47)</f>
        <v>110</v>
      </c>
      <c r="I47" s="96" t="n">
        <f aca="true">G47+OFFSET($DI$4,$B47,$C47)</f>
        <v>130</v>
      </c>
      <c r="J47" s="94" t="n">
        <f aca="false">VLOOKUP($D47,tblPriorPrice,3)</f>
        <v>55</v>
      </c>
      <c r="K47" s="162" t="n">
        <f aca="false">[3]TradeSum!$R69</f>
        <v>1</v>
      </c>
      <c r="L47" s="96" t="n">
        <f aca="false">J47+K47</f>
        <v>56</v>
      </c>
      <c r="M47" s="96" t="n">
        <f aca="true">$L47+OFFSET($CU$27,$B47,$C47)</f>
        <v>51</v>
      </c>
      <c r="N47" s="97" t="n">
        <f aca="true">$L47+OFFSET($DI$27,$B47,$C47)</f>
        <v>61</v>
      </c>
      <c r="O47" s="59" t="n">
        <f aca="true">IF($A47="",0,INDEX(tblPosn,$A47,2))</f>
        <v>143650.25</v>
      </c>
      <c r="P47" s="59" t="n">
        <f aca="true">IF($A47="",0,INDEX(tblPosn,$A47,3))</f>
        <v>106027.5625</v>
      </c>
      <c r="Q47" s="59" t="n">
        <f aca="true">IF($A47="",0,INDEX(tblPosn,$A47,4))</f>
        <v>34202.4375</v>
      </c>
      <c r="R47" s="59" t="n">
        <f aca="true">IF($A47="",0,INDEX(tblPosn,$A47,5))</f>
        <v>34202.4375</v>
      </c>
      <c r="S47" s="59" t="n">
        <f aca="true">IF($A47="",0,INDEX(tblPosn,$A47,6))</f>
        <v>0</v>
      </c>
      <c r="T47" s="98" t="n">
        <f aca="false">O47*F47+P47*K47+R47*AC47+S47*AH47/0.72+Q47*X47</f>
        <v>318082.6875</v>
      </c>
      <c r="V47" s="161" t="n">
        <f aca="false">D47</f>
        <v>37316</v>
      </c>
      <c r="W47" s="94" t="n">
        <f aca="false">VLOOKUP($D47,tblPriorPrice,4)</f>
        <v>78</v>
      </c>
      <c r="X47" s="162" t="n">
        <f aca="false">[3]TradeSum!$H25</f>
        <v>1</v>
      </c>
      <c r="Y47" s="176" t="n">
        <f aca="false">W47+X47</f>
        <v>79</v>
      </c>
      <c r="Z47" s="96" t="n">
        <f aca="true">Y47+OFFSET($CU$51,$B47,$C47)</f>
        <v>74</v>
      </c>
      <c r="AA47" s="177" t="n">
        <f aca="true">Y47+OFFSET($DI$51,$B47,$C47)</f>
        <v>94</v>
      </c>
      <c r="AB47" s="94" t="n">
        <f aca="false">VLOOKUP($D47,tblPriorPrice,5)</f>
        <v>70</v>
      </c>
      <c r="AC47" s="162" t="n">
        <f aca="false">[3]TradeSum!$H25</f>
        <v>1</v>
      </c>
      <c r="AD47" s="176" t="n">
        <f aca="false">AB47+AC47</f>
        <v>71</v>
      </c>
      <c r="AE47" s="96" t="n">
        <f aca="true">AD47+OFFSET($CU$74,$B47,$C47)</f>
        <v>66</v>
      </c>
      <c r="AF47" s="177" t="n">
        <f aca="true">AD47+OFFSET($DI$74,$B47,$C47)</f>
        <v>86</v>
      </c>
      <c r="AG47" s="94" t="n">
        <f aca="false">VLOOKUP($D47,tblPriorPrice,6)</f>
        <v>1</v>
      </c>
      <c r="AH47" s="182"/>
      <c r="AI47" s="163" t="n">
        <f aca="false">AG47+AH47</f>
        <v>1</v>
      </c>
      <c r="AJ47" s="96" t="n">
        <f aca="false">AI47</f>
        <v>1</v>
      </c>
      <c r="AK47" s="97" t="n">
        <f aca="false">AI47</f>
        <v>1</v>
      </c>
      <c r="AL47" s="178" t="n">
        <v>6</v>
      </c>
      <c r="AM47" s="165" t="n">
        <v>0.1</v>
      </c>
      <c r="AN47" s="167" t="n">
        <f aca="false">'[3]Pricing Summary'!$AM25</f>
        <v>0.435</v>
      </c>
      <c r="AO47" s="167" t="n">
        <f aca="false">0.9*AN47</f>
        <v>0.3915</v>
      </c>
      <c r="AP47" s="166" t="n">
        <f aca="false">1.5*AN47</f>
        <v>0.6525</v>
      </c>
      <c r="AQ47" s="167" t="n">
        <f aca="false">AN47</f>
        <v>0.435</v>
      </c>
      <c r="AR47" s="166" t="n">
        <f aca="false">0.8*AQ47</f>
        <v>0.348</v>
      </c>
      <c r="AS47" s="166" t="n">
        <f aca="false">1.2*AQ47</f>
        <v>0.522</v>
      </c>
      <c r="AT47" s="169" t="n">
        <f aca="false">IF(G47&lt;110,17.94063*(LN(G47/100))+6.727568*(LN(G47/100)^2)+15.06494,(-4.1*G47+2135)/100)*0.5</f>
        <v>8.3175</v>
      </c>
      <c r="AU47" s="169" t="n">
        <f aca="false">(0.75*AT47-AT47)</f>
        <v>-2.079375</v>
      </c>
      <c r="AV47" s="166" t="n">
        <f aca="false">AT47/0.5*1.25-AT47</f>
        <v>12.47625</v>
      </c>
      <c r="AW47" s="168" t="n">
        <f aca="false">IF(L47&lt;15,(15*L47+375)/100,(-4.71*L47+670.65)/100)*0.5</f>
        <v>2.03445</v>
      </c>
      <c r="AX47" s="166" t="n">
        <f aca="false">0.75*AW47-AW47</f>
        <v>-0.5086125</v>
      </c>
      <c r="AY47" s="166" t="n">
        <f aca="false">AW47/0.5*1.25-AW47</f>
        <v>3.051675</v>
      </c>
      <c r="AZ47" s="167" t="n">
        <v>0.5</v>
      </c>
      <c r="BA47" s="74"/>
      <c r="BB47" s="161" t="n">
        <f aca="false">EOMONTH(BB46,0)+1</f>
        <v>37288</v>
      </c>
      <c r="BC47" s="183"/>
      <c r="BD47" s="183"/>
      <c r="BE47" s="183"/>
      <c r="BF47" s="183"/>
      <c r="BG47" s="183"/>
      <c r="BH47" s="184"/>
      <c r="BI47" s="183"/>
      <c r="BJ47" s="183"/>
      <c r="BK47" s="183"/>
      <c r="BL47" s="183"/>
      <c r="BM47" s="183"/>
      <c r="BN47" s="184"/>
      <c r="BQ47" s="108" t="n">
        <v>36907.7428240741</v>
      </c>
      <c r="BR47" s="109" t="n">
        <v>36907.743287037</v>
      </c>
      <c r="BS47" s="110" t="n">
        <v>37257</v>
      </c>
      <c r="BT47" s="111" t="n">
        <v>151747.859375</v>
      </c>
      <c r="BU47" s="112" t="n">
        <v>106913.265625</v>
      </c>
      <c r="BV47" s="112" t="n">
        <v>27590.51953125</v>
      </c>
      <c r="BW47" s="112" t="n">
        <v>34488.1484375</v>
      </c>
      <c r="BX47" s="113" t="n">
        <v>0</v>
      </c>
      <c r="BZ47" s="110" t="n">
        <v>37316</v>
      </c>
      <c r="CA47" s="185" t="n">
        <v>114</v>
      </c>
      <c r="CB47" s="116" t="n">
        <v>55</v>
      </c>
      <c r="CC47" s="181" t="n">
        <v>78</v>
      </c>
      <c r="CD47" s="181" t="n">
        <v>70</v>
      </c>
      <c r="CE47" s="117" t="n">
        <v>1</v>
      </c>
      <c r="CG47" s="152" t="n">
        <f aca="false">BB29</f>
        <v>2020</v>
      </c>
      <c r="CH47" s="153" t="n">
        <v>0</v>
      </c>
      <c r="CI47" s="153" t="n">
        <v>0</v>
      </c>
      <c r="CJ47" s="137" t="n">
        <v>0</v>
      </c>
      <c r="CK47" s="137" t="n">
        <v>0</v>
      </c>
      <c r="CL47" s="137" t="n">
        <v>0</v>
      </c>
      <c r="CM47" s="137" t="n">
        <v>0</v>
      </c>
      <c r="CN47" s="137" t="n">
        <v>0</v>
      </c>
      <c r="CO47" s="137" t="n">
        <v>0</v>
      </c>
      <c r="CP47" s="137" t="n">
        <v>0</v>
      </c>
      <c r="CQ47" s="137" t="n">
        <v>0</v>
      </c>
      <c r="CR47" s="137" t="n">
        <v>0</v>
      </c>
      <c r="CS47" s="138" t="n">
        <v>0</v>
      </c>
      <c r="CU47" s="152" t="n">
        <f aca="false">BB29</f>
        <v>2020</v>
      </c>
      <c r="CV47" s="136" t="n">
        <v>-5</v>
      </c>
      <c r="CW47" s="137" t="n">
        <v>-5</v>
      </c>
      <c r="CX47" s="137" t="n">
        <v>-5</v>
      </c>
      <c r="CY47" s="137" t="n">
        <v>-5</v>
      </c>
      <c r="CZ47" s="137" t="n">
        <v>-5</v>
      </c>
      <c r="DA47" s="137" t="n">
        <v>-5</v>
      </c>
      <c r="DB47" s="137" t="n">
        <v>-5</v>
      </c>
      <c r="DC47" s="137" t="n">
        <v>-5</v>
      </c>
      <c r="DD47" s="137" t="n">
        <v>-5</v>
      </c>
      <c r="DE47" s="137" t="n">
        <v>-5</v>
      </c>
      <c r="DF47" s="137" t="n">
        <v>-5</v>
      </c>
      <c r="DG47" s="138" t="n">
        <v>-5</v>
      </c>
      <c r="DI47" s="152" t="n">
        <f aca="false">BB29</f>
        <v>2020</v>
      </c>
      <c r="DJ47" s="153" t="n">
        <v>24</v>
      </c>
      <c r="DK47" s="154" t="n">
        <v>24</v>
      </c>
      <c r="DL47" s="154" t="n">
        <v>24</v>
      </c>
      <c r="DM47" s="154" t="n">
        <v>24</v>
      </c>
      <c r="DN47" s="154" t="n">
        <v>24</v>
      </c>
      <c r="DO47" s="154" t="n">
        <v>24</v>
      </c>
      <c r="DP47" s="154" t="n">
        <v>24</v>
      </c>
      <c r="DQ47" s="154" t="n">
        <v>24</v>
      </c>
      <c r="DR47" s="154" t="n">
        <v>24</v>
      </c>
      <c r="DS47" s="154" t="n">
        <v>24</v>
      </c>
      <c r="DT47" s="154" t="n">
        <v>24</v>
      </c>
      <c r="DU47" s="155" t="n">
        <v>24</v>
      </c>
    </row>
    <row r="48" customFormat="false" ht="12.75" hidden="false" customHeight="false" outlineLevel="0" collapsed="false">
      <c r="A48" s="0" t="n">
        <f aca="true">IF(ISERROR(MATCH(D48,iRefDt,0)),"",MATCH(D48,iRefDt,0))</f>
        <v>48</v>
      </c>
      <c r="B48" s="92" t="n">
        <f aca="false">MATCH(YEAR(D48),iSpreads)</f>
        <v>2</v>
      </c>
      <c r="C48" s="0" t="n">
        <f aca="false">MONTH(D48)</f>
        <v>4</v>
      </c>
      <c r="D48" s="93" t="n">
        <f aca="false">DATE(YEAR(D47),MONTH(D47)+1,1)</f>
        <v>37347</v>
      </c>
      <c r="E48" s="94" t="n">
        <f aca="false">VLOOKUP($D48,tblPriorPrice,2)</f>
        <v>65</v>
      </c>
      <c r="F48" s="162" t="n">
        <f aca="false">[3]TradeSum!$H26</f>
        <v>1</v>
      </c>
      <c r="G48" s="96" t="n">
        <f aca="false">E48+F48</f>
        <v>66</v>
      </c>
      <c r="H48" s="96" t="n">
        <f aca="true">G48+OFFSET($CU$4,$B48,$C48)</f>
        <v>61</v>
      </c>
      <c r="I48" s="96" t="n">
        <f aca="true">G48+OFFSET($DI$4,$B48,$C48)</f>
        <v>81</v>
      </c>
      <c r="J48" s="94" t="n">
        <f aca="false">VLOOKUP($D48,tblPriorPrice,3)</f>
        <v>46</v>
      </c>
      <c r="K48" s="162" t="n">
        <f aca="false">[3]TradeSum!$R70</f>
        <v>1</v>
      </c>
      <c r="L48" s="96" t="n">
        <f aca="false">J48+K48</f>
        <v>47</v>
      </c>
      <c r="M48" s="96" t="n">
        <f aca="true">$L48+OFFSET($CU$27,$B48,$C48)</f>
        <v>42</v>
      </c>
      <c r="N48" s="97" t="n">
        <f aca="true">$L48+OFFSET($DI$27,$B48,$C48)</f>
        <v>52</v>
      </c>
      <c r="O48" s="59" t="n">
        <f aca="true">IF($A48="",0,INDEX(tblPosn,$A48,2))</f>
        <v>149865.03125</v>
      </c>
      <c r="P48" s="59" t="n">
        <f aca="true">IF($A48="",0,INDEX(tblPosn,$A48,3))</f>
        <v>101754.9453125</v>
      </c>
      <c r="Q48" s="59" t="n">
        <f aca="true">IF($A48="",0,INDEX(tblPosn,$A48,4))</f>
        <v>27248.185546875</v>
      </c>
      <c r="R48" s="59" t="n">
        <f aca="true">IF($A48="",0,INDEX(tblPosn,$A48,5))</f>
        <v>27248.185546875</v>
      </c>
      <c r="S48" s="59" t="n">
        <f aca="true">IF($A48="",0,INDEX(tblPosn,$A48,6))</f>
        <v>0</v>
      </c>
      <c r="T48" s="98" t="n">
        <f aca="false">O48*F48+P48*K48+R48*AC48+S48*AH48/0.72+Q48*X48</f>
        <v>306116.34765625</v>
      </c>
      <c r="V48" s="161" t="n">
        <f aca="false">D48</f>
        <v>37347</v>
      </c>
      <c r="W48" s="94" t="n">
        <f aca="false">VLOOKUP($D48,tblPriorPrice,4)</f>
        <v>45</v>
      </c>
      <c r="X48" s="162" t="n">
        <f aca="false">[3]TradeSum!$H26</f>
        <v>1</v>
      </c>
      <c r="Y48" s="176" t="n">
        <f aca="false">W48+X48</f>
        <v>46</v>
      </c>
      <c r="Z48" s="96" t="n">
        <f aca="true">Y48+OFFSET($CU$51,$B48,$C48)</f>
        <v>41</v>
      </c>
      <c r="AA48" s="177" t="n">
        <f aca="true">Y48+OFFSET($DI$51,$B48,$C48)</f>
        <v>61</v>
      </c>
      <c r="AB48" s="94" t="n">
        <f aca="false">VLOOKUP($D48,tblPriorPrice,5)</f>
        <v>45</v>
      </c>
      <c r="AC48" s="162" t="n">
        <f aca="false">[3]TradeSum!$H26</f>
        <v>1</v>
      </c>
      <c r="AD48" s="176" t="n">
        <f aca="false">AB48+AC48</f>
        <v>46</v>
      </c>
      <c r="AE48" s="96" t="n">
        <f aca="true">AD48+OFFSET($CU$74,$B48,$C48)</f>
        <v>41</v>
      </c>
      <c r="AF48" s="177" t="n">
        <f aca="true">AD48+OFFSET($DI$74,$B48,$C48)</f>
        <v>61</v>
      </c>
      <c r="AG48" s="94" t="n">
        <f aca="false">VLOOKUP($D48,tblPriorPrice,6)</f>
        <v>1</v>
      </c>
      <c r="AH48" s="182"/>
      <c r="AI48" s="163" t="n">
        <f aca="false">AG48+AH48</f>
        <v>1</v>
      </c>
      <c r="AJ48" s="96" t="n">
        <f aca="false">AI48</f>
        <v>1</v>
      </c>
      <c r="AK48" s="97" t="n">
        <f aca="false">AI48</f>
        <v>1</v>
      </c>
      <c r="AL48" s="178" t="n">
        <v>6</v>
      </c>
      <c r="AM48" s="165" t="n">
        <v>0.1</v>
      </c>
      <c r="AN48" s="167" t="n">
        <f aca="false">'[3]Pricing Summary'!$AM26</f>
        <v>0.36</v>
      </c>
      <c r="AO48" s="167" t="n">
        <f aca="false">0.9*AN48</f>
        <v>0.324</v>
      </c>
      <c r="AP48" s="166" t="n">
        <f aca="false">1.5*AN48</f>
        <v>0.54</v>
      </c>
      <c r="AQ48" s="167" t="n">
        <f aca="false">AN48</f>
        <v>0.36</v>
      </c>
      <c r="AR48" s="166" t="n">
        <f aca="false">0.8*AQ48</f>
        <v>0.288</v>
      </c>
      <c r="AS48" s="166" t="n">
        <f aca="false">1.2*AQ48</f>
        <v>0.432</v>
      </c>
      <c r="AT48" s="169" t="n">
        <f aca="false">IF(G48&lt;110,17.94063*(LN(G48/100))+6.727568*(LN(G48/100)^2)+15.06494,(-4.1*G48+2135)/100)*0.5</f>
        <v>4.38593326238293</v>
      </c>
      <c r="AU48" s="169" t="n">
        <f aca="false">(0.75*AT48-AT48)</f>
        <v>-1.09648331559573</v>
      </c>
      <c r="AV48" s="166" t="n">
        <f aca="false">AT48/0.5*1.25-AT48</f>
        <v>6.5788998935744</v>
      </c>
      <c r="AW48" s="168" t="n">
        <f aca="false">IF(L48&lt;15,(15*L48+375)/100,(-4.71*L48+670.65)/100)*0.5</f>
        <v>2.2464</v>
      </c>
      <c r="AX48" s="166" t="n">
        <f aca="false">0.75*AW48-AW48</f>
        <v>-0.5616</v>
      </c>
      <c r="AY48" s="166" t="n">
        <f aca="false">AW48/0.5*1.25-AW48</f>
        <v>3.3696</v>
      </c>
      <c r="AZ48" s="167" t="n">
        <v>0.5</v>
      </c>
      <c r="BA48" s="74"/>
      <c r="BB48" s="161" t="n">
        <f aca="false">EOMONTH(BB47,0)+1</f>
        <v>37316</v>
      </c>
      <c r="BC48" s="183"/>
      <c r="BD48" s="183"/>
      <c r="BE48" s="183"/>
      <c r="BF48" s="183"/>
      <c r="BG48" s="183"/>
      <c r="BH48" s="184"/>
      <c r="BI48" s="183"/>
      <c r="BJ48" s="183"/>
      <c r="BK48" s="183"/>
      <c r="BL48" s="183"/>
      <c r="BM48" s="183"/>
      <c r="BN48" s="184"/>
      <c r="BQ48" s="108" t="n">
        <v>36907.7428240741</v>
      </c>
      <c r="BR48" s="109" t="n">
        <v>36907.743287037</v>
      </c>
      <c r="BS48" s="110" t="n">
        <v>37288</v>
      </c>
      <c r="BT48" s="111" t="n">
        <v>137421.296875</v>
      </c>
      <c r="BU48" s="112" t="n">
        <v>96194.9140625</v>
      </c>
      <c r="BV48" s="112" t="n">
        <v>27484.259765625</v>
      </c>
      <c r="BW48" s="112" t="n">
        <v>27484.259765625</v>
      </c>
      <c r="BX48" s="113" t="n">
        <v>0</v>
      </c>
      <c r="BZ48" s="110" t="n">
        <v>37347</v>
      </c>
      <c r="CA48" s="185" t="n">
        <v>65</v>
      </c>
      <c r="CB48" s="116" t="n">
        <v>46</v>
      </c>
      <c r="CC48" s="181" t="n">
        <v>45</v>
      </c>
      <c r="CD48" s="181" t="n">
        <v>45</v>
      </c>
      <c r="CE48" s="117" t="n">
        <v>1</v>
      </c>
    </row>
    <row r="49" customFormat="false" ht="12.75" hidden="false" customHeight="false" outlineLevel="0" collapsed="false">
      <c r="A49" s="0" t="n">
        <f aca="true">IF(ISERROR(MATCH(D49,iRefDt,0)),"",MATCH(D49,iRefDt,0))</f>
        <v>49</v>
      </c>
      <c r="B49" s="92" t="n">
        <f aca="false">MATCH(YEAR(D49),iSpreads)</f>
        <v>2</v>
      </c>
      <c r="C49" s="0" t="n">
        <f aca="false">MONTH(D49)</f>
        <v>5</v>
      </c>
      <c r="D49" s="93" t="n">
        <f aca="false">DATE(YEAR(D48),MONTH(D48)+1,1)</f>
        <v>37377</v>
      </c>
      <c r="E49" s="94" t="n">
        <f aca="false">VLOOKUP($D49,tblPriorPrice,2)</f>
        <v>69</v>
      </c>
      <c r="F49" s="162" t="n">
        <f aca="false">[3]TradeSum!$H27</f>
        <v>1</v>
      </c>
      <c r="G49" s="96" t="n">
        <f aca="false">E49+F49</f>
        <v>70</v>
      </c>
      <c r="H49" s="96" t="n">
        <f aca="true">G49+OFFSET($CU$4,$B49,$C49)</f>
        <v>65</v>
      </c>
      <c r="I49" s="96" t="n">
        <f aca="true">G49+OFFSET($DI$4,$B49,$C49)</f>
        <v>85</v>
      </c>
      <c r="J49" s="94" t="n">
        <f aca="false">VLOOKUP($D49,tblPriorPrice,3)</f>
        <v>48</v>
      </c>
      <c r="K49" s="162" t="n">
        <f aca="false">[3]TradeSum!$R71</f>
        <v>1</v>
      </c>
      <c r="L49" s="96" t="n">
        <f aca="false">J49+K49</f>
        <v>49</v>
      </c>
      <c r="M49" s="96" t="n">
        <f aca="true">$L49+OFFSET($CU$27,$B49,$C49)</f>
        <v>44</v>
      </c>
      <c r="N49" s="97" t="n">
        <f aca="true">$L49+OFFSET($DI$27,$B49,$C49)</f>
        <v>54</v>
      </c>
      <c r="O49" s="59" t="n">
        <f aca="true">IF($A49="",0,INDEX(tblPosn,$A49,2))</f>
        <v>149204.828125</v>
      </c>
      <c r="P49" s="59" t="n">
        <f aca="true">IF($A49="",0,INDEX(tblPosn,$A49,3))</f>
        <v>105121.5859375</v>
      </c>
      <c r="Q49" s="59" t="n">
        <f aca="true">IF($A49="",0,INDEX(tblPosn,$A49,4))</f>
        <v>27128.1484375</v>
      </c>
      <c r="R49" s="59" t="n">
        <f aca="true">IF($A49="",0,INDEX(tblPosn,$A49,5))</f>
        <v>33910.1875</v>
      </c>
      <c r="S49" s="59" t="n">
        <f aca="true">IF($A49="",0,INDEX(tblPosn,$A49,6))</f>
        <v>0</v>
      </c>
      <c r="T49" s="98" t="n">
        <f aca="false">O49*F49+P49*K49+R49*AC49+S49*AH49/0.72+Q49*X49</f>
        <v>315364.75</v>
      </c>
      <c r="V49" s="161" t="n">
        <f aca="false">D49</f>
        <v>37377</v>
      </c>
      <c r="W49" s="94" t="n">
        <f aca="false">VLOOKUP($D49,tblPriorPrice,4)</f>
        <v>52</v>
      </c>
      <c r="X49" s="162" t="n">
        <f aca="false">[3]TradeSum!$H27</f>
        <v>1</v>
      </c>
      <c r="Y49" s="176" t="n">
        <f aca="false">W49+X49</f>
        <v>53</v>
      </c>
      <c r="Z49" s="96" t="n">
        <f aca="true">Y49+OFFSET($CU$51,$B49,$C49)</f>
        <v>48</v>
      </c>
      <c r="AA49" s="177" t="n">
        <f aca="true">Y49+OFFSET($DI$51,$B49,$C49)</f>
        <v>68</v>
      </c>
      <c r="AB49" s="94" t="n">
        <f aca="false">VLOOKUP($D49,tblPriorPrice,5)</f>
        <v>47</v>
      </c>
      <c r="AC49" s="162" t="n">
        <f aca="false">[3]TradeSum!$H27</f>
        <v>1</v>
      </c>
      <c r="AD49" s="176" t="n">
        <f aca="false">AB49+AC49</f>
        <v>48</v>
      </c>
      <c r="AE49" s="96" t="n">
        <f aca="true">AD49+OFFSET($CU$74,$B49,$C49)</f>
        <v>43</v>
      </c>
      <c r="AF49" s="177" t="n">
        <f aca="true">AD49+OFFSET($DI$74,$B49,$C49)</f>
        <v>63</v>
      </c>
      <c r="AG49" s="94" t="n">
        <f aca="false">VLOOKUP($D49,tblPriorPrice,6)</f>
        <v>1</v>
      </c>
      <c r="AH49" s="182"/>
      <c r="AI49" s="163" t="n">
        <f aca="false">AG49+AH49</f>
        <v>1</v>
      </c>
      <c r="AJ49" s="96" t="n">
        <f aca="false">AI49</f>
        <v>1</v>
      </c>
      <c r="AK49" s="97" t="n">
        <f aca="false">AI49</f>
        <v>1</v>
      </c>
      <c r="AL49" s="178" t="n">
        <v>6</v>
      </c>
      <c r="AM49" s="165" t="n">
        <v>0.15</v>
      </c>
      <c r="AN49" s="167" t="n">
        <f aca="false">'[3]Pricing Summary'!$AM27</f>
        <v>0.335</v>
      </c>
      <c r="AO49" s="167" t="n">
        <f aca="false">0.9*AN49</f>
        <v>0.3015</v>
      </c>
      <c r="AP49" s="166" t="n">
        <f aca="false">1.5*AN49</f>
        <v>0.5025</v>
      </c>
      <c r="AQ49" s="167" t="n">
        <f aca="false">AN49</f>
        <v>0.335</v>
      </c>
      <c r="AR49" s="166" t="n">
        <f aca="false">0.8*AQ49</f>
        <v>0.268</v>
      </c>
      <c r="AS49" s="166" t="n">
        <f aca="false">1.2*AQ49</f>
        <v>0.402</v>
      </c>
      <c r="AT49" s="169" t="n">
        <f aca="false">IF(G49&lt;110,17.94063*(LN(G49/100))+6.727568*(LN(G49/100)^2)+15.06494,(-4.1*G49+2135)/100)*0.5</f>
        <v>4.76091396197861</v>
      </c>
      <c r="AU49" s="169" t="n">
        <f aca="false">(0.75*AT49-AT49)</f>
        <v>-1.19022849049465</v>
      </c>
      <c r="AV49" s="166" t="n">
        <f aca="false">AT49/0.5*1.25-AT49</f>
        <v>7.14137094296792</v>
      </c>
      <c r="AW49" s="168" t="n">
        <f aca="false">IF(L49&lt;15,(15*L49+375)/100,(-4.71*L49+670.65)/100)*0.5</f>
        <v>2.1993</v>
      </c>
      <c r="AX49" s="166" t="n">
        <f aca="false">0.75*AW49-AW49</f>
        <v>-0.549825</v>
      </c>
      <c r="AY49" s="166" t="n">
        <f aca="false">AW49/0.5*1.25-AW49</f>
        <v>3.29895</v>
      </c>
      <c r="AZ49" s="167" t="n">
        <v>0.5</v>
      </c>
      <c r="BA49" s="74"/>
      <c r="BB49" s="161" t="n">
        <f aca="false">EOMONTH(BB48,0)+1</f>
        <v>37347</v>
      </c>
      <c r="BC49" s="183"/>
      <c r="BD49" s="183"/>
      <c r="BE49" s="183"/>
      <c r="BF49" s="183"/>
      <c r="BG49" s="183"/>
      <c r="BH49" s="184"/>
      <c r="BI49" s="183"/>
      <c r="BJ49" s="183"/>
      <c r="BK49" s="183"/>
      <c r="BL49" s="183"/>
      <c r="BM49" s="183"/>
      <c r="BN49" s="184"/>
      <c r="BQ49" s="108" t="n">
        <v>36907.7428240741</v>
      </c>
      <c r="BR49" s="109" t="n">
        <v>36907.743287037</v>
      </c>
      <c r="BS49" s="110" t="n">
        <v>37316</v>
      </c>
      <c r="BT49" s="111" t="n">
        <v>143650.25</v>
      </c>
      <c r="BU49" s="112" t="n">
        <v>106027.5625</v>
      </c>
      <c r="BV49" s="112" t="n">
        <v>34202.4375</v>
      </c>
      <c r="BW49" s="112" t="n">
        <v>34202.4375</v>
      </c>
      <c r="BX49" s="113" t="n">
        <v>0</v>
      </c>
      <c r="BZ49" s="110" t="n">
        <v>37377</v>
      </c>
      <c r="CA49" s="185" t="n">
        <v>69</v>
      </c>
      <c r="CB49" s="116" t="n">
        <v>48</v>
      </c>
      <c r="CC49" s="181" t="n">
        <v>52</v>
      </c>
      <c r="CD49" s="181" t="n">
        <v>47</v>
      </c>
      <c r="CE49" s="117" t="n">
        <v>1</v>
      </c>
      <c r="CG49" s="105" t="s">
        <v>84</v>
      </c>
      <c r="CH49" s="118"/>
      <c r="CI49" s="118"/>
      <c r="CJ49" s="119"/>
      <c r="CU49" s="105" t="s">
        <v>84</v>
      </c>
      <c r="CV49" s="118"/>
      <c r="CW49" s="118"/>
      <c r="CX49" s="119"/>
      <c r="DI49" s="105" t="s">
        <v>84</v>
      </c>
      <c r="DJ49" s="118"/>
      <c r="DK49" s="118"/>
      <c r="DL49" s="119"/>
    </row>
    <row r="50" customFormat="false" ht="12.75" hidden="false" customHeight="false" outlineLevel="0" collapsed="false">
      <c r="A50" s="0" t="n">
        <f aca="true">IF(ISERROR(MATCH(D50,iRefDt,0)),"",MATCH(D50,iRefDt,0))</f>
        <v>50</v>
      </c>
      <c r="B50" s="92" t="n">
        <f aca="false">MATCH(YEAR(D50),iSpreads)</f>
        <v>2</v>
      </c>
      <c r="C50" s="0" t="n">
        <f aca="false">MONTH(D50)</f>
        <v>6</v>
      </c>
      <c r="D50" s="93" t="n">
        <f aca="false">DATE(YEAR(D49),MONTH(D49)+1,1)</f>
        <v>37408</v>
      </c>
      <c r="E50" s="94" t="n">
        <f aca="false">VLOOKUP($D50,tblPriorPrice,2)</f>
        <v>79</v>
      </c>
      <c r="F50" s="162" t="n">
        <f aca="false">[3]TradeSum!$H28</f>
        <v>1</v>
      </c>
      <c r="G50" s="96" t="n">
        <f aca="false">E50+F50</f>
        <v>80</v>
      </c>
      <c r="H50" s="96" t="n">
        <f aca="true">G50+OFFSET($CU$4,$B50,$C50)</f>
        <v>75</v>
      </c>
      <c r="I50" s="96" t="n">
        <f aca="true">G50+OFFSET($DI$4,$B50,$C50)</f>
        <v>95</v>
      </c>
      <c r="J50" s="94" t="n">
        <f aca="false">VLOOKUP($D50,tblPriorPrice,3)</f>
        <v>53</v>
      </c>
      <c r="K50" s="162" t="n">
        <f aca="false">[3]TradeSum!$R72</f>
        <v>1</v>
      </c>
      <c r="L50" s="96" t="n">
        <f aca="false">J50+K50</f>
        <v>54</v>
      </c>
      <c r="M50" s="96" t="n">
        <f aca="true">$L50+OFFSET($CU$27,$B50,$C50)</f>
        <v>49</v>
      </c>
      <c r="N50" s="97" t="n">
        <f aca="true">$L50+OFFSET($DI$27,$B50,$C50)</f>
        <v>59</v>
      </c>
      <c r="O50" s="59" t="n">
        <f aca="true">IF($A50="",0,INDEX(tblPosn,$A50,2))</f>
        <v>135067.328125</v>
      </c>
      <c r="P50" s="59" t="n">
        <f aca="true">IF($A50="",0,INDEX(tblPosn,$A50,3))</f>
        <v>101300.5</v>
      </c>
      <c r="Q50" s="59" t="n">
        <f aca="true">IF($A50="",0,INDEX(tblPosn,$A50,4))</f>
        <v>33766.83203125</v>
      </c>
      <c r="R50" s="59" t="n">
        <f aca="true">IF($A50="",0,INDEX(tblPosn,$A50,5))</f>
        <v>33766.83203125</v>
      </c>
      <c r="S50" s="59" t="n">
        <f aca="true">IF($A50="",0,INDEX(tblPosn,$A50,6))</f>
        <v>0</v>
      </c>
      <c r="T50" s="98" t="n">
        <f aca="false">O50*F50+P50*K50+R50*AC50+S50*AH50/0.72+Q50*X50</f>
        <v>303901.4921875</v>
      </c>
      <c r="V50" s="161" t="n">
        <f aca="false">D50</f>
        <v>37408</v>
      </c>
      <c r="W50" s="94" t="n">
        <f aca="false">VLOOKUP($D50,tblPriorPrice,4)</f>
        <v>54</v>
      </c>
      <c r="X50" s="162" t="n">
        <f aca="false">[3]TradeSum!$H28</f>
        <v>1</v>
      </c>
      <c r="Y50" s="176" t="n">
        <f aca="false">W50+X50</f>
        <v>55</v>
      </c>
      <c r="Z50" s="96" t="n">
        <f aca="true">Y50+OFFSET($CU$51,$B50,$C50)</f>
        <v>50</v>
      </c>
      <c r="AA50" s="177" t="n">
        <f aca="true">Y50+OFFSET($DI$51,$B50,$C50)</f>
        <v>70</v>
      </c>
      <c r="AB50" s="94" t="n">
        <f aca="false">VLOOKUP($D50,tblPriorPrice,5)</f>
        <v>52</v>
      </c>
      <c r="AC50" s="162" t="n">
        <f aca="false">[3]TradeSum!$H28</f>
        <v>1</v>
      </c>
      <c r="AD50" s="176" t="n">
        <f aca="false">AB50+AC50</f>
        <v>53</v>
      </c>
      <c r="AE50" s="96" t="n">
        <f aca="true">AD50+OFFSET($CU$74,$B50,$C50)</f>
        <v>48</v>
      </c>
      <c r="AF50" s="177" t="n">
        <f aca="true">AD50+OFFSET($DI$74,$B50,$C50)</f>
        <v>68</v>
      </c>
      <c r="AG50" s="94" t="n">
        <f aca="false">VLOOKUP($D50,tblPriorPrice,6)</f>
        <v>1</v>
      </c>
      <c r="AH50" s="182"/>
      <c r="AI50" s="163" t="n">
        <f aca="false">AG50+AH50</f>
        <v>1</v>
      </c>
      <c r="AJ50" s="96" t="n">
        <f aca="false">AI50</f>
        <v>1</v>
      </c>
      <c r="AK50" s="97" t="n">
        <f aca="false">AI50</f>
        <v>1</v>
      </c>
      <c r="AL50" s="178" t="n">
        <v>7</v>
      </c>
      <c r="AM50" s="165" t="n">
        <v>0.15</v>
      </c>
      <c r="AN50" s="167" t="n">
        <f aca="false">'[3]Pricing Summary'!$AM28</f>
        <v>0.3275</v>
      </c>
      <c r="AO50" s="167" t="n">
        <f aca="false">0.9*AN50</f>
        <v>0.29475</v>
      </c>
      <c r="AP50" s="166" t="n">
        <f aca="false">1.5*AN50</f>
        <v>0.49125</v>
      </c>
      <c r="AQ50" s="167" t="n">
        <f aca="false">AN50</f>
        <v>0.3275</v>
      </c>
      <c r="AR50" s="166" t="n">
        <f aca="false">0.8*AQ50</f>
        <v>0.262</v>
      </c>
      <c r="AS50" s="166" t="n">
        <f aca="false">1.2*AQ50</f>
        <v>0.393</v>
      </c>
      <c r="AT50" s="169" t="n">
        <f aca="false">IF(G50&lt;110,17.94063*(LN(G50/100))+6.727568*(LN(G50/100)^2)+15.06494,(-4.1*G50+2135)/100)*0.5</f>
        <v>5.69829510087011</v>
      </c>
      <c r="AU50" s="169" t="n">
        <f aca="false">(0.75*AT50-AT50)</f>
        <v>-1.42457377521753</v>
      </c>
      <c r="AV50" s="166" t="n">
        <f aca="false">AT50/0.5*1.25-AT50</f>
        <v>8.54744265130517</v>
      </c>
      <c r="AW50" s="168" t="n">
        <f aca="false">IF(L50&lt;15,(15*L50+375)/100,(-4.71*L50+670.65)/100)*0.5</f>
        <v>2.08155</v>
      </c>
      <c r="AX50" s="166" t="n">
        <f aca="false">0.75*AW50-AW50</f>
        <v>-0.5203875</v>
      </c>
      <c r="AY50" s="166" t="n">
        <f aca="false">AW50/0.5*1.25-AW50</f>
        <v>3.122325</v>
      </c>
      <c r="AZ50" s="167" t="n">
        <v>0.5</v>
      </c>
      <c r="BA50" s="74"/>
      <c r="BB50" s="161" t="n">
        <f aca="false">EOMONTH(BB49,0)+1</f>
        <v>37377</v>
      </c>
      <c r="BC50" s="183"/>
      <c r="BD50" s="183"/>
      <c r="BE50" s="183"/>
      <c r="BF50" s="183"/>
      <c r="BG50" s="183"/>
      <c r="BH50" s="184"/>
      <c r="BI50" s="183"/>
      <c r="BJ50" s="183"/>
      <c r="BK50" s="183"/>
      <c r="BL50" s="183"/>
      <c r="BM50" s="183"/>
      <c r="BN50" s="184"/>
      <c r="BQ50" s="108" t="n">
        <v>36907.7428240741</v>
      </c>
      <c r="BR50" s="109" t="n">
        <v>36907.743287037</v>
      </c>
      <c r="BS50" s="110" t="n">
        <v>37347</v>
      </c>
      <c r="BT50" s="111" t="n">
        <v>149865.03125</v>
      </c>
      <c r="BU50" s="112" t="n">
        <v>101754.9453125</v>
      </c>
      <c r="BV50" s="112" t="n">
        <v>27248.185546875</v>
      </c>
      <c r="BW50" s="112" t="n">
        <v>27248.185546875</v>
      </c>
      <c r="BX50" s="113" t="n">
        <v>0</v>
      </c>
      <c r="BZ50" s="110" t="n">
        <v>37408</v>
      </c>
      <c r="CA50" s="185" t="n">
        <v>79</v>
      </c>
      <c r="CB50" s="116" t="n">
        <v>53</v>
      </c>
      <c r="CC50" s="181" t="n">
        <v>54</v>
      </c>
      <c r="CD50" s="181" t="n">
        <v>52</v>
      </c>
      <c r="CE50" s="117" t="n">
        <v>1</v>
      </c>
      <c r="CG50" s="125" t="s">
        <v>99</v>
      </c>
      <c r="CH50" s="126" t="s">
        <v>100</v>
      </c>
      <c r="CI50" s="126" t="s">
        <v>101</v>
      </c>
      <c r="CJ50" s="126" t="s">
        <v>102</v>
      </c>
      <c r="CK50" s="126" t="s">
        <v>103</v>
      </c>
      <c r="CL50" s="126" t="s">
        <v>104</v>
      </c>
      <c r="CM50" s="126" t="s">
        <v>105</v>
      </c>
      <c r="CN50" s="126" t="s">
        <v>106</v>
      </c>
      <c r="CO50" s="126" t="s">
        <v>107</v>
      </c>
      <c r="CP50" s="126" t="s">
        <v>108</v>
      </c>
      <c r="CQ50" s="126" t="s">
        <v>109</v>
      </c>
      <c r="CR50" s="126" t="s">
        <v>110</v>
      </c>
      <c r="CS50" s="126" t="s">
        <v>111</v>
      </c>
      <c r="CU50" s="125" t="s">
        <v>99</v>
      </c>
      <c r="CV50" s="126" t="s">
        <v>100</v>
      </c>
      <c r="CW50" s="126" t="s">
        <v>101</v>
      </c>
      <c r="CX50" s="126" t="s">
        <v>102</v>
      </c>
      <c r="CY50" s="126" t="s">
        <v>103</v>
      </c>
      <c r="CZ50" s="126" t="s">
        <v>104</v>
      </c>
      <c r="DA50" s="126" t="s">
        <v>105</v>
      </c>
      <c r="DB50" s="126" t="s">
        <v>106</v>
      </c>
      <c r="DC50" s="126" t="s">
        <v>107</v>
      </c>
      <c r="DD50" s="126" t="s">
        <v>108</v>
      </c>
      <c r="DE50" s="126" t="s">
        <v>109</v>
      </c>
      <c r="DF50" s="126" t="s">
        <v>110</v>
      </c>
      <c r="DG50" s="126" t="s">
        <v>111</v>
      </c>
      <c r="DI50" s="125" t="s">
        <v>99</v>
      </c>
      <c r="DJ50" s="126" t="s">
        <v>100</v>
      </c>
      <c r="DK50" s="126" t="s">
        <v>101</v>
      </c>
      <c r="DL50" s="126" t="s">
        <v>102</v>
      </c>
      <c r="DM50" s="126" t="s">
        <v>103</v>
      </c>
      <c r="DN50" s="126" t="s">
        <v>104</v>
      </c>
      <c r="DO50" s="126" t="s">
        <v>105</v>
      </c>
      <c r="DP50" s="126" t="s">
        <v>106</v>
      </c>
      <c r="DQ50" s="126" t="s">
        <v>107</v>
      </c>
      <c r="DR50" s="126" t="s">
        <v>108</v>
      </c>
      <c r="DS50" s="126" t="s">
        <v>109</v>
      </c>
      <c r="DT50" s="126" t="s">
        <v>110</v>
      </c>
      <c r="DU50" s="126" t="s">
        <v>111</v>
      </c>
    </row>
    <row r="51" customFormat="false" ht="12.75" hidden="false" customHeight="false" outlineLevel="0" collapsed="false">
      <c r="A51" s="0" t="n">
        <f aca="true">IF(ISERROR(MATCH(D51,iRefDt,0)),"",MATCH(D51,iRefDt,0))</f>
        <v>51</v>
      </c>
      <c r="B51" s="92" t="n">
        <f aca="false">MATCH(YEAR(D51),iSpreads)</f>
        <v>2</v>
      </c>
      <c r="C51" s="0" t="n">
        <f aca="false">MONTH(D51)</f>
        <v>7</v>
      </c>
      <c r="D51" s="93" t="n">
        <f aca="false">DATE(YEAR(D50),MONTH(D50)+1,1)</f>
        <v>37438</v>
      </c>
      <c r="E51" s="94" t="n">
        <f aca="false">VLOOKUP($D51,tblPriorPrice,2)</f>
        <v>105</v>
      </c>
      <c r="F51" s="162" t="n">
        <f aca="false">[3]TradeSum!$H29</f>
        <v>1</v>
      </c>
      <c r="G51" s="96" t="n">
        <f aca="false">E51+F51</f>
        <v>106</v>
      </c>
      <c r="H51" s="96" t="n">
        <f aca="true">G51+OFFSET($CU$4,$B51,$C51)</f>
        <v>101</v>
      </c>
      <c r="I51" s="96" t="n">
        <f aca="true">G51+OFFSET($DI$4,$B51,$C51)</f>
        <v>121</v>
      </c>
      <c r="J51" s="94" t="n">
        <f aca="false">VLOOKUP($D51,tblPriorPrice,3)</f>
        <v>53</v>
      </c>
      <c r="K51" s="162" t="n">
        <f aca="false">[3]TradeSum!$R73</f>
        <v>1</v>
      </c>
      <c r="L51" s="96" t="n">
        <f aca="false">J51+K51</f>
        <v>54</v>
      </c>
      <c r="M51" s="96" t="n">
        <f aca="true">$L51+OFFSET($CU$27,$B51,$C51)</f>
        <v>49</v>
      </c>
      <c r="N51" s="97" t="n">
        <f aca="true">$L51+OFFSET($DI$27,$B51,$C51)</f>
        <v>59</v>
      </c>
      <c r="O51" s="59" t="n">
        <f aca="true">IF($A51="",0,INDEX(tblPosn,$A51,2))</f>
        <v>147908.96875</v>
      </c>
      <c r="P51" s="59" t="n">
        <f aca="true">IF($A51="",0,INDEX(tblPosn,$A51,3))</f>
        <v>104208.5859375</v>
      </c>
      <c r="Q51" s="59" t="n">
        <f aca="true">IF($A51="",0,INDEX(tblPosn,$A51,4))</f>
        <v>26892.5390625</v>
      </c>
      <c r="R51" s="59" t="n">
        <f aca="true">IF($A51="",0,INDEX(tblPosn,$A51,5))</f>
        <v>33615.67578125</v>
      </c>
      <c r="S51" s="59" t="n">
        <f aca="true">IF($A51="",0,INDEX(tblPosn,$A51,6))</f>
        <v>0</v>
      </c>
      <c r="T51" s="98" t="n">
        <f aca="false">O51*F51+P51*K51+R51*AC51+S51*AH51/0.72+Q51*X51</f>
        <v>312625.76953125</v>
      </c>
      <c r="V51" s="161" t="n">
        <f aca="false">D51</f>
        <v>37438</v>
      </c>
      <c r="W51" s="94" t="n">
        <f aca="false">VLOOKUP($D51,tblPriorPrice,4)</f>
        <v>78</v>
      </c>
      <c r="X51" s="162" t="n">
        <f aca="false">[3]TradeSum!$H29</f>
        <v>1</v>
      </c>
      <c r="Y51" s="176" t="n">
        <f aca="false">W51+X51</f>
        <v>79</v>
      </c>
      <c r="Z51" s="96" t="n">
        <f aca="true">Y51+OFFSET($CU$51,$B51,$C51)</f>
        <v>74</v>
      </c>
      <c r="AA51" s="177" t="n">
        <f aca="true">Y51+OFFSET($DI$51,$B51,$C51)</f>
        <v>94</v>
      </c>
      <c r="AB51" s="94" t="n">
        <f aca="false">VLOOKUP($D51,tblPriorPrice,5)</f>
        <v>70</v>
      </c>
      <c r="AC51" s="162" t="n">
        <f aca="false">[3]TradeSum!$H29</f>
        <v>1</v>
      </c>
      <c r="AD51" s="176" t="n">
        <f aca="false">AB51+AC51</f>
        <v>71</v>
      </c>
      <c r="AE51" s="96" t="n">
        <f aca="true">AD51+OFFSET($CU$74,$B51,$C51)</f>
        <v>66</v>
      </c>
      <c r="AF51" s="177" t="n">
        <f aca="true">AD51+OFFSET($DI$74,$B51,$C51)</f>
        <v>86</v>
      </c>
      <c r="AG51" s="94" t="n">
        <f aca="false">VLOOKUP($D51,tblPriorPrice,6)</f>
        <v>1</v>
      </c>
      <c r="AH51" s="182"/>
      <c r="AI51" s="163" t="n">
        <f aca="false">AG51+AH51</f>
        <v>1</v>
      </c>
      <c r="AJ51" s="96" t="n">
        <f aca="false">AI51</f>
        <v>1</v>
      </c>
      <c r="AK51" s="97" t="n">
        <f aca="false">AI51</f>
        <v>1</v>
      </c>
      <c r="AL51" s="178" t="n">
        <v>7</v>
      </c>
      <c r="AM51" s="165" t="n">
        <v>0.15</v>
      </c>
      <c r="AN51" s="167" t="n">
        <f aca="false">'[3]Pricing Summary'!$AM29</f>
        <v>0.3225</v>
      </c>
      <c r="AO51" s="167" t="n">
        <f aca="false">0.9*AN51</f>
        <v>0.29025</v>
      </c>
      <c r="AP51" s="166" t="n">
        <f aca="false">1.5*AN51</f>
        <v>0.48375</v>
      </c>
      <c r="AQ51" s="167" t="n">
        <f aca="false">AN51</f>
        <v>0.3225</v>
      </c>
      <c r="AR51" s="166" t="n">
        <f aca="false">0.8*AQ51</f>
        <v>0.258</v>
      </c>
      <c r="AS51" s="166" t="n">
        <f aca="false">1.2*AQ51</f>
        <v>0.387</v>
      </c>
      <c r="AT51" s="169" t="n">
        <f aca="false">IF(G51&lt;110,17.94063*(LN(G51/100))+6.727568*(LN(G51/100)^2)+15.06494,(-4.1*G51+2135)/100)*0.5</f>
        <v>8.06658140086066</v>
      </c>
      <c r="AU51" s="169" t="n">
        <f aca="false">(0.75*AT51-AT51)</f>
        <v>-2.01664535021517</v>
      </c>
      <c r="AV51" s="166" t="n">
        <f aca="false">AT51/0.5*1.25-AT51</f>
        <v>12.099872101291</v>
      </c>
      <c r="AW51" s="168" t="n">
        <f aca="false">IF(L51&lt;15,(15*L51+375)/100,(-4.71*L51+670.65)/100)*0.5</f>
        <v>2.08155</v>
      </c>
      <c r="AX51" s="166" t="n">
        <f aca="false">0.75*AW51-AW51</f>
        <v>-0.5203875</v>
      </c>
      <c r="AY51" s="166" t="n">
        <f aca="false">AW51/0.5*1.25-AW51</f>
        <v>3.122325</v>
      </c>
      <c r="AZ51" s="167" t="n">
        <v>0.5</v>
      </c>
      <c r="BA51" s="74"/>
      <c r="BB51" s="161" t="n">
        <f aca="false">EOMONTH(BB50,0)+1</f>
        <v>37408</v>
      </c>
      <c r="BC51" s="183"/>
      <c r="BD51" s="183"/>
      <c r="BE51" s="183"/>
      <c r="BF51" s="183"/>
      <c r="BG51" s="183"/>
      <c r="BH51" s="184"/>
      <c r="BI51" s="183"/>
      <c r="BJ51" s="183"/>
      <c r="BK51" s="183"/>
      <c r="BL51" s="183"/>
      <c r="BM51" s="183"/>
      <c r="BN51" s="184"/>
      <c r="BQ51" s="108" t="n">
        <v>36907.7428240741</v>
      </c>
      <c r="BR51" s="109" t="n">
        <v>36907.743287037</v>
      </c>
      <c r="BS51" s="110" t="n">
        <v>37377</v>
      </c>
      <c r="BT51" s="111" t="n">
        <v>149204.828125</v>
      </c>
      <c r="BU51" s="112" t="n">
        <v>105121.5859375</v>
      </c>
      <c r="BV51" s="112" t="n">
        <v>27128.1484375</v>
      </c>
      <c r="BW51" s="112" t="n">
        <v>33910.1875</v>
      </c>
      <c r="BX51" s="113" t="n">
        <v>0</v>
      </c>
      <c r="BZ51" s="110" t="n">
        <v>37438</v>
      </c>
      <c r="CA51" s="185" t="n">
        <v>105</v>
      </c>
      <c r="CB51" s="116" t="n">
        <v>53</v>
      </c>
      <c r="CC51" s="181" t="n">
        <v>78</v>
      </c>
      <c r="CD51" s="181" t="n">
        <v>70</v>
      </c>
      <c r="CE51" s="117" t="n">
        <v>1</v>
      </c>
      <c r="CG51" s="128" t="n">
        <f aca="false">BB10</f>
        <v>2001</v>
      </c>
      <c r="CH51" s="129" t="n">
        <v>0</v>
      </c>
      <c r="CI51" s="130" t="n">
        <v>0</v>
      </c>
      <c r="CJ51" s="130" t="n">
        <v>0</v>
      </c>
      <c r="CK51" s="130" t="n">
        <v>0</v>
      </c>
      <c r="CL51" s="130" t="n">
        <v>0</v>
      </c>
      <c r="CM51" s="130" t="n">
        <v>0</v>
      </c>
      <c r="CN51" s="130" t="n">
        <v>0</v>
      </c>
      <c r="CO51" s="130" t="n">
        <v>0</v>
      </c>
      <c r="CP51" s="130" t="n">
        <v>0</v>
      </c>
      <c r="CQ51" s="130" t="n">
        <v>0</v>
      </c>
      <c r="CR51" s="130" t="n">
        <v>0</v>
      </c>
      <c r="CS51" s="131" t="n">
        <v>0</v>
      </c>
      <c r="CU51" s="128" t="n">
        <f aca="false">BB10</f>
        <v>2001</v>
      </c>
      <c r="CV51" s="129" t="n">
        <v>-5</v>
      </c>
      <c r="CW51" s="130" t="n">
        <v>-5</v>
      </c>
      <c r="CX51" s="130" t="n">
        <v>-5</v>
      </c>
      <c r="CY51" s="130" t="n">
        <v>-5</v>
      </c>
      <c r="CZ51" s="130" t="n">
        <v>-5</v>
      </c>
      <c r="DA51" s="130" t="n">
        <v>-5</v>
      </c>
      <c r="DB51" s="130" t="n">
        <v>-5</v>
      </c>
      <c r="DC51" s="130" t="n">
        <v>-5</v>
      </c>
      <c r="DD51" s="130" t="n">
        <v>-5</v>
      </c>
      <c r="DE51" s="130" t="n">
        <v>-5</v>
      </c>
      <c r="DF51" s="130" t="n">
        <v>-5</v>
      </c>
      <c r="DG51" s="131" t="n">
        <v>-5</v>
      </c>
      <c r="DI51" s="128" t="n">
        <f aca="false">BB10</f>
        <v>2001</v>
      </c>
      <c r="DJ51" s="129" t="n">
        <f aca="false">DJ5</f>
        <v>25</v>
      </c>
      <c r="DK51" s="130" t="n">
        <f aca="false">DK5</f>
        <v>25</v>
      </c>
      <c r="DL51" s="130" t="n">
        <f aca="false">DL5</f>
        <v>25</v>
      </c>
      <c r="DM51" s="130" t="n">
        <f aca="false">DM5</f>
        <v>25</v>
      </c>
      <c r="DN51" s="130" t="n">
        <f aca="false">DN5</f>
        <v>25</v>
      </c>
      <c r="DO51" s="130" t="n">
        <f aca="false">DO5</f>
        <v>25</v>
      </c>
      <c r="DP51" s="130" t="n">
        <f aca="false">DP5</f>
        <v>25</v>
      </c>
      <c r="DQ51" s="130" t="n">
        <f aca="false">DQ5</f>
        <v>25</v>
      </c>
      <c r="DR51" s="130" t="n">
        <f aca="false">DR5</f>
        <v>25</v>
      </c>
      <c r="DS51" s="130" t="n">
        <f aca="false">DS5</f>
        <v>25</v>
      </c>
      <c r="DT51" s="130" t="n">
        <f aca="false">DT5</f>
        <v>25</v>
      </c>
      <c r="DU51" s="131" t="n">
        <f aca="false">DU5</f>
        <v>25</v>
      </c>
    </row>
    <row r="52" customFormat="false" ht="12.75" hidden="false" customHeight="false" outlineLevel="0" collapsed="false">
      <c r="A52" s="0" t="n">
        <f aca="true">IF(ISERROR(MATCH(D52,iRefDt,0)),"",MATCH(D52,iRefDt,0))</f>
        <v>52</v>
      </c>
      <c r="B52" s="92" t="n">
        <f aca="false">MATCH(YEAR(D52),iSpreads)</f>
        <v>2</v>
      </c>
      <c r="C52" s="0" t="n">
        <f aca="false">MONTH(D52)</f>
        <v>8</v>
      </c>
      <c r="D52" s="93" t="n">
        <f aca="false">DATE(YEAR(D51),MONTH(D51)+1,1)</f>
        <v>37469</v>
      </c>
      <c r="E52" s="94" t="n">
        <f aca="false">VLOOKUP($D52,tblPriorPrice,2)</f>
        <v>147</v>
      </c>
      <c r="F52" s="162" t="n">
        <f aca="false">[3]TradeSum!$H30</f>
        <v>1</v>
      </c>
      <c r="G52" s="96" t="n">
        <f aca="false">E52+F52</f>
        <v>148</v>
      </c>
      <c r="H52" s="96" t="n">
        <f aca="true">G52+OFFSET($CU$4,$B52,$C52)</f>
        <v>143</v>
      </c>
      <c r="I52" s="96" t="n">
        <f aca="true">G52+OFFSET($DI$4,$B52,$C52)</f>
        <v>163</v>
      </c>
      <c r="J52" s="94" t="n">
        <f aca="false">VLOOKUP($D52,tblPriorPrice,3)</f>
        <v>55</v>
      </c>
      <c r="K52" s="162" t="n">
        <f aca="false">[3]TradeSum!$R74</f>
        <v>1</v>
      </c>
      <c r="L52" s="96" t="n">
        <f aca="false">J52+K52</f>
        <v>56</v>
      </c>
      <c r="M52" s="96" t="n">
        <f aca="true">$L52+OFFSET($CU$27,$B52,$C52)</f>
        <v>51</v>
      </c>
      <c r="N52" s="97" t="n">
        <f aca="true">$L52+OFFSET($DI$27,$B52,$C52)</f>
        <v>61</v>
      </c>
      <c r="O52" s="59" t="n">
        <f aca="true">IF($A52="",0,INDEX(tblPosn,$A52,2))</f>
        <v>147266.234375</v>
      </c>
      <c r="P52" s="59" t="n">
        <f aca="true">IF($A52="",0,INDEX(tblPosn,$A52,3))</f>
        <v>103755.75</v>
      </c>
      <c r="Q52" s="59" t="n">
        <f aca="true">IF($A52="",0,INDEX(tblPosn,$A52,4))</f>
        <v>33469.59765625</v>
      </c>
      <c r="R52" s="59" t="n">
        <f aca="true">IF($A52="",0,INDEX(tblPosn,$A52,5))</f>
        <v>26775.677734375</v>
      </c>
      <c r="S52" s="59" t="n">
        <f aca="true">IF($A52="",0,INDEX(tblPosn,$A52,6))</f>
        <v>0</v>
      </c>
      <c r="T52" s="98" t="n">
        <f aca="false">O52*F52+P52*K52+R52*AC52+S52*AH52/0.72+Q52*X52</f>
        <v>311267.259765625</v>
      </c>
      <c r="V52" s="161" t="n">
        <f aca="false">D52</f>
        <v>37469</v>
      </c>
      <c r="W52" s="94" t="n">
        <f aca="false">VLOOKUP($D52,tblPriorPrice,4)</f>
        <v>104</v>
      </c>
      <c r="X52" s="162" t="n">
        <f aca="false">[3]TradeSum!$H30</f>
        <v>1</v>
      </c>
      <c r="Y52" s="176" t="n">
        <f aca="false">W52+X52</f>
        <v>105</v>
      </c>
      <c r="Z52" s="96" t="n">
        <f aca="true">Y52+OFFSET($CU$51,$B52,$C52)</f>
        <v>100</v>
      </c>
      <c r="AA52" s="177" t="n">
        <f aca="true">Y52+OFFSET($DI$51,$B52,$C52)</f>
        <v>120</v>
      </c>
      <c r="AB52" s="94" t="n">
        <f aca="false">VLOOKUP($D52,tblPriorPrice,5)</f>
        <v>93</v>
      </c>
      <c r="AC52" s="162" t="n">
        <f aca="false">[3]TradeSum!$H30</f>
        <v>1</v>
      </c>
      <c r="AD52" s="176" t="n">
        <f aca="false">AB52+AC52</f>
        <v>94</v>
      </c>
      <c r="AE52" s="96" t="n">
        <f aca="true">AD52+OFFSET($CU$74,$B52,$C52)</f>
        <v>89</v>
      </c>
      <c r="AF52" s="177" t="n">
        <f aca="true">AD52+OFFSET($DI$74,$B52,$C52)</f>
        <v>109</v>
      </c>
      <c r="AG52" s="94" t="n">
        <f aca="false">VLOOKUP($D52,tblPriorPrice,6)</f>
        <v>1</v>
      </c>
      <c r="AH52" s="182"/>
      <c r="AI52" s="163" t="n">
        <f aca="false">AG52+AH52</f>
        <v>1</v>
      </c>
      <c r="AJ52" s="96" t="n">
        <f aca="false">AI52</f>
        <v>1</v>
      </c>
      <c r="AK52" s="97" t="n">
        <f aca="false">AI52</f>
        <v>1</v>
      </c>
      <c r="AL52" s="178" t="n">
        <v>7</v>
      </c>
      <c r="AM52" s="165" t="n">
        <v>0.15</v>
      </c>
      <c r="AN52" s="167" t="n">
        <f aca="false">'[3]Pricing Summary'!$AM30</f>
        <v>0.3225</v>
      </c>
      <c r="AO52" s="167" t="n">
        <f aca="false">0.9*AN52</f>
        <v>0.29025</v>
      </c>
      <c r="AP52" s="166" t="n">
        <f aca="false">1.5*AN52</f>
        <v>0.48375</v>
      </c>
      <c r="AQ52" s="167" t="n">
        <f aca="false">AN52</f>
        <v>0.3225</v>
      </c>
      <c r="AR52" s="166" t="n">
        <f aca="false">0.8*AQ52</f>
        <v>0.258</v>
      </c>
      <c r="AS52" s="166" t="n">
        <f aca="false">1.2*AQ52</f>
        <v>0.387</v>
      </c>
      <c r="AT52" s="169" t="n">
        <f aca="false">IF(G52&lt;110,17.94063*(LN(G52/100))+6.727568*(LN(G52/100)^2)+15.06494,(-4.1*G52+2135)/100)*0.5</f>
        <v>7.641</v>
      </c>
      <c r="AU52" s="169" t="n">
        <f aca="false">(0.75*AT52-AT52)</f>
        <v>-1.91025</v>
      </c>
      <c r="AV52" s="166" t="n">
        <f aca="false">AT52/0.5*1.25-AT52</f>
        <v>11.4615</v>
      </c>
      <c r="AW52" s="168" t="n">
        <f aca="false">IF(L52&lt;15,(15*L52+375)/100,(-4.71*L52+670.65)/100)*0.5</f>
        <v>2.03445</v>
      </c>
      <c r="AX52" s="166" t="n">
        <f aca="false">0.75*AW52-AW52</f>
        <v>-0.5086125</v>
      </c>
      <c r="AY52" s="166" t="n">
        <f aca="false">AW52/0.5*1.25-AW52</f>
        <v>3.051675</v>
      </c>
      <c r="AZ52" s="167" t="n">
        <v>0.5</v>
      </c>
      <c r="BA52" s="74"/>
      <c r="BB52" s="186" t="n">
        <f aca="false">EOMONTH(BB51,0)+1</f>
        <v>37438</v>
      </c>
      <c r="BC52" s="187"/>
      <c r="BD52" s="187"/>
      <c r="BE52" s="187"/>
      <c r="BF52" s="187"/>
      <c r="BG52" s="187"/>
      <c r="BH52" s="188"/>
      <c r="BI52" s="187"/>
      <c r="BJ52" s="187"/>
      <c r="BK52" s="187"/>
      <c r="BL52" s="187"/>
      <c r="BM52" s="187"/>
      <c r="BN52" s="188"/>
      <c r="BQ52" s="108" t="n">
        <v>36907.7428240741</v>
      </c>
      <c r="BR52" s="109" t="n">
        <v>36907.743287037</v>
      </c>
      <c r="BS52" s="110" t="n">
        <v>37408</v>
      </c>
      <c r="BT52" s="111" t="n">
        <v>135067.328125</v>
      </c>
      <c r="BU52" s="112" t="n">
        <v>101300.5</v>
      </c>
      <c r="BV52" s="112" t="n">
        <v>33766.83203125</v>
      </c>
      <c r="BW52" s="112" t="n">
        <v>33766.83203125</v>
      </c>
      <c r="BX52" s="113" t="n">
        <v>0</v>
      </c>
      <c r="BZ52" s="110" t="n">
        <v>37469</v>
      </c>
      <c r="CA52" s="185" t="n">
        <v>147</v>
      </c>
      <c r="CB52" s="116" t="n">
        <v>55</v>
      </c>
      <c r="CC52" s="181" t="n">
        <v>104</v>
      </c>
      <c r="CD52" s="181" t="n">
        <v>93</v>
      </c>
      <c r="CE52" s="117" t="n">
        <v>1</v>
      </c>
      <c r="CG52" s="135" t="n">
        <f aca="false">BB11</f>
        <v>2002</v>
      </c>
      <c r="CH52" s="136" t="n">
        <v>0</v>
      </c>
      <c r="CI52" s="137" t="n">
        <v>0</v>
      </c>
      <c r="CJ52" s="137" t="n">
        <v>0</v>
      </c>
      <c r="CK52" s="137" t="n">
        <v>0</v>
      </c>
      <c r="CL52" s="137" t="n">
        <v>0</v>
      </c>
      <c r="CM52" s="137" t="n">
        <v>0</v>
      </c>
      <c r="CN52" s="137" t="n">
        <v>0</v>
      </c>
      <c r="CO52" s="137" t="n">
        <v>0</v>
      </c>
      <c r="CP52" s="137" t="n">
        <v>0</v>
      </c>
      <c r="CQ52" s="137" t="n">
        <v>0</v>
      </c>
      <c r="CR52" s="137" t="n">
        <v>0</v>
      </c>
      <c r="CS52" s="138" t="n">
        <v>-31</v>
      </c>
      <c r="CU52" s="135" t="n">
        <f aca="false">BB11</f>
        <v>2002</v>
      </c>
      <c r="CV52" s="136" t="n">
        <v>-5</v>
      </c>
      <c r="CW52" s="137" t="n">
        <v>-5</v>
      </c>
      <c r="CX52" s="137" t="n">
        <v>-5</v>
      </c>
      <c r="CY52" s="137" t="n">
        <v>-5</v>
      </c>
      <c r="CZ52" s="137" t="n">
        <v>-5</v>
      </c>
      <c r="DA52" s="137" t="n">
        <v>-5</v>
      </c>
      <c r="DB52" s="137" t="n">
        <v>-5</v>
      </c>
      <c r="DC52" s="137" t="n">
        <v>-5</v>
      </c>
      <c r="DD52" s="137" t="n">
        <v>-5</v>
      </c>
      <c r="DE52" s="137" t="n">
        <v>-5</v>
      </c>
      <c r="DF52" s="137" t="n">
        <v>-5</v>
      </c>
      <c r="DG52" s="138" t="n">
        <v>-5</v>
      </c>
      <c r="DI52" s="135" t="n">
        <f aca="false">BB11</f>
        <v>2002</v>
      </c>
      <c r="DJ52" s="136" t="n">
        <f aca="false">DJ6</f>
        <v>15</v>
      </c>
      <c r="DK52" s="137" t="n">
        <f aca="false">DK6</f>
        <v>15</v>
      </c>
      <c r="DL52" s="137" t="n">
        <f aca="false">DL6</f>
        <v>15</v>
      </c>
      <c r="DM52" s="137" t="n">
        <f aca="false">DM6</f>
        <v>15</v>
      </c>
      <c r="DN52" s="137" t="n">
        <f aca="false">DN6</f>
        <v>15</v>
      </c>
      <c r="DO52" s="137" t="n">
        <f aca="false">DO6</f>
        <v>15</v>
      </c>
      <c r="DP52" s="137" t="n">
        <f aca="false">DP6</f>
        <v>15</v>
      </c>
      <c r="DQ52" s="137" t="n">
        <f aca="false">DQ6</f>
        <v>15</v>
      </c>
      <c r="DR52" s="137" t="n">
        <f aca="false">DR6</f>
        <v>15</v>
      </c>
      <c r="DS52" s="137" t="n">
        <f aca="false">DS6</f>
        <v>15</v>
      </c>
      <c r="DT52" s="137" t="n">
        <f aca="false">DT6</f>
        <v>15</v>
      </c>
      <c r="DU52" s="138" t="n">
        <f aca="false">DU6</f>
        <v>15</v>
      </c>
    </row>
    <row r="53" customFormat="false" ht="12.75" hidden="false" customHeight="false" outlineLevel="0" collapsed="false">
      <c r="A53" s="0" t="n">
        <f aca="true">IF(ISERROR(MATCH(D53,iRefDt,0)),"",MATCH(D53,iRefDt,0))</f>
        <v>53</v>
      </c>
      <c r="B53" s="92" t="n">
        <f aca="false">MATCH(YEAR(D53),iSpreads)</f>
        <v>2</v>
      </c>
      <c r="C53" s="62" t="n">
        <f aca="false">MONTH(D53)</f>
        <v>9</v>
      </c>
      <c r="D53" s="93" t="n">
        <f aca="false">DATE(YEAR(D52),MONTH(D52)+1,1)</f>
        <v>37500</v>
      </c>
      <c r="E53" s="94" t="n">
        <f aca="false">VLOOKUP($D53,tblPriorPrice,2)</f>
        <v>113</v>
      </c>
      <c r="F53" s="162" t="n">
        <f aca="false">[3]TradeSum!$H31</f>
        <v>1</v>
      </c>
      <c r="G53" s="96" t="n">
        <f aca="false">E53+F53</f>
        <v>114</v>
      </c>
      <c r="H53" s="96" t="n">
        <f aca="true">G53+OFFSET($CU$4,$B53,$C53)</f>
        <v>109</v>
      </c>
      <c r="I53" s="96" t="n">
        <f aca="true">G53+OFFSET($DI$4,$B53,$C53)</f>
        <v>129</v>
      </c>
      <c r="J53" s="94" t="n">
        <f aca="false">VLOOKUP($D53,tblPriorPrice,3)</f>
        <v>49</v>
      </c>
      <c r="K53" s="162" t="n">
        <f aca="false">[3]TradeSum!$R75</f>
        <v>1</v>
      </c>
      <c r="L53" s="96" t="n">
        <f aca="false">J53+K53</f>
        <v>50</v>
      </c>
      <c r="M53" s="96" t="n">
        <f aca="true">$L53+OFFSET($CU$27,$B53,$C53)</f>
        <v>45</v>
      </c>
      <c r="N53" s="97" t="n">
        <f aca="true">$L53+OFFSET($DI$27,$B53,$C53)</f>
        <v>55</v>
      </c>
      <c r="O53" s="59" t="n">
        <f aca="true">IF($A53="",0,INDEX(tblPosn,$A53,2))</f>
        <v>133288.640625</v>
      </c>
      <c r="P53" s="59" t="n">
        <f aca="true">IF($A53="",0,INDEX(tblPosn,$A53,3))</f>
        <v>99966.484375</v>
      </c>
      <c r="Q53" s="59" t="n">
        <f aca="true">IF($A53="",0,INDEX(tblPosn,$A53,4))</f>
        <v>26657.728515625</v>
      </c>
      <c r="R53" s="59" t="n">
        <f aca="true">IF($A53="",0,INDEX(tblPosn,$A53,5))</f>
        <v>39986.59375</v>
      </c>
      <c r="S53" s="59" t="n">
        <f aca="true">IF($A53="",0,INDEX(tblPosn,$A53,6))</f>
        <v>0</v>
      </c>
      <c r="T53" s="98" t="n">
        <f aca="false">O53*F53+P53*K53+R53*AC53+S53*AH53/0.72+Q53*X53</f>
        <v>299899.447265625</v>
      </c>
      <c r="V53" s="161" t="n">
        <f aca="false">D53</f>
        <v>37500</v>
      </c>
      <c r="W53" s="94" t="n">
        <f aca="false">VLOOKUP($D53,tblPriorPrice,4)</f>
        <v>77</v>
      </c>
      <c r="X53" s="162" t="n">
        <f aca="false">[3]TradeSum!$H31</f>
        <v>1</v>
      </c>
      <c r="Y53" s="176" t="n">
        <f aca="false">W53+X53</f>
        <v>78</v>
      </c>
      <c r="Z53" s="96" t="n">
        <f aca="true">Y53+OFFSET($CU$51,$B53,$C53)</f>
        <v>73</v>
      </c>
      <c r="AA53" s="177" t="n">
        <f aca="true">Y53+OFFSET($DI$51,$B53,$C53)</f>
        <v>93</v>
      </c>
      <c r="AB53" s="94" t="n">
        <f aca="false">VLOOKUP($D53,tblPriorPrice,5)</f>
        <v>69</v>
      </c>
      <c r="AC53" s="162" t="n">
        <f aca="false">[3]TradeSum!$H31</f>
        <v>1</v>
      </c>
      <c r="AD53" s="176" t="n">
        <f aca="false">AB53+AC53</f>
        <v>70</v>
      </c>
      <c r="AE53" s="96" t="n">
        <f aca="true">AD53+OFFSET($CU$74,$B53,$C53)</f>
        <v>65</v>
      </c>
      <c r="AF53" s="177" t="n">
        <f aca="true">AD53+OFFSET($DI$74,$B53,$C53)</f>
        <v>85</v>
      </c>
      <c r="AG53" s="94" t="n">
        <f aca="false">VLOOKUP($D53,tblPriorPrice,6)</f>
        <v>1</v>
      </c>
      <c r="AH53" s="182"/>
      <c r="AI53" s="163" t="n">
        <f aca="false">AG53+AH53</f>
        <v>1</v>
      </c>
      <c r="AJ53" s="96" t="n">
        <f aca="false">AI53</f>
        <v>1</v>
      </c>
      <c r="AK53" s="97" t="n">
        <f aca="false">AI53</f>
        <v>1</v>
      </c>
      <c r="AL53" s="178" t="n">
        <v>8</v>
      </c>
      <c r="AM53" s="165" t="n">
        <v>0.15</v>
      </c>
      <c r="AN53" s="167" t="n">
        <f aca="false">'[3]Pricing Summary'!$AM31</f>
        <v>0.3225</v>
      </c>
      <c r="AO53" s="167" t="n">
        <f aca="false">0.9*AN53</f>
        <v>0.29025</v>
      </c>
      <c r="AP53" s="166" t="n">
        <f aca="false">1.5*AN53</f>
        <v>0.48375</v>
      </c>
      <c r="AQ53" s="167" t="n">
        <f aca="false">AN53</f>
        <v>0.3225</v>
      </c>
      <c r="AR53" s="166" t="n">
        <f aca="false">0.8*AQ53</f>
        <v>0.258</v>
      </c>
      <c r="AS53" s="166" t="n">
        <f aca="false">1.2*AQ53</f>
        <v>0.387</v>
      </c>
      <c r="AT53" s="169" t="n">
        <f aca="false">IF(G53&lt;110,17.94063*(LN(G53/100))+6.727568*(LN(G53/100)^2)+15.06494,(-4.1*G53+2135)/100)*0.5</f>
        <v>8.338</v>
      </c>
      <c r="AU53" s="169" t="n">
        <f aca="false">(0.75*AT53-AT53)</f>
        <v>-2.0845</v>
      </c>
      <c r="AV53" s="166" t="n">
        <f aca="false">AT53/0.5*1.25-AT53</f>
        <v>12.507</v>
      </c>
      <c r="AW53" s="168" t="n">
        <f aca="false">IF(L53&lt;15,(15*L53+375)/100,(-4.71*L53+670.65)/100)*0.5</f>
        <v>2.17575</v>
      </c>
      <c r="AX53" s="166" t="n">
        <f aca="false">0.75*AW53-AW53</f>
        <v>-0.5439375</v>
      </c>
      <c r="AY53" s="166" t="n">
        <f aca="false">AW53/0.5*1.25-AW53</f>
        <v>3.263625</v>
      </c>
      <c r="AZ53" s="167" t="n">
        <v>0.5</v>
      </c>
      <c r="BA53" s="74"/>
      <c r="BI53" s="91"/>
      <c r="BJ53" s="91"/>
      <c r="BK53" s="91"/>
      <c r="BL53" s="91"/>
      <c r="BM53" s="91"/>
      <c r="BN53" s="91"/>
      <c r="BQ53" s="108" t="n">
        <v>36907.7428240741</v>
      </c>
      <c r="BR53" s="109" t="n">
        <v>36907.743287037</v>
      </c>
      <c r="BS53" s="110" t="n">
        <v>37438</v>
      </c>
      <c r="BT53" s="111" t="n">
        <v>147908.96875</v>
      </c>
      <c r="BU53" s="112" t="n">
        <v>104208.5859375</v>
      </c>
      <c r="BV53" s="112" t="n">
        <v>26892.5390625</v>
      </c>
      <c r="BW53" s="112" t="n">
        <v>33615.67578125</v>
      </c>
      <c r="BX53" s="113" t="n">
        <v>0</v>
      </c>
      <c r="BZ53" s="110" t="n">
        <v>37500</v>
      </c>
      <c r="CA53" s="185" t="n">
        <v>113</v>
      </c>
      <c r="CB53" s="116" t="n">
        <v>49</v>
      </c>
      <c r="CC53" s="181" t="n">
        <v>77</v>
      </c>
      <c r="CD53" s="181" t="n">
        <v>69</v>
      </c>
      <c r="CE53" s="117" t="n">
        <v>1</v>
      </c>
      <c r="CG53" s="135" t="n">
        <f aca="false">BB12</f>
        <v>2003</v>
      </c>
      <c r="CH53" s="137" t="n">
        <v>-36</v>
      </c>
      <c r="CI53" s="137" t="n">
        <v>-43</v>
      </c>
      <c r="CJ53" s="137" t="n">
        <v>-23</v>
      </c>
      <c r="CK53" s="137" t="n">
        <v>-9</v>
      </c>
      <c r="CL53" s="137" t="n">
        <v>-14</v>
      </c>
      <c r="CM53" s="137" t="n">
        <v>-9</v>
      </c>
      <c r="CN53" s="137" t="n">
        <v>-23</v>
      </c>
      <c r="CO53" s="137" t="n">
        <v>-27</v>
      </c>
      <c r="CP53" s="137" t="n">
        <v>-11</v>
      </c>
      <c r="CQ53" s="137" t="n">
        <v>-16</v>
      </c>
      <c r="CR53" s="137" t="n">
        <v>-15</v>
      </c>
      <c r="CS53" s="138" t="n">
        <v>-20</v>
      </c>
      <c r="CU53" s="135" t="n">
        <f aca="false">BB12</f>
        <v>2003</v>
      </c>
      <c r="CV53" s="136" t="n">
        <v>-5</v>
      </c>
      <c r="CW53" s="137" t="n">
        <v>-5</v>
      </c>
      <c r="CX53" s="137" t="n">
        <v>-5</v>
      </c>
      <c r="CY53" s="137" t="n">
        <v>-5</v>
      </c>
      <c r="CZ53" s="137" t="n">
        <v>-5</v>
      </c>
      <c r="DA53" s="137" t="n">
        <v>-5</v>
      </c>
      <c r="DB53" s="137" t="n">
        <v>-5</v>
      </c>
      <c r="DC53" s="137" t="n">
        <v>-5</v>
      </c>
      <c r="DD53" s="137" t="n">
        <v>-5</v>
      </c>
      <c r="DE53" s="137" t="n">
        <v>-5</v>
      </c>
      <c r="DF53" s="137" t="n">
        <v>-5</v>
      </c>
      <c r="DG53" s="138" t="n">
        <v>-5</v>
      </c>
      <c r="DI53" s="135" t="n">
        <f aca="false">BB12</f>
        <v>2003</v>
      </c>
      <c r="DJ53" s="136" t="n">
        <f aca="false">DJ7</f>
        <v>15</v>
      </c>
      <c r="DK53" s="137" t="n">
        <f aca="false">DK7</f>
        <v>15</v>
      </c>
      <c r="DL53" s="137" t="n">
        <f aca="false">DL7</f>
        <v>15</v>
      </c>
      <c r="DM53" s="137" t="n">
        <f aca="false">DM7</f>
        <v>15</v>
      </c>
      <c r="DN53" s="137" t="n">
        <f aca="false">DN7</f>
        <v>15</v>
      </c>
      <c r="DO53" s="137" t="n">
        <f aca="false">DO7</f>
        <v>15</v>
      </c>
      <c r="DP53" s="137" t="n">
        <f aca="false">DP7</f>
        <v>15</v>
      </c>
      <c r="DQ53" s="137" t="n">
        <f aca="false">DQ7</f>
        <v>15</v>
      </c>
      <c r="DR53" s="137" t="n">
        <f aca="false">DR7</f>
        <v>15</v>
      </c>
      <c r="DS53" s="137" t="n">
        <f aca="false">DS7</f>
        <v>15</v>
      </c>
      <c r="DT53" s="137" t="n">
        <f aca="false">DT7</f>
        <v>15</v>
      </c>
      <c r="DU53" s="138" t="n">
        <f aca="false">DU7</f>
        <v>15</v>
      </c>
    </row>
    <row r="54" customFormat="false" ht="12.75" hidden="false" customHeight="false" outlineLevel="0" collapsed="false">
      <c r="A54" s="0" t="n">
        <f aca="true">IF(ISERROR(MATCH(D54,iRefDt,0)),"",MATCH(D54,iRefDt,0))</f>
        <v>54</v>
      </c>
      <c r="B54" s="92" t="n">
        <f aca="false">MATCH(YEAR(D54),iSpreads)</f>
        <v>2</v>
      </c>
      <c r="C54" s="0" t="n">
        <f aca="false">MONTH(D54)</f>
        <v>10</v>
      </c>
      <c r="D54" s="93" t="n">
        <f aca="false">DATE(YEAR(D53),MONTH(D53)+1,1)</f>
        <v>37530</v>
      </c>
      <c r="E54" s="94" t="n">
        <f aca="false">VLOOKUP($D54,tblPriorPrice,2)</f>
        <v>77</v>
      </c>
      <c r="F54" s="162" t="n">
        <f aca="false">[3]TradeSum!$H32</f>
        <v>1</v>
      </c>
      <c r="G54" s="96" t="n">
        <f aca="false">E54+F54</f>
        <v>78</v>
      </c>
      <c r="H54" s="96" t="n">
        <f aca="true">G54+OFFSET($CU$4,$B54,$C54)</f>
        <v>73</v>
      </c>
      <c r="I54" s="96" t="n">
        <f aca="true">G54+OFFSET($DI$4,$B54,$C54)</f>
        <v>93</v>
      </c>
      <c r="J54" s="94" t="n">
        <f aca="false">VLOOKUP($D54,tblPriorPrice,3)</f>
        <v>51</v>
      </c>
      <c r="K54" s="162" t="n">
        <f aca="false">[3]TradeSum!$R76</f>
        <v>1</v>
      </c>
      <c r="L54" s="96" t="n">
        <f aca="false">J54+K54</f>
        <v>52</v>
      </c>
      <c r="M54" s="96" t="n">
        <f aca="true">$L54+OFFSET($CU$27,$B54,$C54)</f>
        <v>47</v>
      </c>
      <c r="N54" s="97" t="n">
        <f aca="true">$L54+OFFSET($DI$27,$B54,$C54)</f>
        <v>57</v>
      </c>
      <c r="O54" s="59" t="n">
        <f aca="true">IF($A54="",0,INDEX(tblPosn,$A54,2))</f>
        <v>152320.96875</v>
      </c>
      <c r="P54" s="59" t="n">
        <f aca="true">IF($A54="",0,INDEX(tblPosn,$A54,3))</f>
        <v>103061.078125</v>
      </c>
      <c r="Q54" s="59" t="n">
        <f aca="true">IF($A54="",0,INDEX(tblPosn,$A54,4))</f>
        <v>26480.474609375</v>
      </c>
      <c r="R54" s="59" t="n">
        <f aca="true">IF($A54="",0,INDEX(tblPosn,$A54,5))</f>
        <v>26495.033203125</v>
      </c>
      <c r="S54" s="59" t="n">
        <f aca="true">IF($A54="",0,INDEX(tblPosn,$A54,6))</f>
        <v>0</v>
      </c>
      <c r="T54" s="98" t="n">
        <f aca="false">O54*F54+P54*K54+R54*AC54+S54*AH54/0.72+Q54*X54</f>
        <v>308357.5546875</v>
      </c>
      <c r="V54" s="161" t="n">
        <f aca="false">D54</f>
        <v>37530</v>
      </c>
      <c r="W54" s="94" t="n">
        <f aca="false">VLOOKUP($D54,tblPriorPrice,4)</f>
        <v>58</v>
      </c>
      <c r="X54" s="162" t="n">
        <f aca="false">[3]TradeSum!$H32</f>
        <v>1</v>
      </c>
      <c r="Y54" s="176" t="n">
        <f aca="false">W54+X54</f>
        <v>59</v>
      </c>
      <c r="Z54" s="96" t="n">
        <f aca="true">Y54+OFFSET($CU$51,$B54,$C54)</f>
        <v>54</v>
      </c>
      <c r="AA54" s="177" t="n">
        <f aca="true">Y54+OFFSET($DI$51,$B54,$C54)</f>
        <v>74</v>
      </c>
      <c r="AB54" s="94" t="n">
        <f aca="false">VLOOKUP($D54,tblPriorPrice,5)</f>
        <v>52</v>
      </c>
      <c r="AC54" s="162" t="n">
        <f aca="false">[3]TradeSum!$H32</f>
        <v>1</v>
      </c>
      <c r="AD54" s="176" t="n">
        <f aca="false">AB54+AC54</f>
        <v>53</v>
      </c>
      <c r="AE54" s="96" t="n">
        <f aca="true">AD54+OFFSET($CU$74,$B54,$C54)</f>
        <v>48</v>
      </c>
      <c r="AF54" s="177" t="n">
        <f aca="true">AD54+OFFSET($DI$74,$B54,$C54)</f>
        <v>68</v>
      </c>
      <c r="AG54" s="94" t="n">
        <f aca="false">VLOOKUP($D54,tblPriorPrice,6)</f>
        <v>1</v>
      </c>
      <c r="AH54" s="182"/>
      <c r="AI54" s="189" t="n">
        <f aca="false">AG54+AH54</f>
        <v>1</v>
      </c>
      <c r="AJ54" s="96" t="n">
        <f aca="false">AI54</f>
        <v>1</v>
      </c>
      <c r="AK54" s="97" t="n">
        <f aca="false">AI54</f>
        <v>1</v>
      </c>
      <c r="AL54" s="178" t="n">
        <v>8</v>
      </c>
      <c r="AM54" s="165" t="n">
        <v>0.15</v>
      </c>
      <c r="AN54" s="167" t="n">
        <f aca="false">'[3]Pricing Summary'!$AM32</f>
        <v>0.325</v>
      </c>
      <c r="AO54" s="167" t="n">
        <f aca="false">0.9*AN54</f>
        <v>0.2925</v>
      </c>
      <c r="AP54" s="166" t="n">
        <f aca="false">1.5*AN54</f>
        <v>0.4875</v>
      </c>
      <c r="AQ54" s="167" t="n">
        <f aca="false">AN54</f>
        <v>0.325</v>
      </c>
      <c r="AR54" s="166" t="n">
        <f aca="false">0.8*AQ54</f>
        <v>0.26</v>
      </c>
      <c r="AS54" s="166" t="n">
        <f aca="false">1.2*AQ54</f>
        <v>0.39</v>
      </c>
      <c r="AT54" s="169" t="n">
        <f aca="false">IF(G54&lt;110,17.94063*(LN(G54/100))+6.727568*(LN(G54/100)^2)+15.06494,(-4.1*G54+2135)/100)*0.5</f>
        <v>5.51134997775095</v>
      </c>
      <c r="AU54" s="169" t="n">
        <f aca="false">(0.75*AT54-AT54)</f>
        <v>-1.37783749443774</v>
      </c>
      <c r="AV54" s="166" t="n">
        <f aca="false">AT54/0.5*1.25-AT54</f>
        <v>8.26702496662643</v>
      </c>
      <c r="AW54" s="168" t="n">
        <f aca="false">IF(L54&lt;15,(15*L54+375)/100,(-4.71*L54+670.65)/100)*0.5</f>
        <v>2.12865</v>
      </c>
      <c r="AX54" s="166" t="n">
        <f aca="false">0.75*AW54-AW54</f>
        <v>-0.5321625</v>
      </c>
      <c r="AY54" s="166" t="n">
        <f aca="false">AW54/0.5*1.25-AW54</f>
        <v>3.192975</v>
      </c>
      <c r="AZ54" s="167" t="n">
        <v>0.5</v>
      </c>
      <c r="BA54" s="74"/>
      <c r="BB54" s="5" t="s">
        <v>123</v>
      </c>
      <c r="BI54" s="91"/>
      <c r="BJ54" s="91"/>
      <c r="BK54" s="91"/>
      <c r="BL54" s="91"/>
      <c r="BM54" s="91"/>
      <c r="BN54" s="91"/>
      <c r="BQ54" s="108" t="n">
        <v>36907.7428240741</v>
      </c>
      <c r="BR54" s="109" t="n">
        <v>36907.743287037</v>
      </c>
      <c r="BS54" s="110" t="n">
        <v>37469</v>
      </c>
      <c r="BT54" s="111" t="n">
        <v>147266.234375</v>
      </c>
      <c r="BU54" s="112" t="n">
        <v>103755.75</v>
      </c>
      <c r="BV54" s="112" t="n">
        <v>33469.59765625</v>
      </c>
      <c r="BW54" s="112" t="n">
        <v>26775.677734375</v>
      </c>
      <c r="BX54" s="113" t="n">
        <v>0</v>
      </c>
      <c r="BZ54" s="110" t="n">
        <v>37530</v>
      </c>
      <c r="CA54" s="185" t="n">
        <v>77</v>
      </c>
      <c r="CB54" s="116" t="n">
        <v>51</v>
      </c>
      <c r="CC54" s="181" t="n">
        <v>58</v>
      </c>
      <c r="CD54" s="181" t="n">
        <v>52</v>
      </c>
      <c r="CE54" s="117" t="n">
        <v>1</v>
      </c>
      <c r="CG54" s="135" t="n">
        <f aca="false">BB13</f>
        <v>2004</v>
      </c>
      <c r="CH54" s="137" t="n">
        <v>-29</v>
      </c>
      <c r="CI54" s="137" t="n">
        <v>-18</v>
      </c>
      <c r="CJ54" s="137" t="n">
        <v>-22</v>
      </c>
      <c r="CK54" s="137" t="n">
        <v>-6</v>
      </c>
      <c r="CL54" s="137" t="n">
        <v>-6</v>
      </c>
      <c r="CM54" s="137" t="n">
        <v>-7</v>
      </c>
      <c r="CN54" s="137" t="n">
        <v>-13</v>
      </c>
      <c r="CO54" s="137" t="n">
        <v>-21</v>
      </c>
      <c r="CP54" s="137" t="n">
        <v>-31</v>
      </c>
      <c r="CQ54" s="137" t="n">
        <v>-6</v>
      </c>
      <c r="CR54" s="137" t="n">
        <v>-15</v>
      </c>
      <c r="CS54" s="138" t="n">
        <v>-23</v>
      </c>
      <c r="CU54" s="135" t="n">
        <f aca="false">BB13</f>
        <v>2004</v>
      </c>
      <c r="CV54" s="136" t="n">
        <v>-5</v>
      </c>
      <c r="CW54" s="137" t="n">
        <v>-5</v>
      </c>
      <c r="CX54" s="137" t="n">
        <v>-5</v>
      </c>
      <c r="CY54" s="137" t="n">
        <v>-5</v>
      </c>
      <c r="CZ54" s="137" t="n">
        <v>-5</v>
      </c>
      <c r="DA54" s="137" t="n">
        <v>-5</v>
      </c>
      <c r="DB54" s="137" t="n">
        <v>-5</v>
      </c>
      <c r="DC54" s="137" t="n">
        <v>-5</v>
      </c>
      <c r="DD54" s="137" t="n">
        <v>-5</v>
      </c>
      <c r="DE54" s="137" t="n">
        <v>-5</v>
      </c>
      <c r="DF54" s="137" t="n">
        <v>-5</v>
      </c>
      <c r="DG54" s="138" t="n">
        <v>-5</v>
      </c>
      <c r="DI54" s="135" t="n">
        <f aca="false">BB13</f>
        <v>2004</v>
      </c>
      <c r="DJ54" s="136" t="n">
        <f aca="false">DJ8</f>
        <v>15</v>
      </c>
      <c r="DK54" s="137" t="n">
        <f aca="false">DK8</f>
        <v>15</v>
      </c>
      <c r="DL54" s="137" t="n">
        <f aca="false">DL8</f>
        <v>15</v>
      </c>
      <c r="DM54" s="137" t="n">
        <f aca="false">DM8</f>
        <v>15</v>
      </c>
      <c r="DN54" s="137" t="n">
        <f aca="false">DN8</f>
        <v>15</v>
      </c>
      <c r="DO54" s="137" t="n">
        <f aca="false">DO8</f>
        <v>15</v>
      </c>
      <c r="DP54" s="137" t="n">
        <f aca="false">DP8</f>
        <v>15</v>
      </c>
      <c r="DQ54" s="137" t="n">
        <f aca="false">DQ8</f>
        <v>15</v>
      </c>
      <c r="DR54" s="137" t="n">
        <f aca="false">DR8</f>
        <v>15</v>
      </c>
      <c r="DS54" s="137" t="n">
        <f aca="false">DS8</f>
        <v>15</v>
      </c>
      <c r="DT54" s="137" t="n">
        <f aca="false">DT8</f>
        <v>15</v>
      </c>
      <c r="DU54" s="138" t="n">
        <f aca="false">DU8</f>
        <v>15</v>
      </c>
    </row>
    <row r="55" customFormat="false" ht="12.75" hidden="false" customHeight="false" outlineLevel="0" collapsed="false">
      <c r="A55" s="0" t="n">
        <f aca="true">IF(ISERROR(MATCH(D55,iRefDt,0)),"",MATCH(D55,iRefDt,0))</f>
        <v>55</v>
      </c>
      <c r="B55" s="92" t="n">
        <f aca="false">MATCH(YEAR(D55),iSpreads)</f>
        <v>2</v>
      </c>
      <c r="C55" s="0" t="n">
        <f aca="false">MONTH(D55)</f>
        <v>11</v>
      </c>
      <c r="D55" s="93" t="n">
        <f aca="false">DATE(YEAR(D54),MONTH(D54)+1,1)</f>
        <v>37561</v>
      </c>
      <c r="E55" s="94" t="n">
        <f aca="false">VLOOKUP($D55,tblPriorPrice,2)</f>
        <v>88</v>
      </c>
      <c r="F55" s="162" t="n">
        <f aca="false">[3]TradeSum!$H33</f>
        <v>1</v>
      </c>
      <c r="G55" s="96" t="n">
        <f aca="false">E55+F55</f>
        <v>89</v>
      </c>
      <c r="H55" s="96" t="n">
        <f aca="true">G55+OFFSET($CU$4,$B55,$C55)</f>
        <v>84</v>
      </c>
      <c r="I55" s="96" t="n">
        <f aca="true">G55+OFFSET($DI$4,$B55,$C55)</f>
        <v>104</v>
      </c>
      <c r="J55" s="94" t="n">
        <f aca="false">VLOOKUP($D55,tblPriorPrice,3)</f>
        <v>49</v>
      </c>
      <c r="K55" s="162" t="n">
        <f aca="false">[3]TradeSum!$R77</f>
        <v>1</v>
      </c>
      <c r="L55" s="96" t="n">
        <f aca="false">J55+K55</f>
        <v>50</v>
      </c>
      <c r="M55" s="96" t="n">
        <f aca="true">$L55+OFFSET($CU$27,$B55,$C55)</f>
        <v>45</v>
      </c>
      <c r="N55" s="97" t="n">
        <f aca="true">$L55+OFFSET($DI$27,$B55,$C55)</f>
        <v>55</v>
      </c>
      <c r="O55" s="59" t="n">
        <f aca="true">IF($A55="",0,INDEX(tblPosn,$A55,2))</f>
        <v>132112.265625</v>
      </c>
      <c r="P55" s="59" t="n">
        <f aca="true">IF($A55="",0,INDEX(tblPosn,$A55,3))</f>
        <v>99084.203125</v>
      </c>
      <c r="Q55" s="59" t="n">
        <f aca="true">IF($A55="",0,INDEX(tblPosn,$A55,4))</f>
        <v>33028.06640625</v>
      </c>
      <c r="R55" s="59" t="n">
        <f aca="true">IF($A55="",0,INDEX(tblPosn,$A55,5))</f>
        <v>33028.06640625</v>
      </c>
      <c r="S55" s="59" t="n">
        <f aca="true">IF($A55="",0,INDEX(tblPosn,$A55,6))</f>
        <v>0</v>
      </c>
      <c r="T55" s="98" t="n">
        <f aca="false">O55*F55+P55*K55+R55*AC55+S55*AH55/0.72+Q55*X55</f>
        <v>297252.6015625</v>
      </c>
      <c r="V55" s="161" t="n">
        <f aca="false">D55</f>
        <v>37561</v>
      </c>
      <c r="W55" s="94" t="n">
        <f aca="false">VLOOKUP($D55,tblPriorPrice,4)</f>
        <v>62</v>
      </c>
      <c r="X55" s="162" t="n">
        <f aca="false">[3]TradeSum!$H33</f>
        <v>1</v>
      </c>
      <c r="Y55" s="176" t="n">
        <f aca="false">W55+X55</f>
        <v>63</v>
      </c>
      <c r="Z55" s="96" t="n">
        <f aca="true">Y55+OFFSET($CU$51,$B55,$C55)</f>
        <v>58</v>
      </c>
      <c r="AA55" s="177" t="n">
        <f aca="true">Y55+OFFSET($DI$51,$B55,$C55)</f>
        <v>78</v>
      </c>
      <c r="AB55" s="94" t="n">
        <f aca="false">VLOOKUP($D55,tblPriorPrice,5)</f>
        <v>55</v>
      </c>
      <c r="AC55" s="162" t="n">
        <f aca="false">[3]TradeSum!$H33</f>
        <v>1</v>
      </c>
      <c r="AD55" s="176" t="n">
        <f aca="false">AB55+AC55</f>
        <v>56</v>
      </c>
      <c r="AE55" s="96" t="n">
        <f aca="true">AD55+OFFSET($CU$74,$B55,$C55)</f>
        <v>51</v>
      </c>
      <c r="AF55" s="177" t="n">
        <f aca="true">AD55+OFFSET($DI$74,$B55,$C55)</f>
        <v>71</v>
      </c>
      <c r="AG55" s="94" t="n">
        <f aca="false">VLOOKUP($D55,tblPriorPrice,6)</f>
        <v>1</v>
      </c>
      <c r="AH55" s="182"/>
      <c r="AI55" s="189" t="n">
        <f aca="false">AG55+AH55</f>
        <v>1</v>
      </c>
      <c r="AJ55" s="96" t="n">
        <f aca="false">AI55</f>
        <v>1</v>
      </c>
      <c r="AK55" s="97" t="n">
        <f aca="false">AI55</f>
        <v>1</v>
      </c>
      <c r="AL55" s="178" t="n">
        <v>8</v>
      </c>
      <c r="AM55" s="165" t="n">
        <v>0.15</v>
      </c>
      <c r="AN55" s="167" t="n">
        <f aca="false">'[3]Pricing Summary'!$AM33</f>
        <v>0.33</v>
      </c>
      <c r="AO55" s="167" t="n">
        <f aca="false">0.9*AN55</f>
        <v>0.297</v>
      </c>
      <c r="AP55" s="166" t="n">
        <f aca="false">1.5*AN55</f>
        <v>0.495</v>
      </c>
      <c r="AQ55" s="167" t="n">
        <f aca="false">AN55</f>
        <v>0.33</v>
      </c>
      <c r="AR55" s="166" t="n">
        <f aca="false">0.8*AQ55</f>
        <v>0.264</v>
      </c>
      <c r="AS55" s="166" t="n">
        <f aca="false">1.2*AQ55</f>
        <v>0.396</v>
      </c>
      <c r="AT55" s="169" t="n">
        <f aca="false">IF(G55&lt;110,17.94063*(LN(G55/100))+6.727568*(LN(G55/100)^2)+15.06494,(-4.1*G55+2135)/100)*0.5</f>
        <v>6.53280558515792</v>
      </c>
      <c r="AU55" s="169" t="n">
        <f aca="false">(0.75*AT55-AT55)</f>
        <v>-1.63320139628948</v>
      </c>
      <c r="AV55" s="166" t="n">
        <f aca="false">AT55/0.5*1.25-AT55</f>
        <v>9.79920837773688</v>
      </c>
      <c r="AW55" s="168" t="n">
        <f aca="false">IF(L55&lt;15,(15*L55+375)/100,(-4.71*L55+670.65)/100)*0.5</f>
        <v>2.17575</v>
      </c>
      <c r="AX55" s="166" t="n">
        <f aca="false">0.75*AW55-AW55</f>
        <v>-0.5439375</v>
      </c>
      <c r="AY55" s="166" t="n">
        <f aca="false">AW55/0.5*1.25-AW55</f>
        <v>3.263625</v>
      </c>
      <c r="AZ55" s="167" t="n">
        <v>0.5</v>
      </c>
      <c r="BA55" s="74"/>
      <c r="BB55" s="170"/>
      <c r="BC55" s="140" t="s">
        <v>51</v>
      </c>
      <c r="BD55" s="140"/>
      <c r="BE55" s="140"/>
      <c r="BF55" s="140" t="s">
        <v>116</v>
      </c>
      <c r="BG55" s="140"/>
      <c r="BH55" s="140"/>
      <c r="BI55" s="171" t="s">
        <v>84</v>
      </c>
      <c r="BJ55" s="171"/>
      <c r="BK55" s="171"/>
      <c r="BL55" s="171" t="s">
        <v>53</v>
      </c>
      <c r="BM55" s="171"/>
      <c r="BN55" s="171"/>
      <c r="BQ55" s="108" t="n">
        <v>36907.7428240741</v>
      </c>
      <c r="BR55" s="109" t="n">
        <v>36907.743287037</v>
      </c>
      <c r="BS55" s="110" t="n">
        <v>37500</v>
      </c>
      <c r="BT55" s="111" t="n">
        <v>133288.640625</v>
      </c>
      <c r="BU55" s="112" t="n">
        <v>99966.484375</v>
      </c>
      <c r="BV55" s="112" t="n">
        <v>26657.728515625</v>
      </c>
      <c r="BW55" s="112" t="n">
        <v>39986.59375</v>
      </c>
      <c r="BX55" s="113" t="n">
        <v>0</v>
      </c>
      <c r="BZ55" s="110" t="n">
        <v>37561</v>
      </c>
      <c r="CA55" s="185" t="n">
        <v>88</v>
      </c>
      <c r="CB55" s="116" t="n">
        <v>49</v>
      </c>
      <c r="CC55" s="181" t="n">
        <v>62</v>
      </c>
      <c r="CD55" s="181" t="n">
        <v>55</v>
      </c>
      <c r="CE55" s="117" t="n">
        <v>1</v>
      </c>
      <c r="CG55" s="135" t="n">
        <f aca="false">BB14</f>
        <v>2005</v>
      </c>
      <c r="CH55" s="137" t="n">
        <v>-7</v>
      </c>
      <c r="CI55" s="137" t="n">
        <v>-11</v>
      </c>
      <c r="CJ55" s="137" t="n">
        <v>-1</v>
      </c>
      <c r="CK55" s="137" t="n">
        <v>0</v>
      </c>
      <c r="CL55" s="137" t="n">
        <v>1</v>
      </c>
      <c r="CM55" s="137" t="n">
        <v>1</v>
      </c>
      <c r="CN55" s="137" t="n">
        <v>-2</v>
      </c>
      <c r="CO55" s="137" t="n">
        <v>-3</v>
      </c>
      <c r="CP55" s="137" t="n">
        <v>2</v>
      </c>
      <c r="CQ55" s="137" t="n">
        <v>1</v>
      </c>
      <c r="CR55" s="137" t="n">
        <v>1</v>
      </c>
      <c r="CS55" s="138" t="n">
        <v>0</v>
      </c>
      <c r="CU55" s="135" t="n">
        <f aca="false">BB14</f>
        <v>2005</v>
      </c>
      <c r="CV55" s="136" t="n">
        <v>-5</v>
      </c>
      <c r="CW55" s="137" t="n">
        <v>-5</v>
      </c>
      <c r="CX55" s="137" t="n">
        <v>-5</v>
      </c>
      <c r="CY55" s="137" t="n">
        <v>-5</v>
      </c>
      <c r="CZ55" s="137" t="n">
        <v>-5</v>
      </c>
      <c r="DA55" s="137" t="n">
        <v>-5</v>
      </c>
      <c r="DB55" s="137" t="n">
        <v>-5</v>
      </c>
      <c r="DC55" s="137" t="n">
        <v>-5</v>
      </c>
      <c r="DD55" s="137" t="n">
        <v>-5</v>
      </c>
      <c r="DE55" s="137" t="n">
        <v>-5</v>
      </c>
      <c r="DF55" s="137" t="n">
        <v>-5</v>
      </c>
      <c r="DG55" s="138" t="n">
        <v>-5</v>
      </c>
      <c r="DI55" s="135" t="n">
        <f aca="false">BB14</f>
        <v>2005</v>
      </c>
      <c r="DJ55" s="136" t="n">
        <f aca="false">DJ9</f>
        <v>15</v>
      </c>
      <c r="DK55" s="137" t="n">
        <f aca="false">DK9</f>
        <v>15</v>
      </c>
      <c r="DL55" s="137" t="n">
        <f aca="false">DL9</f>
        <v>15</v>
      </c>
      <c r="DM55" s="137" t="n">
        <f aca="false">DM9</f>
        <v>15</v>
      </c>
      <c r="DN55" s="137" t="n">
        <f aca="false">DN9</f>
        <v>15</v>
      </c>
      <c r="DO55" s="137" t="n">
        <f aca="false">DO9</f>
        <v>15</v>
      </c>
      <c r="DP55" s="137" t="n">
        <f aca="false">DP9</f>
        <v>15</v>
      </c>
      <c r="DQ55" s="137" t="n">
        <f aca="false">DQ9</f>
        <v>15</v>
      </c>
      <c r="DR55" s="137" t="n">
        <f aca="false">DR9</f>
        <v>15</v>
      </c>
      <c r="DS55" s="137" t="n">
        <f aca="false">DS9</f>
        <v>15</v>
      </c>
      <c r="DT55" s="137" t="n">
        <f aca="false">DT9</f>
        <v>15</v>
      </c>
      <c r="DU55" s="138" t="n">
        <f aca="false">DU9</f>
        <v>15</v>
      </c>
    </row>
    <row r="56" customFormat="false" ht="12.75" hidden="false" customHeight="false" outlineLevel="0" collapsed="false">
      <c r="A56" s="0" t="n">
        <f aca="true">IF(ISERROR(MATCH(D56,iRefDt,0)),"",MATCH(D56,iRefDt,0))</f>
        <v>56</v>
      </c>
      <c r="B56" s="92" t="n">
        <f aca="false">MATCH(YEAR(D56),iSpreads)</f>
        <v>2</v>
      </c>
      <c r="C56" s="0" t="n">
        <f aca="false">MONTH(D56)</f>
        <v>12</v>
      </c>
      <c r="D56" s="93" t="n">
        <f aca="false">DATE(YEAR(D55),MONTH(D55)+1,1)</f>
        <v>37591</v>
      </c>
      <c r="E56" s="94" t="n">
        <f aca="false">VLOOKUP($D56,tblPriorPrice,2)</f>
        <v>124</v>
      </c>
      <c r="F56" s="190" t="n">
        <f aca="false">G56-E56</f>
        <v>1</v>
      </c>
      <c r="G56" s="190" t="n">
        <f aca="true">G44+OFFSET($CG$4,$B56,$C56)</f>
        <v>125</v>
      </c>
      <c r="H56" s="96" t="n">
        <f aca="true">G56+OFFSET($CU$4,$B56,$C56)</f>
        <v>120</v>
      </c>
      <c r="I56" s="96" t="n">
        <f aca="true">G56+OFFSET($DI$4,$B56,$C56)</f>
        <v>140</v>
      </c>
      <c r="J56" s="94" t="n">
        <f aca="false">VLOOKUP($D56,tblPriorPrice,3)</f>
        <v>48</v>
      </c>
      <c r="K56" s="190" t="n">
        <f aca="false">L56-J56</f>
        <v>1</v>
      </c>
      <c r="L56" s="190" t="n">
        <f aca="true">L44+OFFSET($CG$27,$B56,$C56)</f>
        <v>49</v>
      </c>
      <c r="M56" s="96" t="n">
        <f aca="true">$L56+OFFSET($CU$27,$B56,$C56)</f>
        <v>44</v>
      </c>
      <c r="N56" s="97" t="n">
        <f aca="true">$L56+OFFSET($DI$27,$B56,$C56)</f>
        <v>54</v>
      </c>
      <c r="O56" s="59" t="n">
        <f aca="true">IF($A56="",0,INDEX(tblPosn,$A56,2))</f>
        <v>138105.046875</v>
      </c>
      <c r="P56" s="59" t="n">
        <f aca="true">IF($A56="",0,INDEX(tblPosn,$A56,3))</f>
        <v>101934.6796875</v>
      </c>
      <c r="Q56" s="59" t="n">
        <f aca="true">IF($A56="",0,INDEX(tblPosn,$A56,4))</f>
        <v>26305.724609375</v>
      </c>
      <c r="R56" s="59" t="n">
        <f aca="true">IF($A56="",0,INDEX(tblPosn,$A56,5))</f>
        <v>39458.5859375</v>
      </c>
      <c r="S56" s="59" t="n">
        <f aca="true">IF($A56="",0,INDEX(tblPosn,$A56,6))</f>
        <v>0</v>
      </c>
      <c r="T56" s="98" t="n">
        <f aca="false">O56*F56+P56*K56+R56*AC56+S56*AH56/0.72+Q56*X56</f>
        <v>305804.037109375</v>
      </c>
      <c r="V56" s="161" t="n">
        <f aca="false">D56</f>
        <v>37591</v>
      </c>
      <c r="W56" s="94" t="n">
        <f aca="false">VLOOKUP($D56,tblPriorPrice,4)</f>
        <v>85</v>
      </c>
      <c r="X56" s="95" t="n">
        <f aca="false">Y56-W56</f>
        <v>1</v>
      </c>
      <c r="Y56" s="191" t="n">
        <f aca="true">Y44+OFFSET($CG$50,$B56,$C56)</f>
        <v>86</v>
      </c>
      <c r="Z56" s="96" t="n">
        <f aca="true">Y56+OFFSET($CU$51,$B56,$C56)</f>
        <v>81</v>
      </c>
      <c r="AA56" s="177" t="n">
        <f aca="true">Y56+OFFSET($DI$51,$B56,$C56)</f>
        <v>101</v>
      </c>
      <c r="AB56" s="94" t="n">
        <f aca="false">VLOOKUP($D56,tblPriorPrice,5)</f>
        <v>76</v>
      </c>
      <c r="AC56" s="190" t="n">
        <f aca="false">AD56-AB56</f>
        <v>1</v>
      </c>
      <c r="AD56" s="191" t="n">
        <f aca="true">AD44+OFFSET($CG$73,$B56,$C56)</f>
        <v>77</v>
      </c>
      <c r="AE56" s="96" t="n">
        <f aca="true">AD56+OFFSET($CU$74,$B56,$C56)</f>
        <v>72</v>
      </c>
      <c r="AF56" s="177" t="n">
        <f aca="true">AD56+OFFSET($DI$74,$B56,$C56)</f>
        <v>92</v>
      </c>
      <c r="AG56" s="94" t="n">
        <f aca="false">VLOOKUP($D56,tblPriorPrice,6)</f>
        <v>1</v>
      </c>
      <c r="AH56" s="190"/>
      <c r="AI56" s="191" t="n">
        <f aca="true">AI44+OFFSET($CG$96,$B56,$C56)</f>
        <v>1</v>
      </c>
      <c r="AJ56" s="96" t="n">
        <f aca="true">AI56+OFFSET($CU$96,$B56,$C56)</f>
        <v>1</v>
      </c>
      <c r="AK56" s="97" t="n">
        <f aca="true">AI56+OFFSET($DI$96,$B56,$C56)</f>
        <v>1</v>
      </c>
      <c r="AL56" s="178" t="n">
        <v>9</v>
      </c>
      <c r="AM56" s="165" t="n">
        <v>0.15</v>
      </c>
      <c r="AN56" s="167" t="n">
        <f aca="false">'[3]Pricing Summary'!$AM34</f>
        <v>0.3325</v>
      </c>
      <c r="AO56" s="167" t="n">
        <f aca="false">0.9*AN56</f>
        <v>0.29925</v>
      </c>
      <c r="AP56" s="166" t="n">
        <f aca="false">1.5*AN56</f>
        <v>0.49875</v>
      </c>
      <c r="AQ56" s="167" t="n">
        <f aca="false">AN56</f>
        <v>0.3325</v>
      </c>
      <c r="AR56" s="166" t="n">
        <f aca="false">0.8*AQ56</f>
        <v>0.266</v>
      </c>
      <c r="AS56" s="166" t="n">
        <f aca="false">1.2*AQ56</f>
        <v>0.399</v>
      </c>
      <c r="AT56" s="169" t="n">
        <f aca="false">IF(G56&lt;110,17.94063*(LN(G56/100))+6.727568*(LN(G56/100)^2)+15.06494,(-4.1*G56+2135)/100)*0.5</f>
        <v>8.1125</v>
      </c>
      <c r="AU56" s="169" t="n">
        <f aca="false">(0.75*AT56-AT56)</f>
        <v>-2.028125</v>
      </c>
      <c r="AV56" s="166" t="n">
        <f aca="false">AT56/0.5*1.25-AT56</f>
        <v>12.16875</v>
      </c>
      <c r="AW56" s="168" t="n">
        <f aca="false">IF(L56&lt;15,(15*L56+375)/100,(-4.71*L56+670.65)/100)*0.5</f>
        <v>2.1993</v>
      </c>
      <c r="AX56" s="166" t="n">
        <f aca="false">0.75*AW56-AW56</f>
        <v>-0.549825</v>
      </c>
      <c r="AY56" s="166" t="n">
        <f aca="false">AW56/0.5*1.25-AW56</f>
        <v>3.29895</v>
      </c>
      <c r="AZ56" s="167" t="n">
        <v>0.5</v>
      </c>
      <c r="BA56" s="74"/>
      <c r="BB56" s="192" t="s">
        <v>124</v>
      </c>
      <c r="BC56" s="140" t="s">
        <v>89</v>
      </c>
      <c r="BD56" s="140" t="s">
        <v>82</v>
      </c>
      <c r="BE56" s="140" t="s">
        <v>83</v>
      </c>
      <c r="BF56" s="140" t="s">
        <v>89</v>
      </c>
      <c r="BG56" s="140" t="s">
        <v>82</v>
      </c>
      <c r="BH56" s="140" t="s">
        <v>83</v>
      </c>
      <c r="BI56" s="171" t="s">
        <v>89</v>
      </c>
      <c r="BJ56" s="171" t="s">
        <v>82</v>
      </c>
      <c r="BK56" s="171" t="s">
        <v>83</v>
      </c>
      <c r="BL56" s="171" t="s">
        <v>89</v>
      </c>
      <c r="BM56" s="171" t="s">
        <v>82</v>
      </c>
      <c r="BN56" s="171" t="s">
        <v>83</v>
      </c>
      <c r="BQ56" s="108" t="n">
        <v>36907.7428240741</v>
      </c>
      <c r="BR56" s="109" t="n">
        <v>36907.743287037</v>
      </c>
      <c r="BS56" s="110" t="n">
        <v>37530</v>
      </c>
      <c r="BT56" s="111" t="n">
        <v>152320.96875</v>
      </c>
      <c r="BU56" s="112" t="n">
        <v>103061.078125</v>
      </c>
      <c r="BV56" s="112" t="n">
        <v>26480.474609375</v>
      </c>
      <c r="BW56" s="112" t="n">
        <v>26495.033203125</v>
      </c>
      <c r="BX56" s="113" t="n">
        <v>0</v>
      </c>
      <c r="BZ56" s="110" t="n">
        <v>37591</v>
      </c>
      <c r="CA56" s="185" t="n">
        <v>124</v>
      </c>
      <c r="CB56" s="116" t="n">
        <v>48</v>
      </c>
      <c r="CC56" s="181" t="n">
        <v>85</v>
      </c>
      <c r="CD56" s="181" t="n">
        <v>76</v>
      </c>
      <c r="CE56" s="117" t="n">
        <v>1</v>
      </c>
      <c r="CG56" s="135" t="n">
        <f aca="false">BB15</f>
        <v>2006</v>
      </c>
      <c r="CH56" s="137" t="n">
        <v>-8</v>
      </c>
      <c r="CI56" s="137" t="n">
        <v>-2</v>
      </c>
      <c r="CJ56" s="137" t="n">
        <v>-2</v>
      </c>
      <c r="CK56" s="137" t="n">
        <v>-1</v>
      </c>
      <c r="CL56" s="137" t="n">
        <v>-1</v>
      </c>
      <c r="CM56" s="137" t="n">
        <v>-1</v>
      </c>
      <c r="CN56" s="137" t="n">
        <v>-2</v>
      </c>
      <c r="CO56" s="137" t="n">
        <v>-14</v>
      </c>
      <c r="CP56" s="137" t="n">
        <v>-3</v>
      </c>
      <c r="CQ56" s="137" t="n">
        <v>-1</v>
      </c>
      <c r="CR56" s="137" t="n">
        <v>-1</v>
      </c>
      <c r="CS56" s="138" t="n">
        <v>-12</v>
      </c>
      <c r="CU56" s="135" t="n">
        <f aca="false">BB15</f>
        <v>2006</v>
      </c>
      <c r="CV56" s="136" t="n">
        <v>-5</v>
      </c>
      <c r="CW56" s="137" t="n">
        <v>-5</v>
      </c>
      <c r="CX56" s="137" t="n">
        <v>-5</v>
      </c>
      <c r="CY56" s="137" t="n">
        <v>-5</v>
      </c>
      <c r="CZ56" s="137" t="n">
        <v>-5</v>
      </c>
      <c r="DA56" s="137" t="n">
        <v>-5</v>
      </c>
      <c r="DB56" s="137" t="n">
        <v>-5</v>
      </c>
      <c r="DC56" s="137" t="n">
        <v>-5</v>
      </c>
      <c r="DD56" s="137" t="n">
        <v>-5</v>
      </c>
      <c r="DE56" s="137" t="n">
        <v>-5</v>
      </c>
      <c r="DF56" s="137" t="n">
        <v>-5</v>
      </c>
      <c r="DG56" s="138" t="n">
        <v>-5</v>
      </c>
      <c r="DI56" s="135" t="n">
        <f aca="false">BB15</f>
        <v>2006</v>
      </c>
      <c r="DJ56" s="136" t="n">
        <f aca="false">DJ10</f>
        <v>20</v>
      </c>
      <c r="DK56" s="137" t="n">
        <f aca="false">DK10</f>
        <v>20</v>
      </c>
      <c r="DL56" s="137" t="n">
        <f aca="false">DL10</f>
        <v>20</v>
      </c>
      <c r="DM56" s="137" t="n">
        <f aca="false">DM10</f>
        <v>20</v>
      </c>
      <c r="DN56" s="137" t="n">
        <f aca="false">DN10</f>
        <v>20</v>
      </c>
      <c r="DO56" s="137" t="n">
        <f aca="false">DO10</f>
        <v>20</v>
      </c>
      <c r="DP56" s="137" t="n">
        <f aca="false">DP10</f>
        <v>20</v>
      </c>
      <c r="DQ56" s="137" t="n">
        <f aca="false">DQ10</f>
        <v>20</v>
      </c>
      <c r="DR56" s="137" t="n">
        <f aca="false">DR10</f>
        <v>20</v>
      </c>
      <c r="DS56" s="137" t="n">
        <f aca="false">DS10</f>
        <v>20</v>
      </c>
      <c r="DT56" s="137" t="n">
        <f aca="false">DT10</f>
        <v>20</v>
      </c>
      <c r="DU56" s="138" t="n">
        <f aca="false">DU10</f>
        <v>20</v>
      </c>
    </row>
    <row r="57" customFormat="false" ht="12.75" hidden="false" customHeight="false" outlineLevel="0" collapsed="false">
      <c r="A57" s="0" t="n">
        <f aca="true">IF(ISERROR(MATCH(D57,iRefDt,0)),"",MATCH(D57,iRefDt,0))</f>
        <v>57</v>
      </c>
      <c r="B57" s="92" t="n">
        <f aca="false">MATCH(YEAR(D57),iSpreads)</f>
        <v>3</v>
      </c>
      <c r="C57" s="0" t="n">
        <f aca="false">MONTH(D57)</f>
        <v>1</v>
      </c>
      <c r="D57" s="93" t="n">
        <f aca="false">DATE(YEAR(D56),MONTH(D56)+1,1)</f>
        <v>37622</v>
      </c>
      <c r="E57" s="94" t="n">
        <f aca="false">VLOOKUP($D57,tblPriorPrice,2)</f>
        <v>103</v>
      </c>
      <c r="F57" s="190" t="n">
        <f aca="false">G57-E57</f>
        <v>0</v>
      </c>
      <c r="G57" s="190" t="n">
        <f aca="true">G45+OFFSET($CG$4,$B57,$C57)</f>
        <v>103</v>
      </c>
      <c r="H57" s="96" t="n">
        <f aca="true">G57+OFFSET($CU$4,$B57,$C57)</f>
        <v>98</v>
      </c>
      <c r="I57" s="96" t="n">
        <f aca="true">G57+OFFSET($DI$4,$B57,$C57)</f>
        <v>118</v>
      </c>
      <c r="J57" s="94" t="n">
        <f aca="false">VLOOKUP($D57,tblPriorPrice,3)</f>
        <v>46</v>
      </c>
      <c r="K57" s="190" t="n">
        <f aca="false">L57-J57</f>
        <v>0</v>
      </c>
      <c r="L57" s="190" t="n">
        <f aca="true">L45+OFFSET($CG$27,$B57,$C57)</f>
        <v>46</v>
      </c>
      <c r="M57" s="96" t="n">
        <f aca="true">$L57+OFFSET($CU$27,$B57,$C57)</f>
        <v>41</v>
      </c>
      <c r="N57" s="97" t="n">
        <f aca="true">$L57+OFFSET($DI$27,$B57,$C57)</f>
        <v>51</v>
      </c>
      <c r="O57" s="59" t="n">
        <f aca="true">IF($A57="",0,INDEX(tblPosn,$A57,2))</f>
        <v>162705.171875</v>
      </c>
      <c r="P57" s="59" t="n">
        <f aca="true">IF($A57="",0,INDEX(tblPosn,$A57,3))</f>
        <v>114633.1796875</v>
      </c>
      <c r="Q57" s="59" t="n">
        <f aca="true">IF($A57="",0,INDEX(tblPosn,$A57,4))</f>
        <v>29582.7578125</v>
      </c>
      <c r="R57" s="59" t="n">
        <f aca="true">IF($A57="",0,INDEX(tblPosn,$A57,5))</f>
        <v>36978.44921875</v>
      </c>
      <c r="S57" s="59" t="n">
        <f aca="true">IF($A57="",0,INDEX(tblPosn,$A57,6))</f>
        <v>0</v>
      </c>
      <c r="T57" s="98" t="n">
        <f aca="false">O57*F57+P57*K57+R57*AC57+S57*AH57/0.72+Q57*X57</f>
        <v>0</v>
      </c>
      <c r="V57" s="161" t="n">
        <f aca="false">D57</f>
        <v>37622</v>
      </c>
      <c r="W57" s="94" t="n">
        <f aca="false">VLOOKUP($D57,tblPriorPrice,4)</f>
        <v>77</v>
      </c>
      <c r="X57" s="95" t="n">
        <f aca="false">Y57-W57</f>
        <v>0</v>
      </c>
      <c r="Y57" s="191" t="n">
        <f aca="true">Y45+OFFSET($CG$50,$B57,$C57)</f>
        <v>77</v>
      </c>
      <c r="Z57" s="96" t="n">
        <f aca="true">Y57+OFFSET($CU$51,$B57,$C57)</f>
        <v>72</v>
      </c>
      <c r="AA57" s="177" t="n">
        <f aca="true">Y57+OFFSET($DI$51,$B57,$C57)</f>
        <v>92</v>
      </c>
      <c r="AB57" s="94" t="n">
        <f aca="false">VLOOKUP($D57,tblPriorPrice,5)</f>
        <v>68</v>
      </c>
      <c r="AC57" s="190" t="n">
        <f aca="false">AD57-AB57</f>
        <v>0</v>
      </c>
      <c r="AD57" s="191" t="n">
        <f aca="true">AD45+OFFSET($CG$73,$B57,$C57)</f>
        <v>68</v>
      </c>
      <c r="AE57" s="96" t="n">
        <f aca="true">AD57+OFFSET($CU$74,$B57,$C57)</f>
        <v>63</v>
      </c>
      <c r="AF57" s="177" t="n">
        <f aca="true">AD57+OFFSET($DI$74,$B57,$C57)</f>
        <v>83</v>
      </c>
      <c r="AG57" s="94" t="n">
        <f aca="false">VLOOKUP($D57,tblPriorPrice,6)</f>
        <v>1</v>
      </c>
      <c r="AH57" s="190"/>
      <c r="AI57" s="191" t="n">
        <f aca="true">AI45+OFFSET($CG$96,$B57,$C57)</f>
        <v>1</v>
      </c>
      <c r="AJ57" s="96" t="n">
        <f aca="true">AI57+OFFSET($CU$96,$B57,$C57)</f>
        <v>1</v>
      </c>
      <c r="AK57" s="97" t="n">
        <f aca="true">AI57+OFFSET($DI$96,$B57,$C57)</f>
        <v>1</v>
      </c>
      <c r="AL57" s="178" t="n">
        <v>9</v>
      </c>
      <c r="AM57" s="165" t="n">
        <v>0.15</v>
      </c>
      <c r="AN57" s="167" t="n">
        <f aca="false">'[3]Pricing Summary'!$AM35</f>
        <v>0.3325</v>
      </c>
      <c r="AO57" s="167" t="n">
        <f aca="false">0.9*AN57</f>
        <v>0.29925</v>
      </c>
      <c r="AP57" s="166" t="n">
        <f aca="false">1.5*AN57</f>
        <v>0.49875</v>
      </c>
      <c r="AQ57" s="167" t="n">
        <f aca="false">AN57</f>
        <v>0.3325</v>
      </c>
      <c r="AR57" s="166" t="n">
        <f aca="false">0.8*AQ57</f>
        <v>0.266</v>
      </c>
      <c r="AS57" s="166" t="n">
        <f aca="false">1.2*AQ57</f>
        <v>0.399</v>
      </c>
      <c r="AT57" s="169" t="n">
        <f aca="false">IF(G57&lt;110,17.94063*(LN(G57/100))+6.727568*(LN(G57/100)^2)+15.06494,(-4.1*G57+2135)/100)*0.5</f>
        <v>7.80056078187065</v>
      </c>
      <c r="AU57" s="169" t="n">
        <f aca="false">(0.75*AT57-AT57)</f>
        <v>-1.95014019546766</v>
      </c>
      <c r="AV57" s="166" t="n">
        <f aca="false">AT57/0.5*1.25-AT57</f>
        <v>11.700841172806</v>
      </c>
      <c r="AW57" s="168" t="n">
        <f aca="false">IF(L57&lt;15,(15*L57+375)/100,(-4.71*L57+670.65)/100)*0.5</f>
        <v>2.26995</v>
      </c>
      <c r="AX57" s="166" t="n">
        <f aca="false">0.75*AW57-AW57</f>
        <v>-0.5674875</v>
      </c>
      <c r="AY57" s="166" t="n">
        <f aca="false">AW57/0.5*1.25-AW57</f>
        <v>3.404925</v>
      </c>
      <c r="AZ57" s="167" t="n">
        <v>0.5</v>
      </c>
      <c r="BA57" s="74"/>
      <c r="BB57" s="193" t="n">
        <v>101</v>
      </c>
      <c r="BC57" s="179"/>
      <c r="BD57" s="194"/>
      <c r="BE57" s="195"/>
      <c r="BF57" s="194"/>
      <c r="BG57" s="194"/>
      <c r="BH57" s="195"/>
      <c r="BI57" s="179"/>
      <c r="BJ57" s="194"/>
      <c r="BK57" s="195"/>
      <c r="BL57" s="194"/>
      <c r="BM57" s="194"/>
      <c r="BN57" s="195"/>
      <c r="BQ57" s="108" t="n">
        <v>36907.7428240741</v>
      </c>
      <c r="BR57" s="109" t="n">
        <v>36907.743287037</v>
      </c>
      <c r="BS57" s="110" t="n">
        <v>37561</v>
      </c>
      <c r="BT57" s="111" t="n">
        <v>132112.265625</v>
      </c>
      <c r="BU57" s="112" t="n">
        <v>99084.203125</v>
      </c>
      <c r="BV57" s="112" t="n">
        <v>33028.06640625</v>
      </c>
      <c r="BW57" s="112" t="n">
        <v>33028.06640625</v>
      </c>
      <c r="BX57" s="113" t="n">
        <v>0</v>
      </c>
      <c r="BZ57" s="110" t="n">
        <v>37622</v>
      </c>
      <c r="CA57" s="185" t="n">
        <v>103</v>
      </c>
      <c r="CB57" s="116" t="n">
        <v>46</v>
      </c>
      <c r="CC57" s="181" t="n">
        <v>77</v>
      </c>
      <c r="CD57" s="181" t="n">
        <v>68</v>
      </c>
      <c r="CE57" s="117" t="n">
        <v>1</v>
      </c>
      <c r="CG57" s="135" t="n">
        <f aca="false">BB16</f>
        <v>2007</v>
      </c>
      <c r="CH57" s="137" t="n">
        <v>-2</v>
      </c>
      <c r="CI57" s="137" t="n">
        <v>-3</v>
      </c>
      <c r="CJ57" s="137" t="n">
        <v>-2</v>
      </c>
      <c r="CK57" s="137" t="n">
        <v>-2</v>
      </c>
      <c r="CL57" s="137" t="n">
        <v>-2</v>
      </c>
      <c r="CM57" s="137" t="n">
        <v>-2</v>
      </c>
      <c r="CN57" s="137" t="n">
        <v>-2</v>
      </c>
      <c r="CO57" s="137" t="n">
        <v>-1</v>
      </c>
      <c r="CP57" s="137" t="n">
        <v>-2</v>
      </c>
      <c r="CQ57" s="137" t="n">
        <v>-2</v>
      </c>
      <c r="CR57" s="137" t="n">
        <v>-2</v>
      </c>
      <c r="CS57" s="138" t="n">
        <v>-2</v>
      </c>
      <c r="CU57" s="135" t="n">
        <f aca="false">BB16</f>
        <v>2007</v>
      </c>
      <c r="CV57" s="136" t="n">
        <v>-5</v>
      </c>
      <c r="CW57" s="137" t="n">
        <v>-5</v>
      </c>
      <c r="CX57" s="137" t="n">
        <v>-5</v>
      </c>
      <c r="CY57" s="137" t="n">
        <v>-5</v>
      </c>
      <c r="CZ57" s="137" t="n">
        <v>-5</v>
      </c>
      <c r="DA57" s="137" t="n">
        <v>-5</v>
      </c>
      <c r="DB57" s="137" t="n">
        <v>-5</v>
      </c>
      <c r="DC57" s="137" t="n">
        <v>-5</v>
      </c>
      <c r="DD57" s="137" t="n">
        <v>-5</v>
      </c>
      <c r="DE57" s="137" t="n">
        <v>-5</v>
      </c>
      <c r="DF57" s="137" t="n">
        <v>-5</v>
      </c>
      <c r="DG57" s="138" t="n">
        <v>-5</v>
      </c>
      <c r="DI57" s="135" t="n">
        <f aca="false">BB16</f>
        <v>2007</v>
      </c>
      <c r="DJ57" s="136" t="n">
        <f aca="false">DJ11</f>
        <v>21</v>
      </c>
      <c r="DK57" s="137" t="n">
        <f aca="false">DK11</f>
        <v>21</v>
      </c>
      <c r="DL57" s="137" t="n">
        <f aca="false">DL11</f>
        <v>21</v>
      </c>
      <c r="DM57" s="137" t="n">
        <f aca="false">DM11</f>
        <v>21</v>
      </c>
      <c r="DN57" s="137" t="n">
        <f aca="false">DN11</f>
        <v>21</v>
      </c>
      <c r="DO57" s="137" t="n">
        <f aca="false">DO11</f>
        <v>21</v>
      </c>
      <c r="DP57" s="137" t="n">
        <f aca="false">DP11</f>
        <v>21</v>
      </c>
      <c r="DQ57" s="137" t="n">
        <f aca="false">DQ11</f>
        <v>21</v>
      </c>
      <c r="DR57" s="137" t="n">
        <f aca="false">DR11</f>
        <v>21</v>
      </c>
      <c r="DS57" s="137" t="n">
        <f aca="false">DS11</f>
        <v>21</v>
      </c>
      <c r="DT57" s="137" t="n">
        <f aca="false">DT11</f>
        <v>21</v>
      </c>
      <c r="DU57" s="138" t="n">
        <f aca="false">DU11</f>
        <v>21</v>
      </c>
    </row>
    <row r="58" customFormat="false" ht="12.75" hidden="false" customHeight="false" outlineLevel="0" collapsed="false">
      <c r="A58" s="0" t="n">
        <f aca="true">IF(ISERROR(MATCH(D58,iRefDt,0)),"",MATCH(D58,iRefDt,0))</f>
        <v>58</v>
      </c>
      <c r="B58" s="92" t="n">
        <f aca="false">MATCH(YEAR(D58),iSpreads)</f>
        <v>3</v>
      </c>
      <c r="C58" s="0" t="n">
        <f aca="false">MONTH(D58)</f>
        <v>2</v>
      </c>
      <c r="D58" s="93" t="n">
        <f aca="false">DATE(YEAR(D57),MONTH(D57)+1,1)</f>
        <v>37653</v>
      </c>
      <c r="E58" s="94" t="n">
        <f aca="false">VLOOKUP($D58,tblPriorPrice,2)</f>
        <v>92</v>
      </c>
      <c r="F58" s="190" t="n">
        <f aca="false">G58-E58</f>
        <v>0</v>
      </c>
      <c r="G58" s="190" t="n">
        <f aca="true">G46+OFFSET($CG$4,$B58,$C58)</f>
        <v>92</v>
      </c>
      <c r="H58" s="96" t="n">
        <f aca="true">G58+OFFSET($CU$4,$B58,$C58)</f>
        <v>87</v>
      </c>
      <c r="I58" s="96" t="n">
        <f aca="true">G58+OFFSET($DI$4,$B58,$C58)</f>
        <v>107</v>
      </c>
      <c r="J58" s="94" t="n">
        <f aca="false">VLOOKUP($D58,tblPriorPrice,3)</f>
        <v>44</v>
      </c>
      <c r="K58" s="190" t="n">
        <f aca="false">L58-J58</f>
        <v>0</v>
      </c>
      <c r="L58" s="190" t="n">
        <f aca="true">L46+OFFSET($CG$27,$B58,$C58)</f>
        <v>44</v>
      </c>
      <c r="M58" s="96" t="n">
        <f aca="true">$L58+OFFSET($CU$27,$B58,$C58)</f>
        <v>39</v>
      </c>
      <c r="N58" s="97" t="n">
        <f aca="true">$L58+OFFSET($DI$27,$B58,$C58)</f>
        <v>49</v>
      </c>
      <c r="O58" s="59" t="n">
        <f aca="true">IF($A58="",0,INDEX(tblPosn,$A58,2))</f>
        <v>147300.796875</v>
      </c>
      <c r="P58" s="59" t="n">
        <f aca="true">IF($A58="",0,INDEX(tblPosn,$A58,3))</f>
        <v>103110.5625</v>
      </c>
      <c r="Q58" s="59" t="n">
        <f aca="true">IF($A58="",0,INDEX(tblPosn,$A58,4))</f>
        <v>29460.158203125</v>
      </c>
      <c r="R58" s="59" t="n">
        <f aca="true">IF($A58="",0,INDEX(tblPosn,$A58,5))</f>
        <v>29460.158203125</v>
      </c>
      <c r="S58" s="59" t="n">
        <f aca="true">IF($A58="",0,INDEX(tblPosn,$A58,6))</f>
        <v>0</v>
      </c>
      <c r="T58" s="98" t="n">
        <f aca="false">O58*F58+P58*K58+R58*AC58+S58*AH58/0.72+Q58*X58</f>
        <v>0</v>
      </c>
      <c r="V58" s="161" t="n">
        <f aca="false">D58</f>
        <v>37653</v>
      </c>
      <c r="W58" s="94" t="n">
        <f aca="false">VLOOKUP($D58,tblPriorPrice,4)</f>
        <v>64</v>
      </c>
      <c r="X58" s="95" t="n">
        <f aca="false">Y58-W58</f>
        <v>0</v>
      </c>
      <c r="Y58" s="191" t="n">
        <f aca="true">Y46+OFFSET($CG$50,$B58,$C58)</f>
        <v>64</v>
      </c>
      <c r="Z58" s="96" t="n">
        <f aca="true">Y58+OFFSET($CU$51,$B58,$C58)</f>
        <v>59</v>
      </c>
      <c r="AA58" s="177" t="n">
        <f aca="true">Y58+OFFSET($DI$51,$B58,$C58)</f>
        <v>79</v>
      </c>
      <c r="AB58" s="94" t="n">
        <f aca="false">VLOOKUP($D58,tblPriorPrice,5)</f>
        <v>57</v>
      </c>
      <c r="AC58" s="190" t="n">
        <f aca="false">AD58-AB58</f>
        <v>0</v>
      </c>
      <c r="AD58" s="191" t="n">
        <f aca="true">AD46+OFFSET($CG$73,$B58,$C58)</f>
        <v>57</v>
      </c>
      <c r="AE58" s="96" t="n">
        <f aca="true">AD58+OFFSET($CU$74,$B58,$C58)</f>
        <v>52</v>
      </c>
      <c r="AF58" s="177" t="n">
        <f aca="true">AD58+OFFSET($DI$74,$B58,$C58)</f>
        <v>72</v>
      </c>
      <c r="AG58" s="94" t="n">
        <f aca="false">VLOOKUP($D58,tblPriorPrice,6)</f>
        <v>1</v>
      </c>
      <c r="AH58" s="190"/>
      <c r="AI58" s="191" t="n">
        <f aca="true">AI46+OFFSET($CG$96,$B58,$C58)</f>
        <v>1</v>
      </c>
      <c r="AJ58" s="96" t="n">
        <f aca="true">AI58+OFFSET($CU$96,$B58,$C58)</f>
        <v>1</v>
      </c>
      <c r="AK58" s="97" t="n">
        <f aca="true">AI58+OFFSET($DI$96,$B58,$C58)</f>
        <v>1</v>
      </c>
      <c r="AL58" s="178" t="n">
        <v>9</v>
      </c>
      <c r="AM58" s="165" t="n">
        <v>0.15</v>
      </c>
      <c r="AN58" s="167" t="n">
        <f aca="false">'[3]Pricing Summary'!$AM36</f>
        <v>0.32</v>
      </c>
      <c r="AO58" s="167" t="n">
        <f aca="false">0.9*AN58</f>
        <v>0.288</v>
      </c>
      <c r="AP58" s="166" t="n">
        <f aca="false">1.5*AN58</f>
        <v>0.48</v>
      </c>
      <c r="AQ58" s="167" t="n">
        <f aca="false">AN58</f>
        <v>0.32</v>
      </c>
      <c r="AR58" s="166" t="n">
        <f aca="false">0.8*AQ58</f>
        <v>0.256</v>
      </c>
      <c r="AS58" s="166" t="n">
        <f aca="false">1.2*AQ58</f>
        <v>0.384</v>
      </c>
      <c r="AT58" s="169" t="n">
        <f aca="false">IF(G58&lt;110,17.94063*(LN(G58/100))+6.727568*(LN(G58/100)^2)+15.06494,(-4.1*G58+2135)/100)*0.5</f>
        <v>6.80789738634544</v>
      </c>
      <c r="AU58" s="169" t="n">
        <f aca="false">(0.75*AT58-AT58)</f>
        <v>-1.70197434658636</v>
      </c>
      <c r="AV58" s="166" t="n">
        <f aca="false">AT58/0.5*1.25-AT58</f>
        <v>10.2118460795182</v>
      </c>
      <c r="AW58" s="168" t="n">
        <f aca="false">IF(L58&lt;15,(15*L58+375)/100,(-4.71*L58+670.65)/100)*0.5</f>
        <v>2.31705</v>
      </c>
      <c r="AX58" s="166" t="n">
        <f aca="false">0.75*AW58-AW58</f>
        <v>-0.5792625</v>
      </c>
      <c r="AY58" s="166" t="n">
        <f aca="false">AW58/0.5*1.25-AW58</f>
        <v>3.475575</v>
      </c>
      <c r="AZ58" s="167" t="n">
        <v>0.5</v>
      </c>
      <c r="BA58" s="74"/>
      <c r="BB58" s="193" t="n">
        <f aca="false">BB57+1</f>
        <v>102</v>
      </c>
      <c r="BC58" s="183"/>
      <c r="BD58" s="196"/>
      <c r="BE58" s="197"/>
      <c r="BF58" s="196"/>
      <c r="BG58" s="196"/>
      <c r="BH58" s="197"/>
      <c r="BI58" s="183"/>
      <c r="BJ58" s="196"/>
      <c r="BK58" s="197"/>
      <c r="BL58" s="196"/>
      <c r="BM58" s="196"/>
      <c r="BN58" s="197"/>
      <c r="BQ58" s="108" t="n">
        <v>36907.7428240741</v>
      </c>
      <c r="BR58" s="109" t="n">
        <v>36907.743287037</v>
      </c>
      <c r="BS58" s="110" t="n">
        <v>37591</v>
      </c>
      <c r="BT58" s="111" t="n">
        <v>138105.046875</v>
      </c>
      <c r="BU58" s="112" t="n">
        <v>101934.6796875</v>
      </c>
      <c r="BV58" s="112" t="n">
        <v>26305.724609375</v>
      </c>
      <c r="BW58" s="112" t="n">
        <v>39458.5859375</v>
      </c>
      <c r="BX58" s="113" t="n">
        <v>0</v>
      </c>
      <c r="BZ58" s="110" t="n">
        <v>37653</v>
      </c>
      <c r="CA58" s="185" t="n">
        <v>92</v>
      </c>
      <c r="CB58" s="116" t="n">
        <v>44</v>
      </c>
      <c r="CC58" s="181" t="n">
        <v>64</v>
      </c>
      <c r="CD58" s="181" t="n">
        <v>57</v>
      </c>
      <c r="CE58" s="117" t="n">
        <v>1</v>
      </c>
      <c r="CG58" s="135" t="n">
        <f aca="false">BB17</f>
        <v>2008</v>
      </c>
      <c r="CH58" s="137" t="n">
        <v>0</v>
      </c>
      <c r="CI58" s="137" t="n">
        <v>0</v>
      </c>
      <c r="CJ58" s="137" t="n">
        <v>0</v>
      </c>
      <c r="CK58" s="137" t="n">
        <v>0</v>
      </c>
      <c r="CL58" s="137" t="n">
        <v>0</v>
      </c>
      <c r="CM58" s="137" t="n">
        <v>1</v>
      </c>
      <c r="CN58" s="137" t="n">
        <v>1</v>
      </c>
      <c r="CO58" s="137" t="n">
        <v>0</v>
      </c>
      <c r="CP58" s="137" t="n">
        <v>0</v>
      </c>
      <c r="CQ58" s="137" t="n">
        <v>1</v>
      </c>
      <c r="CR58" s="137" t="n">
        <v>0</v>
      </c>
      <c r="CS58" s="138" t="n">
        <v>1</v>
      </c>
      <c r="CU58" s="135" t="n">
        <f aca="false">BB17</f>
        <v>2008</v>
      </c>
      <c r="CV58" s="136" t="n">
        <v>-5</v>
      </c>
      <c r="CW58" s="137" t="n">
        <v>-5</v>
      </c>
      <c r="CX58" s="137" t="n">
        <v>-5</v>
      </c>
      <c r="CY58" s="137" t="n">
        <v>-5</v>
      </c>
      <c r="CZ58" s="137" t="n">
        <v>-5</v>
      </c>
      <c r="DA58" s="137" t="n">
        <v>-5</v>
      </c>
      <c r="DB58" s="137" t="n">
        <v>-5</v>
      </c>
      <c r="DC58" s="137" t="n">
        <v>-5</v>
      </c>
      <c r="DD58" s="137" t="n">
        <v>-5</v>
      </c>
      <c r="DE58" s="137" t="n">
        <v>-5</v>
      </c>
      <c r="DF58" s="137" t="n">
        <v>-5</v>
      </c>
      <c r="DG58" s="138" t="n">
        <v>-5</v>
      </c>
      <c r="DI58" s="135" t="n">
        <f aca="false">BB17</f>
        <v>2008</v>
      </c>
      <c r="DJ58" s="136" t="n">
        <f aca="false">DJ12</f>
        <v>22</v>
      </c>
      <c r="DK58" s="137" t="n">
        <f aca="false">DK12</f>
        <v>22</v>
      </c>
      <c r="DL58" s="137" t="n">
        <f aca="false">DL12</f>
        <v>22</v>
      </c>
      <c r="DM58" s="137" t="n">
        <f aca="false">DM12</f>
        <v>22</v>
      </c>
      <c r="DN58" s="137" t="n">
        <f aca="false">DN12</f>
        <v>22</v>
      </c>
      <c r="DO58" s="137" t="n">
        <f aca="false">DO12</f>
        <v>22</v>
      </c>
      <c r="DP58" s="137" t="n">
        <f aca="false">DP12</f>
        <v>22</v>
      </c>
      <c r="DQ58" s="137" t="n">
        <f aca="false">DQ12</f>
        <v>22</v>
      </c>
      <c r="DR58" s="137" t="n">
        <f aca="false">DR12</f>
        <v>22</v>
      </c>
      <c r="DS58" s="137" t="n">
        <f aca="false">DS12</f>
        <v>22</v>
      </c>
      <c r="DT58" s="137" t="n">
        <f aca="false">DT12</f>
        <v>22</v>
      </c>
      <c r="DU58" s="138" t="n">
        <f aca="false">DU12</f>
        <v>22</v>
      </c>
    </row>
    <row r="59" customFormat="false" ht="12.75" hidden="false" customHeight="false" outlineLevel="0" collapsed="false">
      <c r="A59" s="0" t="n">
        <f aca="true">IF(ISERROR(MATCH(D59,iRefDt,0)),"",MATCH(D59,iRefDt,0))</f>
        <v>59</v>
      </c>
      <c r="B59" s="92" t="n">
        <f aca="false">MATCH(YEAR(D59),iSpreads)</f>
        <v>3</v>
      </c>
      <c r="C59" s="0" t="n">
        <f aca="false">MONTH(D59)</f>
        <v>3</v>
      </c>
      <c r="D59" s="93" t="n">
        <f aca="false">DATE(YEAR(D58),MONTH(D58)+1,1)</f>
        <v>37681</v>
      </c>
      <c r="E59" s="94" t="n">
        <f aca="false">VLOOKUP($D59,tblPriorPrice,2)</f>
        <v>76</v>
      </c>
      <c r="F59" s="190" t="n">
        <f aca="false">G59-E59</f>
        <v>0</v>
      </c>
      <c r="G59" s="190" t="n">
        <f aca="true">G47+OFFSET($CG$4,$B59,$C59)</f>
        <v>76</v>
      </c>
      <c r="H59" s="96" t="n">
        <f aca="true">G59+OFFSET($CU$4,$B59,$C59)</f>
        <v>71</v>
      </c>
      <c r="I59" s="96" t="n">
        <f aca="true">G59+OFFSET($DI$4,$B59,$C59)</f>
        <v>91</v>
      </c>
      <c r="J59" s="94" t="n">
        <f aca="false">VLOOKUP($D59,tblPriorPrice,3)</f>
        <v>42</v>
      </c>
      <c r="K59" s="190" t="n">
        <f aca="false">L59-J59</f>
        <v>0</v>
      </c>
      <c r="L59" s="190" t="n">
        <f aca="true">L47+OFFSET($CG$27,$B59,$C59)</f>
        <v>42</v>
      </c>
      <c r="M59" s="96" t="n">
        <f aca="true">$L59+OFFSET($CU$27,$B59,$C59)</f>
        <v>37</v>
      </c>
      <c r="N59" s="97" t="n">
        <f aca="true">$L59+OFFSET($DI$27,$B59,$C59)</f>
        <v>47</v>
      </c>
      <c r="O59" s="59" t="n">
        <f aca="true">IF($A59="",0,INDEX(tblPosn,$A59,2))</f>
        <v>153953.734375</v>
      </c>
      <c r="P59" s="59" t="n">
        <f aca="true">IF($A59="",0,INDEX(tblPosn,$A59,3))</f>
        <v>113632.5078125</v>
      </c>
      <c r="Q59" s="59" t="n">
        <f aca="true">IF($A59="",0,INDEX(tblPosn,$A59,4))</f>
        <v>36655.6484375</v>
      </c>
      <c r="R59" s="59" t="n">
        <f aca="true">IF($A59="",0,INDEX(tblPosn,$A59,5))</f>
        <v>36655.6484375</v>
      </c>
      <c r="S59" s="59" t="n">
        <f aca="true">IF($A59="",0,INDEX(tblPosn,$A59,6))</f>
        <v>0</v>
      </c>
      <c r="T59" s="98" t="n">
        <f aca="false">O59*F59+P59*K59+R59*AC59+S59*AH59/0.72+Q59*X59</f>
        <v>0</v>
      </c>
      <c r="V59" s="161" t="n">
        <f aca="false">D59</f>
        <v>37681</v>
      </c>
      <c r="W59" s="94" t="n">
        <f aca="false">VLOOKUP($D59,tblPriorPrice,4)</f>
        <v>56</v>
      </c>
      <c r="X59" s="95" t="n">
        <f aca="false">Y59-W59</f>
        <v>0</v>
      </c>
      <c r="Y59" s="191" t="n">
        <f aca="true">Y47+OFFSET($CG$50,$B59,$C59)</f>
        <v>56</v>
      </c>
      <c r="Z59" s="96" t="n">
        <f aca="true">Y59+OFFSET($CU$51,$B59,$C59)</f>
        <v>51</v>
      </c>
      <c r="AA59" s="177" t="n">
        <f aca="true">Y59+OFFSET($DI$51,$B59,$C59)</f>
        <v>71</v>
      </c>
      <c r="AB59" s="94" t="n">
        <f aca="false">VLOOKUP($D59,tblPriorPrice,5)</f>
        <v>50</v>
      </c>
      <c r="AC59" s="190" t="n">
        <f aca="false">AD59-AB59</f>
        <v>0</v>
      </c>
      <c r="AD59" s="191" t="n">
        <f aca="true">AD47+OFFSET($CG$73,$B59,$C59)</f>
        <v>50</v>
      </c>
      <c r="AE59" s="96" t="n">
        <f aca="true">AD59+OFFSET($CU$74,$B59,$C59)</f>
        <v>45</v>
      </c>
      <c r="AF59" s="177" t="n">
        <f aca="true">AD59+OFFSET($DI$74,$B59,$C59)</f>
        <v>65</v>
      </c>
      <c r="AG59" s="94" t="n">
        <f aca="false">VLOOKUP($D59,tblPriorPrice,6)</f>
        <v>1</v>
      </c>
      <c r="AH59" s="190"/>
      <c r="AI59" s="191" t="n">
        <f aca="true">AI47+OFFSET($CG$96,$B59,$C59)</f>
        <v>1</v>
      </c>
      <c r="AJ59" s="96" t="n">
        <f aca="true">AI59+OFFSET($CU$96,$B59,$C59)</f>
        <v>1</v>
      </c>
      <c r="AK59" s="97" t="n">
        <f aca="true">AI59+OFFSET($DI$96,$B59,$C59)</f>
        <v>1</v>
      </c>
      <c r="AL59" s="178" t="n">
        <v>10</v>
      </c>
      <c r="AM59" s="165" t="n">
        <v>0.15</v>
      </c>
      <c r="AN59" s="167" t="n">
        <f aca="false">'[3]Pricing Summary'!$AM37</f>
        <v>0.31</v>
      </c>
      <c r="AO59" s="167" t="n">
        <f aca="false">0.9*AN59</f>
        <v>0.279</v>
      </c>
      <c r="AP59" s="166" t="n">
        <f aca="false">1.5*AN59</f>
        <v>0.465</v>
      </c>
      <c r="AQ59" s="167" t="n">
        <f aca="false">AN59</f>
        <v>0.31</v>
      </c>
      <c r="AR59" s="166" t="n">
        <f aca="false">0.8*AQ59</f>
        <v>0.248</v>
      </c>
      <c r="AS59" s="166" t="n">
        <f aca="false">1.2*AQ59</f>
        <v>0.372</v>
      </c>
      <c r="AT59" s="169" t="n">
        <f aca="false">IF(G59&lt;110,17.94063*(LN(G59/100))+6.727568*(LN(G59/100)^2)+15.06494,(-4.1*G59+2135)/100)*0.5</f>
        <v>5.3240303970687</v>
      </c>
      <c r="AU59" s="169" t="n">
        <f aca="false">(0.75*AT59-AT59)</f>
        <v>-1.33100759926717</v>
      </c>
      <c r="AV59" s="166" t="n">
        <f aca="false">AT59/0.5*1.25-AT59</f>
        <v>7.98604559560304</v>
      </c>
      <c r="AW59" s="168" t="n">
        <f aca="false">IF(L59&lt;15,(15*L59+375)/100,(-4.71*L59+670.65)/100)*0.5</f>
        <v>2.36415</v>
      </c>
      <c r="AX59" s="166" t="n">
        <f aca="false">0.75*AW59-AW59</f>
        <v>-0.5910375</v>
      </c>
      <c r="AY59" s="166" t="n">
        <f aca="false">AW59/0.5*1.25-AW59</f>
        <v>3.546225</v>
      </c>
      <c r="AZ59" s="167" t="n">
        <v>0.5</v>
      </c>
      <c r="BA59" s="74"/>
      <c r="BB59" s="193" t="n">
        <f aca="false">BB58+1</f>
        <v>103</v>
      </c>
      <c r="BC59" s="183"/>
      <c r="BD59" s="196"/>
      <c r="BE59" s="197"/>
      <c r="BF59" s="196"/>
      <c r="BG59" s="196"/>
      <c r="BH59" s="197"/>
      <c r="BI59" s="183"/>
      <c r="BJ59" s="196"/>
      <c r="BK59" s="197"/>
      <c r="BL59" s="196"/>
      <c r="BM59" s="196"/>
      <c r="BN59" s="197"/>
      <c r="BQ59" s="108" t="n">
        <v>36907.7428240741</v>
      </c>
      <c r="BR59" s="109" t="n">
        <v>36907.743287037</v>
      </c>
      <c r="BS59" s="110" t="n">
        <v>37622</v>
      </c>
      <c r="BT59" s="111" t="n">
        <v>162705.171875</v>
      </c>
      <c r="BU59" s="112" t="n">
        <v>114633.1796875</v>
      </c>
      <c r="BV59" s="112" t="n">
        <v>29582.7578125</v>
      </c>
      <c r="BW59" s="112" t="n">
        <v>36978.44921875</v>
      </c>
      <c r="BX59" s="113" t="n">
        <v>0</v>
      </c>
      <c r="BZ59" s="110" t="n">
        <v>37681</v>
      </c>
      <c r="CA59" s="185" t="n">
        <v>76</v>
      </c>
      <c r="CB59" s="116" t="n">
        <v>42</v>
      </c>
      <c r="CC59" s="181" t="n">
        <v>56</v>
      </c>
      <c r="CD59" s="181" t="n">
        <v>50</v>
      </c>
      <c r="CE59" s="117" t="n">
        <v>1</v>
      </c>
      <c r="CG59" s="135" t="n">
        <f aca="false">BB18</f>
        <v>2009</v>
      </c>
      <c r="CH59" s="137" t="n">
        <v>0</v>
      </c>
      <c r="CI59" s="137" t="n">
        <v>0</v>
      </c>
      <c r="CJ59" s="137" t="n">
        <v>0</v>
      </c>
      <c r="CK59" s="137" t="n">
        <v>0</v>
      </c>
      <c r="CL59" s="137" t="n">
        <v>1</v>
      </c>
      <c r="CM59" s="137" t="n">
        <v>0</v>
      </c>
      <c r="CN59" s="137" t="n">
        <v>0</v>
      </c>
      <c r="CO59" s="137" t="n">
        <v>1</v>
      </c>
      <c r="CP59" s="137" t="n">
        <v>1</v>
      </c>
      <c r="CQ59" s="137" t="n">
        <v>0</v>
      </c>
      <c r="CR59" s="137" t="n">
        <v>0</v>
      </c>
      <c r="CS59" s="138" t="n">
        <v>-1</v>
      </c>
      <c r="CU59" s="135" t="n">
        <f aca="false">BB18</f>
        <v>2009</v>
      </c>
      <c r="CV59" s="136" t="n">
        <v>-5</v>
      </c>
      <c r="CW59" s="137" t="n">
        <v>-5</v>
      </c>
      <c r="CX59" s="137" t="n">
        <v>-5</v>
      </c>
      <c r="CY59" s="137" t="n">
        <v>-5</v>
      </c>
      <c r="CZ59" s="137" t="n">
        <v>-5</v>
      </c>
      <c r="DA59" s="137" t="n">
        <v>-5</v>
      </c>
      <c r="DB59" s="137" t="n">
        <v>-5</v>
      </c>
      <c r="DC59" s="137" t="n">
        <v>-5</v>
      </c>
      <c r="DD59" s="137" t="n">
        <v>-5</v>
      </c>
      <c r="DE59" s="137" t="n">
        <v>-5</v>
      </c>
      <c r="DF59" s="137" t="n">
        <v>-5</v>
      </c>
      <c r="DG59" s="138" t="n">
        <v>-5</v>
      </c>
      <c r="DI59" s="135" t="n">
        <f aca="false">BB18</f>
        <v>2009</v>
      </c>
      <c r="DJ59" s="136" t="n">
        <f aca="false">DJ13</f>
        <v>23</v>
      </c>
      <c r="DK59" s="137" t="n">
        <f aca="false">DK13</f>
        <v>23</v>
      </c>
      <c r="DL59" s="137" t="n">
        <f aca="false">DL13</f>
        <v>23</v>
      </c>
      <c r="DM59" s="137" t="n">
        <f aca="false">DM13</f>
        <v>23</v>
      </c>
      <c r="DN59" s="137" t="n">
        <f aca="false">DN13</f>
        <v>23</v>
      </c>
      <c r="DO59" s="137" t="n">
        <f aca="false">DO13</f>
        <v>23</v>
      </c>
      <c r="DP59" s="137" t="n">
        <f aca="false">DP13</f>
        <v>23</v>
      </c>
      <c r="DQ59" s="137" t="n">
        <f aca="false">DQ13</f>
        <v>23</v>
      </c>
      <c r="DR59" s="137" t="n">
        <f aca="false">DR13</f>
        <v>23</v>
      </c>
      <c r="DS59" s="137" t="n">
        <f aca="false">DS13</f>
        <v>23</v>
      </c>
      <c r="DT59" s="137" t="n">
        <f aca="false">DT13</f>
        <v>23</v>
      </c>
      <c r="DU59" s="138" t="n">
        <f aca="false">DU13</f>
        <v>23</v>
      </c>
    </row>
    <row r="60" customFormat="false" ht="12.75" hidden="false" customHeight="false" outlineLevel="0" collapsed="false">
      <c r="A60" s="0" t="n">
        <f aca="true">IF(ISERROR(MATCH(D60,iRefDt,0)),"",MATCH(D60,iRefDt,0))</f>
        <v>60</v>
      </c>
      <c r="B60" s="92" t="n">
        <f aca="false">MATCH(YEAR(D60),iSpreads)</f>
        <v>3</v>
      </c>
      <c r="C60" s="0" t="n">
        <f aca="false">MONTH(D60)</f>
        <v>4</v>
      </c>
      <c r="D60" s="93" t="n">
        <f aca="false">DATE(YEAR(D59),MONTH(D59)+1,1)</f>
        <v>37712</v>
      </c>
      <c r="E60" s="94" t="n">
        <f aca="false">VLOOKUP($D60,tblPriorPrice,2)</f>
        <v>48</v>
      </c>
      <c r="F60" s="190" t="n">
        <f aca="false">G60-E60</f>
        <v>0</v>
      </c>
      <c r="G60" s="190" t="n">
        <f aca="true">G48+OFFSET($CG$4,$B60,$C60)</f>
        <v>48</v>
      </c>
      <c r="H60" s="96" t="n">
        <f aca="true">G60+OFFSET($CU$4,$B60,$C60)</f>
        <v>43</v>
      </c>
      <c r="I60" s="96" t="n">
        <f aca="true">G60+OFFSET($DI$4,$B60,$C60)</f>
        <v>63</v>
      </c>
      <c r="J60" s="94" t="n">
        <f aca="false">VLOOKUP($D60,tblPriorPrice,3)</f>
        <v>39</v>
      </c>
      <c r="K60" s="190" t="n">
        <f aca="false">L60-J60</f>
        <v>0</v>
      </c>
      <c r="L60" s="190" t="n">
        <f aca="true">L48+OFFSET($CG$27,$B60,$C60)</f>
        <v>39</v>
      </c>
      <c r="M60" s="96" t="n">
        <f aca="true">$L60+OFFSET($CU$27,$B60,$C60)</f>
        <v>34</v>
      </c>
      <c r="N60" s="97" t="n">
        <f aca="true">$L60+OFFSET($DI$27,$B60,$C60)</f>
        <v>44</v>
      </c>
      <c r="O60" s="59" t="n">
        <f aca="true">IF($A60="",0,INDEX(tblPosn,$A60,2))</f>
        <v>160563.453125</v>
      </c>
      <c r="P60" s="59" t="n">
        <f aca="true">IF($A60="",0,INDEX(tblPosn,$A60,3))</f>
        <v>109018.9375</v>
      </c>
      <c r="Q60" s="59" t="n">
        <f aca="true">IF($A60="",0,INDEX(tblPosn,$A60,4))</f>
        <v>29193.35546875</v>
      </c>
      <c r="R60" s="59" t="n">
        <f aca="true">IF($A60="",0,INDEX(tblPosn,$A60,5))</f>
        <v>29193.35546875</v>
      </c>
      <c r="S60" s="59" t="n">
        <f aca="true">IF($A60="",0,INDEX(tblPosn,$A60,6))</f>
        <v>0</v>
      </c>
      <c r="T60" s="98" t="n">
        <f aca="false">O60*F60+P60*K60+R60*AC60+S60*AH60/0.72+Q60*X60</f>
        <v>0</v>
      </c>
      <c r="V60" s="161" t="n">
        <f aca="false">D60</f>
        <v>37712</v>
      </c>
      <c r="W60" s="94" t="n">
        <f aca="false">VLOOKUP($D60,tblPriorPrice,4)</f>
        <v>37</v>
      </c>
      <c r="X60" s="95" t="n">
        <f aca="false">Y60-W60</f>
        <v>0</v>
      </c>
      <c r="Y60" s="191" t="n">
        <f aca="true">Y48+OFFSET($CG$50,$B60,$C60)</f>
        <v>37</v>
      </c>
      <c r="Z60" s="96" t="n">
        <f aca="true">Y60+OFFSET($CU$51,$B60,$C60)</f>
        <v>32</v>
      </c>
      <c r="AA60" s="177" t="n">
        <f aca="true">Y60+OFFSET($DI$51,$B60,$C60)</f>
        <v>52</v>
      </c>
      <c r="AB60" s="94" t="n">
        <f aca="false">VLOOKUP($D60,tblPriorPrice,5)</f>
        <v>37</v>
      </c>
      <c r="AC60" s="190" t="n">
        <f aca="false">AD60-AB60</f>
        <v>0</v>
      </c>
      <c r="AD60" s="191" t="n">
        <f aca="true">AD48+OFFSET($CG$73,$B60,$C60)</f>
        <v>37</v>
      </c>
      <c r="AE60" s="96" t="n">
        <f aca="true">AD60+OFFSET($CU$74,$B60,$C60)</f>
        <v>32</v>
      </c>
      <c r="AF60" s="177" t="n">
        <f aca="true">AD60+OFFSET($DI$74,$B60,$C60)</f>
        <v>52</v>
      </c>
      <c r="AG60" s="94" t="n">
        <f aca="false">VLOOKUP($D60,tblPriorPrice,6)</f>
        <v>1</v>
      </c>
      <c r="AH60" s="190"/>
      <c r="AI60" s="191" t="n">
        <f aca="true">AI48+OFFSET($CG$96,$B60,$C60)</f>
        <v>1</v>
      </c>
      <c r="AJ60" s="96" t="n">
        <f aca="true">AI60+OFFSET($CU$96,$B60,$C60)</f>
        <v>1</v>
      </c>
      <c r="AK60" s="97" t="n">
        <f aca="true">AI60+OFFSET($DI$96,$B60,$C60)</f>
        <v>1</v>
      </c>
      <c r="AL60" s="178" t="n">
        <v>10</v>
      </c>
      <c r="AM60" s="165" t="n">
        <v>0.15</v>
      </c>
      <c r="AN60" s="167" t="n">
        <f aca="false">'[3]Pricing Summary'!$AM38</f>
        <v>0.3</v>
      </c>
      <c r="AO60" s="167" t="n">
        <f aca="false">0.9*AN60</f>
        <v>0.27</v>
      </c>
      <c r="AP60" s="166" t="n">
        <f aca="false">1.5*AN60</f>
        <v>0.45</v>
      </c>
      <c r="AQ60" s="167" t="n">
        <f aca="false">AN60</f>
        <v>0.3</v>
      </c>
      <c r="AR60" s="166" t="n">
        <f aca="false">0.8*AQ60</f>
        <v>0.24</v>
      </c>
      <c r="AS60" s="166" t="n">
        <f aca="false">1.2*AQ60</f>
        <v>0.36</v>
      </c>
      <c r="AT60" s="169" t="n">
        <f aca="false">IF(G60&lt;110,17.94063*(LN(G60/100))+6.727568*(LN(G60/100)^2)+15.06494,(-4.1*G60+2135)/100)*0.5</f>
        <v>2.76064190061051</v>
      </c>
      <c r="AU60" s="169" t="n">
        <f aca="false">(0.75*AT60-AT60)</f>
        <v>-0.690160475152627</v>
      </c>
      <c r="AV60" s="166" t="n">
        <f aca="false">AT60/0.5*1.25-AT60</f>
        <v>4.14096285091576</v>
      </c>
      <c r="AW60" s="168" t="n">
        <f aca="false">IF(L60&lt;15,(15*L60+375)/100,(-4.71*L60+670.65)/100)*0.5</f>
        <v>2.4348</v>
      </c>
      <c r="AX60" s="166" t="n">
        <f aca="false">0.75*AW60-AW60</f>
        <v>-0.6087</v>
      </c>
      <c r="AY60" s="166" t="n">
        <f aca="false">AW60/0.5*1.25-AW60</f>
        <v>3.6522</v>
      </c>
      <c r="AZ60" s="167" t="n">
        <v>0.5</v>
      </c>
      <c r="BA60" s="74"/>
      <c r="BB60" s="193" t="n">
        <f aca="false">BB59+1</f>
        <v>104</v>
      </c>
      <c r="BC60" s="183"/>
      <c r="BD60" s="196"/>
      <c r="BE60" s="197"/>
      <c r="BF60" s="196"/>
      <c r="BG60" s="196"/>
      <c r="BH60" s="197"/>
      <c r="BI60" s="183"/>
      <c r="BJ60" s="196"/>
      <c r="BK60" s="197"/>
      <c r="BL60" s="196"/>
      <c r="BM60" s="196"/>
      <c r="BN60" s="197"/>
      <c r="BQ60" s="108" t="n">
        <v>36907.7428240741</v>
      </c>
      <c r="BR60" s="109" t="n">
        <v>36907.743287037</v>
      </c>
      <c r="BS60" s="110" t="n">
        <v>37653</v>
      </c>
      <c r="BT60" s="111" t="n">
        <v>147300.796875</v>
      </c>
      <c r="BU60" s="112" t="n">
        <v>103110.5625</v>
      </c>
      <c r="BV60" s="112" t="n">
        <v>29460.158203125</v>
      </c>
      <c r="BW60" s="112" t="n">
        <v>29460.158203125</v>
      </c>
      <c r="BX60" s="113" t="n">
        <v>0</v>
      </c>
      <c r="BZ60" s="110" t="n">
        <v>37712</v>
      </c>
      <c r="CA60" s="185" t="n">
        <v>48</v>
      </c>
      <c r="CB60" s="116" t="n">
        <v>39</v>
      </c>
      <c r="CC60" s="181" t="n">
        <v>37</v>
      </c>
      <c r="CD60" s="181" t="n">
        <v>37</v>
      </c>
      <c r="CE60" s="117" t="n">
        <v>1</v>
      </c>
      <c r="CG60" s="135" t="n">
        <f aca="false">BB19</f>
        <v>2010</v>
      </c>
      <c r="CH60" s="137" t="n">
        <v>0</v>
      </c>
      <c r="CI60" s="137" t="n">
        <v>0</v>
      </c>
      <c r="CJ60" s="137" t="n">
        <v>0</v>
      </c>
      <c r="CK60" s="137" t="n">
        <v>1</v>
      </c>
      <c r="CL60" s="137" t="n">
        <v>0</v>
      </c>
      <c r="CM60" s="137" t="n">
        <v>1</v>
      </c>
      <c r="CN60" s="137" t="n">
        <v>1</v>
      </c>
      <c r="CO60" s="137" t="n">
        <v>1</v>
      </c>
      <c r="CP60" s="137" t="n">
        <v>1</v>
      </c>
      <c r="CQ60" s="137" t="n">
        <v>1</v>
      </c>
      <c r="CR60" s="137" t="n">
        <v>0</v>
      </c>
      <c r="CS60" s="138" t="n">
        <v>0</v>
      </c>
      <c r="CU60" s="135" t="n">
        <f aca="false">BB19</f>
        <v>2010</v>
      </c>
      <c r="CV60" s="136" t="n">
        <v>-5</v>
      </c>
      <c r="CW60" s="137" t="n">
        <v>-5</v>
      </c>
      <c r="CX60" s="137" t="n">
        <v>-5</v>
      </c>
      <c r="CY60" s="137" t="n">
        <v>-5</v>
      </c>
      <c r="CZ60" s="137" t="n">
        <v>-5</v>
      </c>
      <c r="DA60" s="137" t="n">
        <v>-5</v>
      </c>
      <c r="DB60" s="137" t="n">
        <v>-5</v>
      </c>
      <c r="DC60" s="137" t="n">
        <v>-5</v>
      </c>
      <c r="DD60" s="137" t="n">
        <v>-5</v>
      </c>
      <c r="DE60" s="137" t="n">
        <v>-5</v>
      </c>
      <c r="DF60" s="137" t="n">
        <v>-5</v>
      </c>
      <c r="DG60" s="138" t="n">
        <v>-5</v>
      </c>
      <c r="DI60" s="135" t="n">
        <f aca="false">BB19</f>
        <v>2010</v>
      </c>
      <c r="DJ60" s="136" t="n">
        <f aca="false">DJ14</f>
        <v>24</v>
      </c>
      <c r="DK60" s="137" t="n">
        <f aca="false">DK14</f>
        <v>24</v>
      </c>
      <c r="DL60" s="137" t="n">
        <f aca="false">DL14</f>
        <v>24</v>
      </c>
      <c r="DM60" s="137" t="n">
        <f aca="false">DM14</f>
        <v>24</v>
      </c>
      <c r="DN60" s="137" t="n">
        <f aca="false">DN14</f>
        <v>24</v>
      </c>
      <c r="DO60" s="137" t="n">
        <f aca="false">DO14</f>
        <v>24</v>
      </c>
      <c r="DP60" s="137" t="n">
        <f aca="false">DP14</f>
        <v>24</v>
      </c>
      <c r="DQ60" s="137" t="n">
        <f aca="false">DQ14</f>
        <v>24</v>
      </c>
      <c r="DR60" s="137" t="n">
        <f aca="false">DR14</f>
        <v>24</v>
      </c>
      <c r="DS60" s="137" t="n">
        <f aca="false">DS14</f>
        <v>24</v>
      </c>
      <c r="DT60" s="137" t="n">
        <f aca="false">DT14</f>
        <v>24</v>
      </c>
      <c r="DU60" s="138" t="n">
        <f aca="false">DU14</f>
        <v>24</v>
      </c>
    </row>
    <row r="61" customFormat="false" ht="12.75" hidden="false" customHeight="false" outlineLevel="0" collapsed="false">
      <c r="A61" s="0" t="n">
        <f aca="true">IF(ISERROR(MATCH(D61,iRefDt,0)),"",MATCH(D61,iRefDt,0))</f>
        <v>61</v>
      </c>
      <c r="B61" s="92" t="n">
        <f aca="false">MATCH(YEAR(D61),iSpreads)</f>
        <v>3</v>
      </c>
      <c r="C61" s="0" t="n">
        <f aca="false">MONTH(D61)</f>
        <v>5</v>
      </c>
      <c r="D61" s="93" t="n">
        <f aca="false">DATE(YEAR(D60),MONTH(D60)+1,1)</f>
        <v>37742</v>
      </c>
      <c r="E61" s="94" t="n">
        <f aca="false">VLOOKUP($D61,tblPriorPrice,2)</f>
        <v>52</v>
      </c>
      <c r="F61" s="190" t="n">
        <f aca="false">G61-E61</f>
        <v>0</v>
      </c>
      <c r="G61" s="190" t="n">
        <f aca="true">G49+OFFSET($CG$4,$B61,$C61)</f>
        <v>52</v>
      </c>
      <c r="H61" s="96" t="n">
        <f aca="true">G61+OFFSET($CU$4,$B61,$C61)</f>
        <v>47</v>
      </c>
      <c r="I61" s="96" t="n">
        <f aca="true">G61+OFFSET($DI$4,$B61,$C61)</f>
        <v>67</v>
      </c>
      <c r="J61" s="94" t="n">
        <f aca="false">VLOOKUP($D61,tblPriorPrice,3)</f>
        <v>41</v>
      </c>
      <c r="K61" s="190" t="n">
        <f aca="false">L61-J61</f>
        <v>0</v>
      </c>
      <c r="L61" s="190" t="n">
        <f aca="true">L49+OFFSET($CG$27,$B61,$C61)</f>
        <v>41</v>
      </c>
      <c r="M61" s="96" t="n">
        <f aca="true">$L61+OFFSET($CU$27,$B61,$C61)</f>
        <v>36</v>
      </c>
      <c r="N61" s="97" t="n">
        <f aca="true">$L61+OFFSET($DI$27,$B61,$C61)</f>
        <v>46</v>
      </c>
      <c r="O61" s="59" t="n">
        <f aca="true">IF($A61="",0,INDEX(tblPosn,$A61,2))</f>
        <v>152550.6875</v>
      </c>
      <c r="P61" s="59" t="n">
        <f aca="true">IF($A61="",0,INDEX(tblPosn,$A61,3))</f>
        <v>112596.9375</v>
      </c>
      <c r="Q61" s="59" t="n">
        <f aca="true">IF($A61="",0,INDEX(tblPosn,$A61,4))</f>
        <v>36321.59375</v>
      </c>
      <c r="R61" s="59" t="n">
        <f aca="true">IF($A61="",0,INDEX(tblPosn,$A61,5))</f>
        <v>36321.59375</v>
      </c>
      <c r="S61" s="59" t="n">
        <f aca="true">IF($A61="",0,INDEX(tblPosn,$A61,6))</f>
        <v>0</v>
      </c>
      <c r="T61" s="98" t="n">
        <f aca="false">O61*F61+P61*K61+R61*AC61+S61*AH61/0.72+Q61*X61</f>
        <v>0</v>
      </c>
      <c r="V61" s="161" t="n">
        <f aca="false">D61</f>
        <v>37742</v>
      </c>
      <c r="W61" s="94" t="n">
        <f aca="false">VLOOKUP($D61,tblPriorPrice,4)</f>
        <v>39</v>
      </c>
      <c r="X61" s="95" t="n">
        <f aca="false">Y61-W61</f>
        <v>0</v>
      </c>
      <c r="Y61" s="191" t="n">
        <f aca="true">Y49+OFFSET($CG$50,$B61,$C61)</f>
        <v>39</v>
      </c>
      <c r="Z61" s="96" t="n">
        <f aca="true">Y61+OFFSET($CU$51,$B61,$C61)</f>
        <v>34</v>
      </c>
      <c r="AA61" s="177" t="n">
        <f aca="true">Y61+OFFSET($DI$51,$B61,$C61)</f>
        <v>54</v>
      </c>
      <c r="AB61" s="94" t="n">
        <f aca="false">VLOOKUP($D61,tblPriorPrice,5)</f>
        <v>39</v>
      </c>
      <c r="AC61" s="190" t="n">
        <f aca="false">AD61-AB61</f>
        <v>0</v>
      </c>
      <c r="AD61" s="191" t="n">
        <f aca="true">AD49+OFFSET($CG$73,$B61,$C61)</f>
        <v>39</v>
      </c>
      <c r="AE61" s="96" t="n">
        <f aca="true">AD61+OFFSET($CU$74,$B61,$C61)</f>
        <v>34</v>
      </c>
      <c r="AF61" s="177" t="n">
        <f aca="true">AD61+OFFSET($DI$74,$B61,$C61)</f>
        <v>54</v>
      </c>
      <c r="AG61" s="94" t="n">
        <f aca="false">VLOOKUP($D61,tblPriorPrice,6)</f>
        <v>1</v>
      </c>
      <c r="AH61" s="190"/>
      <c r="AI61" s="191" t="n">
        <f aca="true">AI49+OFFSET($CG$96,$B61,$C61)</f>
        <v>1</v>
      </c>
      <c r="AJ61" s="96" t="n">
        <f aca="true">AI61+OFFSET($CU$96,$B61,$C61)</f>
        <v>1</v>
      </c>
      <c r="AK61" s="97" t="n">
        <f aca="true">AI61+OFFSET($DI$96,$B61,$C61)</f>
        <v>1</v>
      </c>
      <c r="AL61" s="178" t="n">
        <v>10</v>
      </c>
      <c r="AM61" s="165" t="n">
        <v>0.25</v>
      </c>
      <c r="AN61" s="167" t="n">
        <f aca="false">'[3]Pricing Summary'!$AM39</f>
        <v>0.295</v>
      </c>
      <c r="AO61" s="167" t="n">
        <f aca="false">0.9*AN61</f>
        <v>0.2655</v>
      </c>
      <c r="AP61" s="166" t="n">
        <f aca="false">1.5*AN61</f>
        <v>0.4425</v>
      </c>
      <c r="AQ61" s="167" t="n">
        <f aca="false">AN61</f>
        <v>0.295</v>
      </c>
      <c r="AR61" s="166" t="n">
        <f aca="false">0.8*AQ61</f>
        <v>0.236</v>
      </c>
      <c r="AS61" s="166" t="n">
        <f aca="false">1.2*AQ61</f>
        <v>0.354</v>
      </c>
      <c r="AT61" s="169" t="n">
        <f aca="false">IF(G61&lt;110,17.94063*(LN(G61/100))+6.727568*(LN(G61/100)^2)+15.06494,(-4.1*G61+2135)/100)*0.5</f>
        <v>3.1049643251858</v>
      </c>
      <c r="AU61" s="169" t="n">
        <f aca="false">(0.75*AT61-AT61)</f>
        <v>-0.77624108129645</v>
      </c>
      <c r="AV61" s="166" t="n">
        <f aca="false">AT61/0.5*1.25-AT61</f>
        <v>4.6574464877787</v>
      </c>
      <c r="AW61" s="168" t="n">
        <f aca="false">IF(L61&lt;15,(15*L61+375)/100,(-4.71*L61+670.65)/100)*0.5</f>
        <v>2.3877</v>
      </c>
      <c r="AX61" s="166" t="n">
        <f aca="false">0.75*AW61-AW61</f>
        <v>-0.596925</v>
      </c>
      <c r="AY61" s="166" t="n">
        <f aca="false">AW61/0.5*1.25-AW61</f>
        <v>3.58155</v>
      </c>
      <c r="AZ61" s="167" t="n">
        <v>0.5</v>
      </c>
      <c r="BA61" s="74"/>
      <c r="BB61" s="193" t="n">
        <f aca="false">BB60+1</f>
        <v>105</v>
      </c>
      <c r="BC61" s="183"/>
      <c r="BD61" s="196"/>
      <c r="BE61" s="197"/>
      <c r="BF61" s="196"/>
      <c r="BG61" s="196"/>
      <c r="BH61" s="197"/>
      <c r="BI61" s="183"/>
      <c r="BJ61" s="196"/>
      <c r="BK61" s="197"/>
      <c r="BL61" s="196"/>
      <c r="BM61" s="196"/>
      <c r="BN61" s="197"/>
      <c r="BQ61" s="108" t="n">
        <v>36907.7428240741</v>
      </c>
      <c r="BR61" s="109" t="n">
        <v>36907.743287037</v>
      </c>
      <c r="BS61" s="110" t="n">
        <v>37681</v>
      </c>
      <c r="BT61" s="111" t="n">
        <v>153953.734375</v>
      </c>
      <c r="BU61" s="112" t="n">
        <v>113632.5078125</v>
      </c>
      <c r="BV61" s="112" t="n">
        <v>36655.6484375</v>
      </c>
      <c r="BW61" s="112" t="n">
        <v>36655.6484375</v>
      </c>
      <c r="BX61" s="113" t="n">
        <v>0</v>
      </c>
      <c r="BZ61" s="110" t="n">
        <v>37742</v>
      </c>
      <c r="CA61" s="185" t="n">
        <v>52</v>
      </c>
      <c r="CB61" s="116" t="n">
        <v>41</v>
      </c>
      <c r="CC61" s="181" t="n">
        <v>39</v>
      </c>
      <c r="CD61" s="181" t="n">
        <v>39</v>
      </c>
      <c r="CE61" s="117" t="n">
        <v>1</v>
      </c>
      <c r="CG61" s="135" t="n">
        <f aca="false">BB20</f>
        <v>2011</v>
      </c>
      <c r="CH61" s="137" t="n">
        <v>0</v>
      </c>
      <c r="CI61" s="137" t="n">
        <v>0</v>
      </c>
      <c r="CJ61" s="137" t="n">
        <v>0</v>
      </c>
      <c r="CK61" s="137" t="n">
        <v>0</v>
      </c>
      <c r="CL61" s="137" t="n">
        <v>0</v>
      </c>
      <c r="CM61" s="137" t="n">
        <v>0</v>
      </c>
      <c r="CN61" s="137" t="n">
        <v>0</v>
      </c>
      <c r="CO61" s="137" t="n">
        <v>0</v>
      </c>
      <c r="CP61" s="137" t="n">
        <v>0</v>
      </c>
      <c r="CQ61" s="137" t="n">
        <v>0</v>
      </c>
      <c r="CR61" s="137" t="n">
        <v>0</v>
      </c>
      <c r="CS61" s="138" t="n">
        <v>0</v>
      </c>
      <c r="CU61" s="135" t="n">
        <f aca="false">BB20</f>
        <v>2011</v>
      </c>
      <c r="CV61" s="136" t="n">
        <v>-5</v>
      </c>
      <c r="CW61" s="137" t="n">
        <v>-5</v>
      </c>
      <c r="CX61" s="137" t="n">
        <v>-5</v>
      </c>
      <c r="CY61" s="137" t="n">
        <v>-5</v>
      </c>
      <c r="CZ61" s="137" t="n">
        <v>-5</v>
      </c>
      <c r="DA61" s="137" t="n">
        <v>-5</v>
      </c>
      <c r="DB61" s="137" t="n">
        <v>-5</v>
      </c>
      <c r="DC61" s="137" t="n">
        <v>-5</v>
      </c>
      <c r="DD61" s="137" t="n">
        <v>-5</v>
      </c>
      <c r="DE61" s="137" t="n">
        <v>-5</v>
      </c>
      <c r="DF61" s="137" t="n">
        <v>-5</v>
      </c>
      <c r="DG61" s="138" t="n">
        <v>-5</v>
      </c>
      <c r="DI61" s="135" t="n">
        <f aca="false">BB20</f>
        <v>2011</v>
      </c>
      <c r="DJ61" s="136" t="n">
        <f aca="false">DJ15</f>
        <v>25</v>
      </c>
      <c r="DK61" s="137" t="n">
        <f aca="false">DK15</f>
        <v>25</v>
      </c>
      <c r="DL61" s="137" t="n">
        <f aca="false">DL15</f>
        <v>25</v>
      </c>
      <c r="DM61" s="137" t="n">
        <f aca="false">DM15</f>
        <v>25</v>
      </c>
      <c r="DN61" s="137" t="n">
        <f aca="false">DN15</f>
        <v>25</v>
      </c>
      <c r="DO61" s="137" t="n">
        <f aca="false">DO15</f>
        <v>25</v>
      </c>
      <c r="DP61" s="137" t="n">
        <f aca="false">DP15</f>
        <v>25</v>
      </c>
      <c r="DQ61" s="137" t="n">
        <f aca="false">DQ15</f>
        <v>25</v>
      </c>
      <c r="DR61" s="137" t="n">
        <f aca="false">DR15</f>
        <v>25</v>
      </c>
      <c r="DS61" s="137" t="n">
        <f aca="false">DS15</f>
        <v>25</v>
      </c>
      <c r="DT61" s="137" t="n">
        <f aca="false">DT15</f>
        <v>25</v>
      </c>
      <c r="DU61" s="138" t="n">
        <f aca="false">DU15</f>
        <v>25</v>
      </c>
    </row>
    <row r="62" customFormat="false" ht="12.75" hidden="false" customHeight="false" outlineLevel="0" collapsed="false">
      <c r="A62" s="0" t="n">
        <f aca="true">IF(ISERROR(MATCH(D62,iRefDt,0)),"",MATCH(D62,iRefDt,0))</f>
        <v>62</v>
      </c>
      <c r="B62" s="92" t="n">
        <f aca="false">MATCH(YEAR(D62),iSpreads)</f>
        <v>3</v>
      </c>
      <c r="C62" s="0" t="n">
        <f aca="false">MONTH(D62)</f>
        <v>6</v>
      </c>
      <c r="D62" s="93" t="n">
        <f aca="false">DATE(YEAR(D61),MONTH(D61)+1,1)</f>
        <v>37773</v>
      </c>
      <c r="E62" s="94" t="n">
        <f aca="false">VLOOKUP($D62,tblPriorPrice,2)</f>
        <v>61</v>
      </c>
      <c r="F62" s="190" t="n">
        <f aca="false">G62-E62</f>
        <v>0</v>
      </c>
      <c r="G62" s="190" t="n">
        <f aca="true">G50+OFFSET($CG$4,$B62,$C62)</f>
        <v>61</v>
      </c>
      <c r="H62" s="96" t="n">
        <f aca="true">G62+OFFSET($CU$4,$B62,$C62)</f>
        <v>56</v>
      </c>
      <c r="I62" s="96" t="n">
        <f aca="true">G62+OFFSET($DI$4,$B62,$C62)</f>
        <v>76</v>
      </c>
      <c r="J62" s="94" t="n">
        <f aca="false">VLOOKUP($D62,tblPriorPrice,3)</f>
        <v>47</v>
      </c>
      <c r="K62" s="190" t="n">
        <f aca="false">L62-J62</f>
        <v>0</v>
      </c>
      <c r="L62" s="190" t="n">
        <f aca="true">L50+OFFSET($CG$27,$B62,$C62)</f>
        <v>47</v>
      </c>
      <c r="M62" s="96" t="n">
        <f aca="true">$L62+OFFSET($CU$27,$B62,$C62)</f>
        <v>42</v>
      </c>
      <c r="N62" s="97" t="n">
        <f aca="true">$L62+OFFSET($DI$27,$B62,$C62)</f>
        <v>52</v>
      </c>
      <c r="O62" s="59" t="n">
        <f aca="true">IF($A62="",0,INDEX(tblPosn,$A62,2))</f>
        <v>151870.0625</v>
      </c>
      <c r="P62" s="59" t="n">
        <f aca="true">IF($A62="",0,INDEX(tblPosn,$A62,3))</f>
        <v>108478.6171875</v>
      </c>
      <c r="Q62" s="59" t="n">
        <f aca="true">IF($A62="",0,INDEX(tblPosn,$A62,4))</f>
        <v>28927.630859375</v>
      </c>
      <c r="R62" s="59" t="n">
        <f aca="true">IF($A62="",0,INDEX(tblPosn,$A62,5))</f>
        <v>36159.5390625</v>
      </c>
      <c r="S62" s="59" t="n">
        <f aca="true">IF($A62="",0,INDEX(tblPosn,$A62,6))</f>
        <v>0</v>
      </c>
      <c r="T62" s="98" t="n">
        <f aca="false">O62*F62+P62*K62+R62*AC62+S62*AH62/0.72+Q62*X62</f>
        <v>0</v>
      </c>
      <c r="V62" s="161" t="n">
        <f aca="false">D62</f>
        <v>37773</v>
      </c>
      <c r="W62" s="94" t="n">
        <f aca="false">VLOOKUP($D62,tblPriorPrice,4)</f>
        <v>46</v>
      </c>
      <c r="X62" s="95" t="n">
        <f aca="false">Y62-W62</f>
        <v>0</v>
      </c>
      <c r="Y62" s="191" t="n">
        <f aca="true">Y50+OFFSET($CG$50,$B62,$C62)</f>
        <v>46</v>
      </c>
      <c r="Z62" s="96" t="n">
        <f aca="true">Y62+OFFSET($CU$51,$B62,$C62)</f>
        <v>41</v>
      </c>
      <c r="AA62" s="177" t="n">
        <f aca="true">Y62+OFFSET($DI$51,$B62,$C62)</f>
        <v>61</v>
      </c>
      <c r="AB62" s="94" t="n">
        <f aca="false">VLOOKUP($D62,tblPriorPrice,5)</f>
        <v>45</v>
      </c>
      <c r="AC62" s="190" t="n">
        <f aca="false">AD62-AB62</f>
        <v>0</v>
      </c>
      <c r="AD62" s="191" t="n">
        <f aca="true">AD50+OFFSET($CG$73,$B62,$C62)</f>
        <v>45</v>
      </c>
      <c r="AE62" s="96" t="n">
        <f aca="true">AD62+OFFSET($CU$74,$B62,$C62)</f>
        <v>40</v>
      </c>
      <c r="AF62" s="177" t="n">
        <f aca="true">AD62+OFFSET($DI$74,$B62,$C62)</f>
        <v>60</v>
      </c>
      <c r="AG62" s="94" t="n">
        <f aca="false">VLOOKUP($D62,tblPriorPrice,6)</f>
        <v>1</v>
      </c>
      <c r="AH62" s="190"/>
      <c r="AI62" s="191" t="n">
        <f aca="true">AI50+OFFSET($CG$96,$B62,$C62)</f>
        <v>1</v>
      </c>
      <c r="AJ62" s="96" t="n">
        <f aca="true">AI62+OFFSET($CU$96,$B62,$C62)</f>
        <v>1</v>
      </c>
      <c r="AK62" s="97" t="n">
        <f aca="true">AI62+OFFSET($DI$96,$B62,$C62)</f>
        <v>1</v>
      </c>
      <c r="AL62" s="178" t="n">
        <v>11</v>
      </c>
      <c r="AM62" s="165" t="n">
        <v>0.25</v>
      </c>
      <c r="AN62" s="167" t="n">
        <f aca="false">'[3]Pricing Summary'!$AM40</f>
        <v>0.295</v>
      </c>
      <c r="AO62" s="167" t="n">
        <f aca="false">0.9*AN62</f>
        <v>0.2655</v>
      </c>
      <c r="AP62" s="166" t="n">
        <f aca="false">1.5*AN62</f>
        <v>0.4425</v>
      </c>
      <c r="AQ62" s="167" t="n">
        <f aca="false">AN62</f>
        <v>0.295</v>
      </c>
      <c r="AR62" s="166" t="n">
        <f aca="false">0.8*AQ62</f>
        <v>0.236</v>
      </c>
      <c r="AS62" s="166" t="n">
        <f aca="false">1.2*AQ62</f>
        <v>0.354</v>
      </c>
      <c r="AT62" s="169" t="n">
        <f aca="false">IF(G62&lt;110,17.94063*(LN(G62/100))+6.727568*(LN(G62/100)^2)+15.06494,(-4.1*G62+2135)/100)*0.5</f>
        <v>3.920345778995</v>
      </c>
      <c r="AU62" s="169" t="n">
        <f aca="false">(0.75*AT62-AT62)</f>
        <v>-0.980086444748751</v>
      </c>
      <c r="AV62" s="166" t="n">
        <f aca="false">AT62/0.5*1.25-AT62</f>
        <v>5.8805186684925</v>
      </c>
      <c r="AW62" s="168" t="n">
        <f aca="false">IF(L62&lt;15,(15*L62+375)/100,(-4.71*L62+670.65)/100)*0.5</f>
        <v>2.2464</v>
      </c>
      <c r="AX62" s="166" t="n">
        <f aca="false">0.75*AW62-AW62</f>
        <v>-0.5616</v>
      </c>
      <c r="AY62" s="166" t="n">
        <f aca="false">AW62/0.5*1.25-AW62</f>
        <v>3.3696</v>
      </c>
      <c r="AZ62" s="167" t="n">
        <v>0.5</v>
      </c>
      <c r="BA62" s="74"/>
      <c r="BB62" s="193" t="n">
        <f aca="false">BB61+1</f>
        <v>106</v>
      </c>
      <c r="BC62" s="183"/>
      <c r="BD62" s="196"/>
      <c r="BE62" s="197"/>
      <c r="BF62" s="196"/>
      <c r="BG62" s="196"/>
      <c r="BH62" s="197"/>
      <c r="BI62" s="183"/>
      <c r="BJ62" s="196"/>
      <c r="BK62" s="197"/>
      <c r="BL62" s="196"/>
      <c r="BM62" s="196"/>
      <c r="BN62" s="197"/>
      <c r="BQ62" s="108" t="n">
        <v>36907.7428240741</v>
      </c>
      <c r="BR62" s="109" t="n">
        <v>36907.743287037</v>
      </c>
      <c r="BS62" s="110" t="n">
        <v>37712</v>
      </c>
      <c r="BT62" s="111" t="n">
        <v>160563.453125</v>
      </c>
      <c r="BU62" s="112" t="n">
        <v>109018.9375</v>
      </c>
      <c r="BV62" s="112" t="n">
        <v>29193.35546875</v>
      </c>
      <c r="BW62" s="112" t="n">
        <v>29193.35546875</v>
      </c>
      <c r="BX62" s="113" t="n">
        <v>0</v>
      </c>
      <c r="BZ62" s="110" t="n">
        <v>37773</v>
      </c>
      <c r="CA62" s="185" t="n">
        <v>61</v>
      </c>
      <c r="CB62" s="116" t="n">
        <v>47</v>
      </c>
      <c r="CC62" s="181" t="n">
        <v>46</v>
      </c>
      <c r="CD62" s="181" t="n">
        <v>45</v>
      </c>
      <c r="CE62" s="117" t="n">
        <v>1</v>
      </c>
      <c r="CG62" s="135" t="n">
        <f aca="false">BB21</f>
        <v>2012</v>
      </c>
      <c r="CH62" s="137" t="n">
        <v>0</v>
      </c>
      <c r="CI62" s="137" t="n">
        <v>0</v>
      </c>
      <c r="CJ62" s="137" t="n">
        <v>0</v>
      </c>
      <c r="CK62" s="137" t="n">
        <v>0</v>
      </c>
      <c r="CL62" s="137" t="n">
        <v>0</v>
      </c>
      <c r="CM62" s="137" t="n">
        <v>0</v>
      </c>
      <c r="CN62" s="137" t="n">
        <v>0</v>
      </c>
      <c r="CO62" s="137" t="n">
        <v>0</v>
      </c>
      <c r="CP62" s="137" t="n">
        <v>0</v>
      </c>
      <c r="CQ62" s="137" t="n">
        <v>0</v>
      </c>
      <c r="CR62" s="137" t="n">
        <v>0</v>
      </c>
      <c r="CS62" s="138" t="n">
        <v>0</v>
      </c>
      <c r="CU62" s="135" t="n">
        <f aca="false">BB21</f>
        <v>2012</v>
      </c>
      <c r="CV62" s="136" t="n">
        <v>-5</v>
      </c>
      <c r="CW62" s="137" t="n">
        <v>-5</v>
      </c>
      <c r="CX62" s="137" t="n">
        <v>-5</v>
      </c>
      <c r="CY62" s="137" t="n">
        <v>-5</v>
      </c>
      <c r="CZ62" s="137" t="n">
        <v>-5</v>
      </c>
      <c r="DA62" s="137" t="n">
        <v>-5</v>
      </c>
      <c r="DB62" s="137" t="n">
        <v>-5</v>
      </c>
      <c r="DC62" s="137" t="n">
        <v>-5</v>
      </c>
      <c r="DD62" s="137" t="n">
        <v>-5</v>
      </c>
      <c r="DE62" s="137" t="n">
        <v>-5</v>
      </c>
      <c r="DF62" s="137" t="n">
        <v>-5</v>
      </c>
      <c r="DG62" s="138" t="n">
        <v>-5</v>
      </c>
      <c r="DI62" s="135" t="n">
        <f aca="false">BB21</f>
        <v>2012</v>
      </c>
      <c r="DJ62" s="136" t="n">
        <f aca="false">DJ16</f>
        <v>26</v>
      </c>
      <c r="DK62" s="137" t="n">
        <f aca="false">DK16</f>
        <v>26</v>
      </c>
      <c r="DL62" s="137" t="n">
        <f aca="false">DL16</f>
        <v>26</v>
      </c>
      <c r="DM62" s="137" t="n">
        <f aca="false">DM16</f>
        <v>26</v>
      </c>
      <c r="DN62" s="137" t="n">
        <f aca="false">DN16</f>
        <v>26</v>
      </c>
      <c r="DO62" s="137" t="n">
        <f aca="false">DO16</f>
        <v>26</v>
      </c>
      <c r="DP62" s="137" t="n">
        <f aca="false">DP16</f>
        <v>26</v>
      </c>
      <c r="DQ62" s="137" t="n">
        <f aca="false">DQ16</f>
        <v>26</v>
      </c>
      <c r="DR62" s="137" t="n">
        <f aca="false">DR16</f>
        <v>26</v>
      </c>
      <c r="DS62" s="137" t="n">
        <f aca="false">DS16</f>
        <v>26</v>
      </c>
      <c r="DT62" s="137" t="n">
        <f aca="false">DT16</f>
        <v>26</v>
      </c>
      <c r="DU62" s="138" t="n">
        <f aca="false">DU16</f>
        <v>26</v>
      </c>
    </row>
    <row r="63" customFormat="false" ht="12.75" hidden="false" customHeight="false" outlineLevel="0" collapsed="false">
      <c r="A63" s="0" t="n">
        <f aca="true">IF(ISERROR(MATCH(D63,iRefDt,0)),"",MATCH(D63,iRefDt,0))</f>
        <v>63</v>
      </c>
      <c r="B63" s="92" t="n">
        <f aca="false">MATCH(YEAR(D63),iSpreads)</f>
        <v>3</v>
      </c>
      <c r="C63" s="0" t="n">
        <f aca="false">MONTH(D63)</f>
        <v>7</v>
      </c>
      <c r="D63" s="93" t="n">
        <f aca="false">DATE(YEAR(D62),MONTH(D62)+1,1)</f>
        <v>37803</v>
      </c>
      <c r="E63" s="94" t="n">
        <f aca="false">VLOOKUP($D63,tblPriorPrice,2)</f>
        <v>82</v>
      </c>
      <c r="F63" s="190" t="n">
        <f aca="false">G63-E63</f>
        <v>0</v>
      </c>
      <c r="G63" s="190" t="n">
        <f aca="true">G51+OFFSET($CG$4,$B63,$C63)</f>
        <v>82</v>
      </c>
      <c r="H63" s="96" t="n">
        <f aca="true">G63+OFFSET($CU$4,$B63,$C63)</f>
        <v>77</v>
      </c>
      <c r="I63" s="96" t="n">
        <f aca="true">G63+OFFSET($DI$4,$B63,$C63)</f>
        <v>97</v>
      </c>
      <c r="J63" s="94" t="n">
        <f aca="false">VLOOKUP($D63,tblPriorPrice,3)</f>
        <v>47</v>
      </c>
      <c r="K63" s="190" t="n">
        <f aca="false">L63-J63</f>
        <v>0</v>
      </c>
      <c r="L63" s="190" t="n">
        <f aca="true">L51+OFFSET($CG$27,$B63,$C63)</f>
        <v>47</v>
      </c>
      <c r="M63" s="96" t="n">
        <f aca="true">$L63+OFFSET($CU$27,$B63,$C63)</f>
        <v>42</v>
      </c>
      <c r="N63" s="97" t="n">
        <f aca="true">$L63+OFFSET($DI$27,$B63,$C63)</f>
        <v>52</v>
      </c>
      <c r="O63" s="59" t="n">
        <f aca="true">IF($A63="",0,INDEX(tblPosn,$A63,2))</f>
        <v>158354.78125</v>
      </c>
      <c r="P63" s="59" t="n">
        <f aca="true">IF($A63="",0,INDEX(tblPosn,$A63,3))</f>
        <v>111568.140625</v>
      </c>
      <c r="Q63" s="59" t="n">
        <f aca="true">IF($A63="",0,INDEX(tblPosn,$A63,4))</f>
        <v>28791.77734375</v>
      </c>
      <c r="R63" s="59" t="n">
        <f aca="true">IF($A63="",0,INDEX(tblPosn,$A63,5))</f>
        <v>35989.72265625</v>
      </c>
      <c r="S63" s="59" t="n">
        <f aca="true">IF($A63="",0,INDEX(tblPosn,$A63,6))</f>
        <v>0</v>
      </c>
      <c r="T63" s="98" t="n">
        <f aca="false">O63*F63+P63*K63+R63*AC63+S63*AH63/0.72+Q63*X63</f>
        <v>0</v>
      </c>
      <c r="V63" s="161" t="n">
        <f aca="false">D63</f>
        <v>37803</v>
      </c>
      <c r="W63" s="94" t="n">
        <f aca="false">VLOOKUP($D63,tblPriorPrice,4)</f>
        <v>56</v>
      </c>
      <c r="X63" s="95" t="n">
        <f aca="false">Y63-W63</f>
        <v>0</v>
      </c>
      <c r="Y63" s="191" t="n">
        <f aca="true">Y51+OFFSET($CG$50,$B63,$C63)</f>
        <v>56</v>
      </c>
      <c r="Z63" s="96" t="n">
        <f aca="true">Y63+OFFSET($CU$51,$B63,$C63)</f>
        <v>51</v>
      </c>
      <c r="AA63" s="177" t="n">
        <f aca="true">Y63+OFFSET($DI$51,$B63,$C63)</f>
        <v>71</v>
      </c>
      <c r="AB63" s="94" t="n">
        <f aca="false">VLOOKUP($D63,tblPriorPrice,5)</f>
        <v>50</v>
      </c>
      <c r="AC63" s="190" t="n">
        <f aca="false">AD63-AB63</f>
        <v>0</v>
      </c>
      <c r="AD63" s="191" t="n">
        <f aca="true">AD51+OFFSET($CG$73,$B63,$C63)</f>
        <v>50</v>
      </c>
      <c r="AE63" s="96" t="n">
        <f aca="true">AD63+OFFSET($CU$74,$B63,$C63)</f>
        <v>45</v>
      </c>
      <c r="AF63" s="177" t="n">
        <f aca="true">AD63+OFFSET($DI$74,$B63,$C63)</f>
        <v>65</v>
      </c>
      <c r="AG63" s="94" t="n">
        <f aca="false">VLOOKUP($D63,tblPriorPrice,6)</f>
        <v>1</v>
      </c>
      <c r="AH63" s="190"/>
      <c r="AI63" s="191" t="n">
        <f aca="true">AI51+OFFSET($CG$96,$B63,$C63)</f>
        <v>1</v>
      </c>
      <c r="AJ63" s="96" t="n">
        <f aca="true">AI63+OFFSET($CU$96,$B63,$C63)</f>
        <v>1</v>
      </c>
      <c r="AK63" s="97" t="n">
        <f aca="true">AI63+OFFSET($DI$96,$B63,$C63)</f>
        <v>1</v>
      </c>
      <c r="AL63" s="178" t="n">
        <v>11</v>
      </c>
      <c r="AM63" s="165" t="n">
        <v>0.25</v>
      </c>
      <c r="AN63" s="167" t="n">
        <f aca="false">'[3]Pricing Summary'!$AM41</f>
        <v>0.295</v>
      </c>
      <c r="AO63" s="167" t="n">
        <f aca="false">0.9*AN63</f>
        <v>0.2655</v>
      </c>
      <c r="AP63" s="166" t="n">
        <f aca="false">1.5*AN63</f>
        <v>0.4425</v>
      </c>
      <c r="AQ63" s="167" t="n">
        <f aca="false">AN63</f>
        <v>0.295</v>
      </c>
      <c r="AR63" s="166" t="n">
        <f aca="false">0.8*AQ63</f>
        <v>0.236</v>
      </c>
      <c r="AS63" s="166" t="n">
        <f aca="false">1.2*AQ63</f>
        <v>0.354</v>
      </c>
      <c r="AT63" s="169" t="n">
        <f aca="false">IF(G63&lt;110,17.94063*(LN(G63/100))+6.727568*(LN(G63/100)^2)+15.06494,(-4.1*G63+2135)/100)*0.5</f>
        <v>5.88477771629243</v>
      </c>
      <c r="AU63" s="169" t="n">
        <f aca="false">(0.75*AT63-AT63)</f>
        <v>-1.47119442907311</v>
      </c>
      <c r="AV63" s="166" t="n">
        <f aca="false">AT63/0.5*1.25-AT63</f>
        <v>8.82716657443864</v>
      </c>
      <c r="AW63" s="168" t="n">
        <f aca="false">IF(L63&lt;15,(15*L63+375)/100,(-4.71*L63+670.65)/100)*0.5</f>
        <v>2.2464</v>
      </c>
      <c r="AX63" s="166" t="n">
        <f aca="false">0.75*AW63-AW63</f>
        <v>-0.5616</v>
      </c>
      <c r="AY63" s="166" t="n">
        <f aca="false">AW63/0.5*1.25-AW63</f>
        <v>3.3696</v>
      </c>
      <c r="AZ63" s="167" t="n">
        <v>0.5</v>
      </c>
      <c r="BA63" s="74"/>
      <c r="BB63" s="193" t="n">
        <f aca="false">BB62+1</f>
        <v>107</v>
      </c>
      <c r="BC63" s="183"/>
      <c r="BD63" s="196"/>
      <c r="BE63" s="197"/>
      <c r="BF63" s="196"/>
      <c r="BG63" s="196"/>
      <c r="BH63" s="197"/>
      <c r="BI63" s="183"/>
      <c r="BJ63" s="196"/>
      <c r="BK63" s="197"/>
      <c r="BL63" s="196"/>
      <c r="BM63" s="196"/>
      <c r="BN63" s="197"/>
      <c r="BQ63" s="108" t="n">
        <v>36907.7428240741</v>
      </c>
      <c r="BR63" s="109" t="n">
        <v>36907.743287037</v>
      </c>
      <c r="BS63" s="110" t="n">
        <v>37742</v>
      </c>
      <c r="BT63" s="111" t="n">
        <v>152550.6875</v>
      </c>
      <c r="BU63" s="112" t="n">
        <v>112596.9375</v>
      </c>
      <c r="BV63" s="112" t="n">
        <v>36321.59375</v>
      </c>
      <c r="BW63" s="112" t="n">
        <v>36321.59375</v>
      </c>
      <c r="BX63" s="113" t="n">
        <v>0</v>
      </c>
      <c r="BZ63" s="110" t="n">
        <v>37803</v>
      </c>
      <c r="CA63" s="185" t="n">
        <v>82</v>
      </c>
      <c r="CB63" s="116" t="n">
        <v>47</v>
      </c>
      <c r="CC63" s="181" t="n">
        <v>56</v>
      </c>
      <c r="CD63" s="181" t="n">
        <v>50</v>
      </c>
      <c r="CE63" s="117" t="n">
        <v>1</v>
      </c>
      <c r="CG63" s="135" t="n">
        <f aca="false">BB22</f>
        <v>2013</v>
      </c>
      <c r="CH63" s="137" t="n">
        <v>0</v>
      </c>
      <c r="CI63" s="137" t="n">
        <v>0</v>
      </c>
      <c r="CJ63" s="137" t="n">
        <v>0</v>
      </c>
      <c r="CK63" s="137" t="n">
        <v>0</v>
      </c>
      <c r="CL63" s="137" t="n">
        <v>0</v>
      </c>
      <c r="CM63" s="137" t="n">
        <v>0</v>
      </c>
      <c r="CN63" s="137" t="n">
        <v>0</v>
      </c>
      <c r="CO63" s="137" t="n">
        <v>0</v>
      </c>
      <c r="CP63" s="137" t="n">
        <v>0</v>
      </c>
      <c r="CQ63" s="137" t="n">
        <v>0</v>
      </c>
      <c r="CR63" s="137" t="n">
        <v>0</v>
      </c>
      <c r="CS63" s="138" t="n">
        <v>0</v>
      </c>
      <c r="CU63" s="135" t="n">
        <f aca="false">BB22</f>
        <v>2013</v>
      </c>
      <c r="CV63" s="136" t="n">
        <v>-5</v>
      </c>
      <c r="CW63" s="137" t="n">
        <v>-5</v>
      </c>
      <c r="CX63" s="137" t="n">
        <v>-5</v>
      </c>
      <c r="CY63" s="137" t="n">
        <v>-5</v>
      </c>
      <c r="CZ63" s="137" t="n">
        <v>-5</v>
      </c>
      <c r="DA63" s="137" t="n">
        <v>-5</v>
      </c>
      <c r="DB63" s="137" t="n">
        <v>-5</v>
      </c>
      <c r="DC63" s="137" t="n">
        <v>-5</v>
      </c>
      <c r="DD63" s="137" t="n">
        <v>-5</v>
      </c>
      <c r="DE63" s="137" t="n">
        <v>-5</v>
      </c>
      <c r="DF63" s="137" t="n">
        <v>-5</v>
      </c>
      <c r="DG63" s="138" t="n">
        <v>-5</v>
      </c>
      <c r="DI63" s="135" t="n">
        <f aca="false">BB22</f>
        <v>2013</v>
      </c>
      <c r="DJ63" s="136" t="n">
        <f aca="false">DJ17</f>
        <v>27</v>
      </c>
      <c r="DK63" s="137" t="n">
        <f aca="false">DK17</f>
        <v>27</v>
      </c>
      <c r="DL63" s="137" t="n">
        <f aca="false">DL17</f>
        <v>27</v>
      </c>
      <c r="DM63" s="137" t="n">
        <f aca="false">DM17</f>
        <v>27</v>
      </c>
      <c r="DN63" s="137" t="n">
        <f aca="false">DN17</f>
        <v>27</v>
      </c>
      <c r="DO63" s="137" t="n">
        <f aca="false">DO17</f>
        <v>27</v>
      </c>
      <c r="DP63" s="137" t="n">
        <f aca="false">DP17</f>
        <v>27</v>
      </c>
      <c r="DQ63" s="137" t="n">
        <f aca="false">DQ17</f>
        <v>27</v>
      </c>
      <c r="DR63" s="137" t="n">
        <f aca="false">DR17</f>
        <v>27</v>
      </c>
      <c r="DS63" s="137" t="n">
        <f aca="false">DS17</f>
        <v>27</v>
      </c>
      <c r="DT63" s="137" t="n">
        <f aca="false">DT17</f>
        <v>27</v>
      </c>
      <c r="DU63" s="138" t="n">
        <f aca="false">DU17</f>
        <v>27</v>
      </c>
    </row>
    <row r="64" customFormat="false" ht="12.75" hidden="false" customHeight="false" outlineLevel="0" collapsed="false">
      <c r="A64" s="0" t="n">
        <f aca="true">IF(ISERROR(MATCH(D64,iRefDt,0)),"",MATCH(D64,iRefDt,0))</f>
        <v>64</v>
      </c>
      <c r="B64" s="92" t="n">
        <f aca="false">MATCH(YEAR(D64),iSpreads)</f>
        <v>3</v>
      </c>
      <c r="C64" s="0" t="n">
        <f aca="false">MONTH(D64)</f>
        <v>8</v>
      </c>
      <c r="D64" s="93" t="n">
        <f aca="false">DATE(YEAR(D63),MONTH(D63)+1,1)</f>
        <v>37834</v>
      </c>
      <c r="E64" s="94" t="n">
        <f aca="false">VLOOKUP($D64,tblPriorPrice,2)</f>
        <v>115</v>
      </c>
      <c r="F64" s="190" t="n">
        <f aca="false">G64-E64</f>
        <v>0</v>
      </c>
      <c r="G64" s="190" t="n">
        <f aca="true">G52+OFFSET($CG$4,$B64,$C64)</f>
        <v>115</v>
      </c>
      <c r="H64" s="96" t="n">
        <f aca="true">G64+OFFSET($CU$4,$B64,$C64)</f>
        <v>110</v>
      </c>
      <c r="I64" s="96" t="n">
        <f aca="true">G64+OFFSET($DI$4,$B64,$C64)</f>
        <v>130</v>
      </c>
      <c r="J64" s="94" t="n">
        <f aca="false">VLOOKUP($D64,tblPriorPrice,3)</f>
        <v>48</v>
      </c>
      <c r="K64" s="190" t="n">
        <f aca="false">L64-J64</f>
        <v>0</v>
      </c>
      <c r="L64" s="190" t="n">
        <f aca="true">L52+OFFSET($CG$27,$B64,$C64)</f>
        <v>48</v>
      </c>
      <c r="M64" s="96" t="n">
        <f aca="true">$L64+OFFSET($CU$27,$B64,$C64)</f>
        <v>43</v>
      </c>
      <c r="N64" s="97" t="n">
        <f aca="true">$L64+OFFSET($DI$27,$B64,$C64)</f>
        <v>53</v>
      </c>
      <c r="O64" s="59" t="n">
        <f aca="true">IF($A64="",0,INDEX(tblPosn,$A64,2))</f>
        <v>150451.09375</v>
      </c>
      <c r="P64" s="59" t="n">
        <f aca="true">IF($A64="",0,INDEX(tblPosn,$A64,3))</f>
        <v>111047.234375</v>
      </c>
      <c r="Q64" s="59" t="n">
        <f aca="true">IF($A64="",0,INDEX(tblPosn,$A64,4))</f>
        <v>35821.6875</v>
      </c>
      <c r="R64" s="59" t="n">
        <f aca="true">IF($A64="",0,INDEX(tblPosn,$A64,5))</f>
        <v>35821.6875</v>
      </c>
      <c r="S64" s="59" t="n">
        <f aca="true">IF($A64="",0,INDEX(tblPosn,$A64,6))</f>
        <v>0</v>
      </c>
      <c r="T64" s="98" t="n">
        <f aca="false">O64*F64+P64*K64+R64*AC64+S64*AH64/0.72+Q64*X64</f>
        <v>0</v>
      </c>
      <c r="V64" s="161" t="n">
        <f aca="false">D64</f>
        <v>37834</v>
      </c>
      <c r="W64" s="94" t="n">
        <f aca="false">VLOOKUP($D64,tblPriorPrice,4)</f>
        <v>78</v>
      </c>
      <c r="X64" s="95" t="n">
        <f aca="false">Y64-W64</f>
        <v>0</v>
      </c>
      <c r="Y64" s="191" t="n">
        <f aca="true">Y52+OFFSET($CG$50,$B64,$C64)</f>
        <v>78</v>
      </c>
      <c r="Z64" s="96" t="n">
        <f aca="true">Y64+OFFSET($CU$51,$B64,$C64)</f>
        <v>73</v>
      </c>
      <c r="AA64" s="177" t="n">
        <f aca="true">Y64+OFFSET($DI$51,$B64,$C64)</f>
        <v>93</v>
      </c>
      <c r="AB64" s="94" t="n">
        <f aca="false">VLOOKUP($D64,tblPriorPrice,5)</f>
        <v>70</v>
      </c>
      <c r="AC64" s="190" t="n">
        <f aca="false">AD64-AB64</f>
        <v>0</v>
      </c>
      <c r="AD64" s="191" t="n">
        <f aca="true">AD52+OFFSET($CG$73,$B64,$C64)</f>
        <v>70</v>
      </c>
      <c r="AE64" s="96" t="n">
        <f aca="true">AD64+OFFSET($CU$74,$B64,$C64)</f>
        <v>65</v>
      </c>
      <c r="AF64" s="177" t="n">
        <f aca="true">AD64+OFFSET($DI$74,$B64,$C64)</f>
        <v>85</v>
      </c>
      <c r="AG64" s="94" t="n">
        <f aca="false">VLOOKUP($D64,tblPriorPrice,6)</f>
        <v>1</v>
      </c>
      <c r="AH64" s="190"/>
      <c r="AI64" s="191" t="n">
        <f aca="true">AI52+OFFSET($CG$96,$B64,$C64)</f>
        <v>1</v>
      </c>
      <c r="AJ64" s="96" t="n">
        <f aca="true">AI64+OFFSET($CU$96,$B64,$C64)</f>
        <v>1</v>
      </c>
      <c r="AK64" s="97" t="n">
        <f aca="true">AI64+OFFSET($DI$96,$B64,$C64)</f>
        <v>1</v>
      </c>
      <c r="AL64" s="178" t="n">
        <v>11</v>
      </c>
      <c r="AM64" s="165" t="n">
        <v>0.25</v>
      </c>
      <c r="AN64" s="167" t="n">
        <f aca="false">'[3]Pricing Summary'!$AM42</f>
        <v>0.295</v>
      </c>
      <c r="AO64" s="167" t="n">
        <f aca="false">0.9*AN64</f>
        <v>0.2655</v>
      </c>
      <c r="AP64" s="166" t="n">
        <f aca="false">1.5*AN64</f>
        <v>0.4425</v>
      </c>
      <c r="AQ64" s="167" t="n">
        <f aca="false">AN64</f>
        <v>0.295</v>
      </c>
      <c r="AR64" s="166" t="n">
        <f aca="false">0.8*AQ64</f>
        <v>0.236</v>
      </c>
      <c r="AS64" s="166" t="n">
        <f aca="false">1.2*AQ64</f>
        <v>0.354</v>
      </c>
      <c r="AT64" s="169" t="n">
        <f aca="false">IF(G64&lt;110,17.94063*(LN(G64/100))+6.727568*(LN(G64/100)^2)+15.06494,(-4.1*G64+2135)/100)*0.5</f>
        <v>8.3175</v>
      </c>
      <c r="AU64" s="169" t="n">
        <f aca="false">(0.75*AT64-AT64)</f>
        <v>-2.079375</v>
      </c>
      <c r="AV64" s="166" t="n">
        <f aca="false">AT64/0.5*1.25-AT64</f>
        <v>12.47625</v>
      </c>
      <c r="AW64" s="168" t="n">
        <f aca="false">IF(L64&lt;15,(15*L64+375)/100,(-4.71*L64+670.65)/100)*0.5</f>
        <v>2.22285</v>
      </c>
      <c r="AX64" s="166" t="n">
        <f aca="false">0.75*AW64-AW64</f>
        <v>-0.5557125</v>
      </c>
      <c r="AY64" s="166" t="n">
        <f aca="false">AW64/0.5*1.25-AW64</f>
        <v>3.334275</v>
      </c>
      <c r="AZ64" s="167" t="n">
        <v>0.5</v>
      </c>
      <c r="BA64" s="74"/>
      <c r="BB64" s="193" t="n">
        <f aca="false">BB63+1</f>
        <v>108</v>
      </c>
      <c r="BC64" s="183"/>
      <c r="BD64" s="196"/>
      <c r="BE64" s="197"/>
      <c r="BF64" s="196"/>
      <c r="BG64" s="196"/>
      <c r="BH64" s="197"/>
      <c r="BI64" s="183"/>
      <c r="BJ64" s="196"/>
      <c r="BK64" s="197"/>
      <c r="BL64" s="196"/>
      <c r="BM64" s="196"/>
      <c r="BN64" s="197"/>
      <c r="BQ64" s="108" t="n">
        <v>36907.7428240741</v>
      </c>
      <c r="BR64" s="109" t="n">
        <v>36907.743287037</v>
      </c>
      <c r="BS64" s="110" t="n">
        <v>37773</v>
      </c>
      <c r="BT64" s="111" t="n">
        <v>151870.0625</v>
      </c>
      <c r="BU64" s="112" t="n">
        <v>108478.6171875</v>
      </c>
      <c r="BV64" s="112" t="n">
        <v>28927.630859375</v>
      </c>
      <c r="BW64" s="112" t="n">
        <v>36159.5390625</v>
      </c>
      <c r="BX64" s="113" t="n">
        <v>0</v>
      </c>
      <c r="BZ64" s="110" t="n">
        <v>37834</v>
      </c>
      <c r="CA64" s="185" t="n">
        <v>115</v>
      </c>
      <c r="CB64" s="116" t="n">
        <v>48</v>
      </c>
      <c r="CC64" s="181" t="n">
        <v>78</v>
      </c>
      <c r="CD64" s="181" t="n">
        <v>70</v>
      </c>
      <c r="CE64" s="117" t="n">
        <v>1</v>
      </c>
      <c r="CG64" s="135" t="n">
        <f aca="false">BB23</f>
        <v>2014</v>
      </c>
      <c r="CH64" s="137" t="n">
        <v>0</v>
      </c>
      <c r="CI64" s="137" t="n">
        <v>0</v>
      </c>
      <c r="CJ64" s="137" t="n">
        <v>0</v>
      </c>
      <c r="CK64" s="137" t="n">
        <v>0</v>
      </c>
      <c r="CL64" s="137" t="n">
        <v>0</v>
      </c>
      <c r="CM64" s="137" t="n">
        <v>0</v>
      </c>
      <c r="CN64" s="137" t="n">
        <v>0</v>
      </c>
      <c r="CO64" s="137" t="n">
        <v>0</v>
      </c>
      <c r="CP64" s="137" t="n">
        <v>0</v>
      </c>
      <c r="CQ64" s="137" t="n">
        <v>0</v>
      </c>
      <c r="CR64" s="137" t="n">
        <v>0</v>
      </c>
      <c r="CS64" s="138" t="n">
        <v>0</v>
      </c>
      <c r="CU64" s="135" t="n">
        <f aca="false">BB23</f>
        <v>2014</v>
      </c>
      <c r="CV64" s="136" t="n">
        <v>-5</v>
      </c>
      <c r="CW64" s="137" t="n">
        <v>-5</v>
      </c>
      <c r="CX64" s="137" t="n">
        <v>-5</v>
      </c>
      <c r="CY64" s="137" t="n">
        <v>-5</v>
      </c>
      <c r="CZ64" s="137" t="n">
        <v>-5</v>
      </c>
      <c r="DA64" s="137" t="n">
        <v>-5</v>
      </c>
      <c r="DB64" s="137" t="n">
        <v>-5</v>
      </c>
      <c r="DC64" s="137" t="n">
        <v>-5</v>
      </c>
      <c r="DD64" s="137" t="n">
        <v>-5</v>
      </c>
      <c r="DE64" s="137" t="n">
        <v>-5</v>
      </c>
      <c r="DF64" s="137" t="n">
        <v>-5</v>
      </c>
      <c r="DG64" s="138" t="n">
        <v>-5</v>
      </c>
      <c r="DI64" s="135" t="n">
        <f aca="false">BB23</f>
        <v>2014</v>
      </c>
      <c r="DJ64" s="136" t="n">
        <f aca="false">DJ18</f>
        <v>28</v>
      </c>
      <c r="DK64" s="137" t="n">
        <f aca="false">DK18</f>
        <v>28</v>
      </c>
      <c r="DL64" s="137" t="n">
        <f aca="false">DL18</f>
        <v>28</v>
      </c>
      <c r="DM64" s="137" t="n">
        <f aca="false">DM18</f>
        <v>28</v>
      </c>
      <c r="DN64" s="137" t="n">
        <f aca="false">DN18</f>
        <v>28</v>
      </c>
      <c r="DO64" s="137" t="n">
        <f aca="false">DO18</f>
        <v>28</v>
      </c>
      <c r="DP64" s="137" t="n">
        <f aca="false">DP18</f>
        <v>28</v>
      </c>
      <c r="DQ64" s="137" t="n">
        <f aca="false">DQ18</f>
        <v>28</v>
      </c>
      <c r="DR64" s="137" t="n">
        <f aca="false">DR18</f>
        <v>28</v>
      </c>
      <c r="DS64" s="137" t="n">
        <f aca="false">DS18</f>
        <v>28</v>
      </c>
      <c r="DT64" s="137" t="n">
        <f aca="false">DT18</f>
        <v>28</v>
      </c>
      <c r="DU64" s="138" t="n">
        <f aca="false">DU18</f>
        <v>28</v>
      </c>
    </row>
    <row r="65" customFormat="false" ht="12.75" hidden="false" customHeight="false" outlineLevel="0" collapsed="false">
      <c r="A65" s="0" t="n">
        <f aca="true">IF(ISERROR(MATCH(D65,iRefDt,0)),"",MATCH(D65,iRefDt,0))</f>
        <v>65</v>
      </c>
      <c r="B65" s="92" t="n">
        <f aca="false">MATCH(YEAR(D65),iSpreads)</f>
        <v>3</v>
      </c>
      <c r="C65" s="0" t="n">
        <f aca="false">MONTH(D65)</f>
        <v>9</v>
      </c>
      <c r="D65" s="93" t="n">
        <f aca="false">DATE(YEAR(D64),MONTH(D64)+1,1)</f>
        <v>37865</v>
      </c>
      <c r="E65" s="94" t="n">
        <f aca="false">VLOOKUP($D65,tblPriorPrice,2)</f>
        <v>88</v>
      </c>
      <c r="F65" s="190" t="n">
        <f aca="false">G65-E65</f>
        <v>0</v>
      </c>
      <c r="G65" s="190" t="n">
        <f aca="true">G53+OFFSET($CG$4,$B65,$C65)</f>
        <v>88</v>
      </c>
      <c r="H65" s="96" t="n">
        <f aca="true">G65+OFFSET($CU$4,$B65,$C65)</f>
        <v>83</v>
      </c>
      <c r="I65" s="96" t="n">
        <f aca="true">G65+OFFSET($DI$4,$B65,$C65)</f>
        <v>103</v>
      </c>
      <c r="J65" s="94" t="n">
        <f aca="false">VLOOKUP($D65,tblPriorPrice,3)</f>
        <v>43</v>
      </c>
      <c r="K65" s="190" t="n">
        <f aca="false">L65-J65</f>
        <v>0</v>
      </c>
      <c r="L65" s="190" t="n">
        <f aca="true">L53+OFFSET($CG$27,$B65,$C65)</f>
        <v>43</v>
      </c>
      <c r="M65" s="96" t="n">
        <f aca="true">$L65+OFFSET($CU$27,$B65,$C65)</f>
        <v>38</v>
      </c>
      <c r="N65" s="97" t="n">
        <f aca="true">$L65+OFFSET($DI$27,$B65,$C65)</f>
        <v>48</v>
      </c>
      <c r="O65" s="59" t="n">
        <f aca="true">IF($A65="",0,INDEX(tblPosn,$A65,2))</f>
        <v>149762.015625</v>
      </c>
      <c r="P65" s="59" t="n">
        <f aca="true">IF($A65="",0,INDEX(tblPosn,$A65,3))</f>
        <v>106972.8671875</v>
      </c>
      <c r="Q65" s="59" t="n">
        <f aca="true">IF($A65="",0,INDEX(tblPosn,$A65,4))</f>
        <v>28526.099609375</v>
      </c>
      <c r="R65" s="59" t="n">
        <f aca="true">IF($A65="",0,INDEX(tblPosn,$A65,5))</f>
        <v>35657.625</v>
      </c>
      <c r="S65" s="59" t="n">
        <f aca="true">IF($A65="",0,INDEX(tblPosn,$A65,6))</f>
        <v>0</v>
      </c>
      <c r="T65" s="98" t="n">
        <f aca="false">O65*F65+P65*K65+R65*AC65+S65*AH65/0.72+Q65*X65</f>
        <v>0</v>
      </c>
      <c r="V65" s="161" t="n">
        <f aca="false">D65</f>
        <v>37865</v>
      </c>
      <c r="W65" s="94" t="n">
        <f aca="false">VLOOKUP($D65,tblPriorPrice,4)</f>
        <v>67</v>
      </c>
      <c r="X65" s="95" t="n">
        <f aca="false">Y65-W65</f>
        <v>0</v>
      </c>
      <c r="Y65" s="191" t="n">
        <f aca="true">Y53+OFFSET($CG$50,$B65,$C65)</f>
        <v>67</v>
      </c>
      <c r="Z65" s="96" t="n">
        <f aca="true">Y65+OFFSET($CU$51,$B65,$C65)</f>
        <v>62</v>
      </c>
      <c r="AA65" s="177" t="n">
        <f aca="true">Y65+OFFSET($DI$51,$B65,$C65)</f>
        <v>82</v>
      </c>
      <c r="AB65" s="94" t="n">
        <f aca="false">VLOOKUP($D65,tblPriorPrice,5)</f>
        <v>60</v>
      </c>
      <c r="AC65" s="190" t="n">
        <f aca="false">AD65-AB65</f>
        <v>0</v>
      </c>
      <c r="AD65" s="191" t="n">
        <f aca="true">AD53+OFFSET($CG$73,$B65,$C65)</f>
        <v>60</v>
      </c>
      <c r="AE65" s="96" t="n">
        <f aca="true">AD65+OFFSET($CU$74,$B65,$C65)</f>
        <v>55</v>
      </c>
      <c r="AF65" s="177" t="n">
        <f aca="true">AD65+OFFSET($DI$74,$B65,$C65)</f>
        <v>75</v>
      </c>
      <c r="AG65" s="94" t="n">
        <f aca="false">VLOOKUP($D65,tblPriorPrice,6)</f>
        <v>1</v>
      </c>
      <c r="AH65" s="190"/>
      <c r="AI65" s="191" t="n">
        <f aca="true">AI53+OFFSET($CG$96,$B65,$C65)</f>
        <v>1</v>
      </c>
      <c r="AJ65" s="96" t="n">
        <f aca="true">AI65+OFFSET($CU$96,$B65,$C65)</f>
        <v>1</v>
      </c>
      <c r="AK65" s="97" t="n">
        <f aca="true">AI65+OFFSET($DI$96,$B65,$C65)</f>
        <v>1</v>
      </c>
      <c r="AL65" s="178" t="n">
        <v>12</v>
      </c>
      <c r="AM65" s="165" t="n">
        <v>0.25</v>
      </c>
      <c r="AN65" s="167" t="n">
        <f aca="false">'[3]Pricing Summary'!$AM43</f>
        <v>0.295</v>
      </c>
      <c r="AO65" s="167" t="n">
        <f aca="false">0.9*AN65</f>
        <v>0.2655</v>
      </c>
      <c r="AP65" s="166" t="n">
        <f aca="false">1.5*AN65</f>
        <v>0.4425</v>
      </c>
      <c r="AQ65" s="167" t="n">
        <f aca="false">AN65</f>
        <v>0.295</v>
      </c>
      <c r="AR65" s="166" t="n">
        <f aca="false">0.8*AQ65</f>
        <v>0.236</v>
      </c>
      <c r="AS65" s="166" t="n">
        <f aca="false">1.2*AQ65</f>
        <v>0.354</v>
      </c>
      <c r="AT65" s="169" t="n">
        <f aca="false">IF(G65&lt;110,17.94063*(LN(G65/100))+6.727568*(LN(G65/100)^2)+15.06494,(-4.1*G65+2135)/100)*0.5</f>
        <v>6.44073323192021</v>
      </c>
      <c r="AU65" s="169" t="n">
        <f aca="false">(0.75*AT65-AT65)</f>
        <v>-1.61018330798005</v>
      </c>
      <c r="AV65" s="166" t="n">
        <f aca="false">AT65/0.5*1.25-AT65</f>
        <v>9.66109984788031</v>
      </c>
      <c r="AW65" s="168" t="n">
        <f aca="false">IF(L65&lt;15,(15*L65+375)/100,(-4.71*L65+670.65)/100)*0.5</f>
        <v>2.3406</v>
      </c>
      <c r="AX65" s="166" t="n">
        <f aca="false">0.75*AW65-AW65</f>
        <v>-0.58515</v>
      </c>
      <c r="AY65" s="166" t="n">
        <f aca="false">AW65/0.5*1.25-AW65</f>
        <v>3.5109</v>
      </c>
      <c r="AZ65" s="167" t="n">
        <v>0.5</v>
      </c>
      <c r="BA65" s="74"/>
      <c r="BB65" s="193" t="n">
        <f aca="false">BB64+1</f>
        <v>109</v>
      </c>
      <c r="BC65" s="183"/>
      <c r="BD65" s="196"/>
      <c r="BE65" s="197"/>
      <c r="BF65" s="196"/>
      <c r="BG65" s="196"/>
      <c r="BH65" s="197"/>
      <c r="BI65" s="183"/>
      <c r="BJ65" s="196"/>
      <c r="BK65" s="197"/>
      <c r="BL65" s="196"/>
      <c r="BM65" s="196"/>
      <c r="BN65" s="197"/>
      <c r="BQ65" s="108" t="n">
        <v>36907.7428240741</v>
      </c>
      <c r="BR65" s="109" t="n">
        <v>36907.743287037</v>
      </c>
      <c r="BS65" s="110" t="n">
        <v>37803</v>
      </c>
      <c r="BT65" s="111" t="n">
        <v>158354.78125</v>
      </c>
      <c r="BU65" s="112" t="n">
        <v>111568.140625</v>
      </c>
      <c r="BV65" s="112" t="n">
        <v>28791.77734375</v>
      </c>
      <c r="BW65" s="112" t="n">
        <v>35989.72265625</v>
      </c>
      <c r="BX65" s="113" t="n">
        <v>0</v>
      </c>
      <c r="BZ65" s="110" t="n">
        <v>37865</v>
      </c>
      <c r="CA65" s="185" t="n">
        <v>88</v>
      </c>
      <c r="CB65" s="116" t="n">
        <v>43</v>
      </c>
      <c r="CC65" s="181" t="n">
        <v>67</v>
      </c>
      <c r="CD65" s="181" t="n">
        <v>60</v>
      </c>
      <c r="CE65" s="117" t="n">
        <v>1</v>
      </c>
      <c r="CG65" s="135" t="n">
        <f aca="false">BB24</f>
        <v>2015</v>
      </c>
      <c r="CH65" s="137" t="n">
        <v>0</v>
      </c>
      <c r="CI65" s="137" t="n">
        <v>0</v>
      </c>
      <c r="CJ65" s="137" t="n">
        <v>0</v>
      </c>
      <c r="CK65" s="137" t="n">
        <v>0</v>
      </c>
      <c r="CL65" s="137" t="n">
        <v>0</v>
      </c>
      <c r="CM65" s="137" t="n">
        <v>0</v>
      </c>
      <c r="CN65" s="137" t="n">
        <v>0</v>
      </c>
      <c r="CO65" s="137" t="n">
        <v>0</v>
      </c>
      <c r="CP65" s="137" t="n">
        <v>0</v>
      </c>
      <c r="CQ65" s="137" t="n">
        <v>0</v>
      </c>
      <c r="CR65" s="137" t="n">
        <v>0</v>
      </c>
      <c r="CS65" s="138" t="n">
        <v>0</v>
      </c>
      <c r="CU65" s="135" t="n">
        <f aca="false">BB24</f>
        <v>2015</v>
      </c>
      <c r="CV65" s="136" t="n">
        <v>-5</v>
      </c>
      <c r="CW65" s="137" t="n">
        <v>-5</v>
      </c>
      <c r="CX65" s="137" t="n">
        <v>-5</v>
      </c>
      <c r="CY65" s="137" t="n">
        <v>-5</v>
      </c>
      <c r="CZ65" s="137" t="n">
        <v>-5</v>
      </c>
      <c r="DA65" s="137" t="n">
        <v>-5</v>
      </c>
      <c r="DB65" s="137" t="n">
        <v>-5</v>
      </c>
      <c r="DC65" s="137" t="n">
        <v>-5</v>
      </c>
      <c r="DD65" s="137" t="n">
        <v>-5</v>
      </c>
      <c r="DE65" s="137" t="n">
        <v>-5</v>
      </c>
      <c r="DF65" s="137" t="n">
        <v>-5</v>
      </c>
      <c r="DG65" s="138" t="n">
        <v>-5</v>
      </c>
      <c r="DI65" s="135" t="n">
        <f aca="false">BB24</f>
        <v>2015</v>
      </c>
      <c r="DJ65" s="136" t="n">
        <f aca="false">DJ19</f>
        <v>29</v>
      </c>
      <c r="DK65" s="137" t="n">
        <f aca="false">DK19</f>
        <v>29</v>
      </c>
      <c r="DL65" s="137" t="n">
        <f aca="false">DL19</f>
        <v>29</v>
      </c>
      <c r="DM65" s="137" t="n">
        <f aca="false">DM19</f>
        <v>29</v>
      </c>
      <c r="DN65" s="137" t="n">
        <f aca="false">DN19</f>
        <v>29</v>
      </c>
      <c r="DO65" s="137" t="n">
        <f aca="false">DO19</f>
        <v>29</v>
      </c>
      <c r="DP65" s="137" t="n">
        <f aca="false">DP19</f>
        <v>29</v>
      </c>
      <c r="DQ65" s="137" t="n">
        <f aca="false">DQ19</f>
        <v>29</v>
      </c>
      <c r="DR65" s="137" t="n">
        <f aca="false">DR19</f>
        <v>29</v>
      </c>
      <c r="DS65" s="137" t="n">
        <f aca="false">DS19</f>
        <v>29</v>
      </c>
      <c r="DT65" s="137" t="n">
        <f aca="false">DT19</f>
        <v>29</v>
      </c>
      <c r="DU65" s="138" t="n">
        <f aca="false">DU19</f>
        <v>29</v>
      </c>
    </row>
    <row r="66" customFormat="false" ht="12.75" hidden="false" customHeight="false" outlineLevel="0" collapsed="false">
      <c r="A66" s="0" t="n">
        <f aca="true">IF(ISERROR(MATCH(D66,iRefDt,0)),"",MATCH(D66,iRefDt,0))</f>
        <v>66</v>
      </c>
      <c r="B66" s="92" t="n">
        <f aca="false">MATCH(YEAR(D66),iSpreads)</f>
        <v>3</v>
      </c>
      <c r="C66" s="0" t="n">
        <f aca="false">MONTH(D66)</f>
        <v>10</v>
      </c>
      <c r="D66" s="93" t="n">
        <f aca="false">DATE(YEAR(D65),MONTH(D65)+1,1)</f>
        <v>37895</v>
      </c>
      <c r="E66" s="94" t="n">
        <f aca="false">VLOOKUP($D66,tblPriorPrice,2)</f>
        <v>59</v>
      </c>
      <c r="F66" s="190" t="n">
        <f aca="false">G66-E66</f>
        <v>0</v>
      </c>
      <c r="G66" s="190" t="n">
        <f aca="true">G54+OFFSET($CG$4,$B66,$C66)</f>
        <v>59</v>
      </c>
      <c r="H66" s="96" t="n">
        <f aca="true">G66+OFFSET($CU$4,$B66,$C66)</f>
        <v>54</v>
      </c>
      <c r="I66" s="96" t="n">
        <f aca="true">G66+OFFSET($DI$4,$B66,$C66)</f>
        <v>74</v>
      </c>
      <c r="J66" s="94" t="n">
        <f aca="false">VLOOKUP($D66,tblPriorPrice,3)</f>
        <v>45</v>
      </c>
      <c r="K66" s="190" t="n">
        <f aca="false">L66-J66</f>
        <v>0</v>
      </c>
      <c r="L66" s="190" t="n">
        <f aca="true">L54+OFFSET($CG$27,$B66,$C66)</f>
        <v>45</v>
      </c>
      <c r="M66" s="96" t="n">
        <f aca="true">$L66+OFFSET($CU$27,$B66,$C66)</f>
        <v>40</v>
      </c>
      <c r="N66" s="97" t="n">
        <f aca="true">$L66+OFFSET($DI$27,$B66,$C66)</f>
        <v>50</v>
      </c>
      <c r="O66" s="59" t="n">
        <f aca="true">IF($A66="",0,INDEX(tblPosn,$A66,2))</f>
        <v>163001.671875</v>
      </c>
      <c r="P66" s="59" t="n">
        <f aca="true">IF($A66="",0,INDEX(tblPosn,$A66,3))</f>
        <v>110285.75</v>
      </c>
      <c r="Q66" s="59" t="n">
        <f aca="true">IF($A66="",0,INDEX(tblPosn,$A66,4))</f>
        <v>28336.12890625</v>
      </c>
      <c r="R66" s="59" t="n">
        <f aca="true">IF($A66="",0,INDEX(tblPosn,$A66,5))</f>
        <v>28349.916015625</v>
      </c>
      <c r="S66" s="59" t="n">
        <f aca="true">IF($A66="",0,INDEX(tblPosn,$A66,6))</f>
        <v>0</v>
      </c>
      <c r="T66" s="98" t="n">
        <f aca="false">O66*F66+P66*K66+R66*AC66+S66*AH66/0.72+Q66*X66</f>
        <v>0</v>
      </c>
      <c r="V66" s="161" t="n">
        <f aca="false">D66</f>
        <v>37895</v>
      </c>
      <c r="W66" s="94" t="n">
        <f aca="false">VLOOKUP($D66,tblPriorPrice,4)</f>
        <v>43</v>
      </c>
      <c r="X66" s="95" t="n">
        <f aca="false">Y66-W66</f>
        <v>0</v>
      </c>
      <c r="Y66" s="191" t="n">
        <f aca="true">Y54+OFFSET($CG$50,$B66,$C66)</f>
        <v>43</v>
      </c>
      <c r="Z66" s="96" t="n">
        <f aca="true">Y66+OFFSET($CU$51,$B66,$C66)</f>
        <v>38</v>
      </c>
      <c r="AA66" s="177" t="n">
        <f aca="true">Y66+OFFSET($DI$51,$B66,$C66)</f>
        <v>58</v>
      </c>
      <c r="AB66" s="94" t="n">
        <f aca="false">VLOOKUP($D66,tblPriorPrice,5)</f>
        <v>43</v>
      </c>
      <c r="AC66" s="190" t="n">
        <f aca="false">AD66-AB66</f>
        <v>0</v>
      </c>
      <c r="AD66" s="191" t="n">
        <f aca="true">AD54+OFFSET($CG$73,$B66,$C66)</f>
        <v>43</v>
      </c>
      <c r="AE66" s="96" t="n">
        <f aca="true">AD66+OFFSET($CU$74,$B66,$C66)</f>
        <v>38</v>
      </c>
      <c r="AF66" s="177" t="n">
        <f aca="true">AD66+OFFSET($DI$74,$B66,$C66)</f>
        <v>58</v>
      </c>
      <c r="AG66" s="94" t="n">
        <f aca="false">VLOOKUP($D66,tblPriorPrice,6)</f>
        <v>1</v>
      </c>
      <c r="AH66" s="190"/>
      <c r="AI66" s="191" t="n">
        <f aca="true">AI54+OFFSET($CG$96,$B66,$C66)</f>
        <v>1</v>
      </c>
      <c r="AJ66" s="96" t="n">
        <f aca="true">AI66+OFFSET($CU$96,$B66,$C66)</f>
        <v>1</v>
      </c>
      <c r="AK66" s="97" t="n">
        <f aca="true">AI66+OFFSET($DI$96,$B66,$C66)</f>
        <v>1</v>
      </c>
      <c r="AL66" s="178" t="n">
        <v>12</v>
      </c>
      <c r="AM66" s="165" t="n">
        <v>0.25</v>
      </c>
      <c r="AN66" s="167" t="n">
        <f aca="false">'[3]Pricing Summary'!$AM44</f>
        <v>0.295</v>
      </c>
      <c r="AO66" s="167" t="n">
        <f aca="false">0.9*AN66</f>
        <v>0.2655</v>
      </c>
      <c r="AP66" s="166" t="n">
        <f aca="false">1.5*AN66</f>
        <v>0.4425</v>
      </c>
      <c r="AQ66" s="167" t="n">
        <f aca="false">AN66</f>
        <v>0.295</v>
      </c>
      <c r="AR66" s="166" t="n">
        <f aca="false">0.8*AQ66</f>
        <v>0.236</v>
      </c>
      <c r="AS66" s="166" t="n">
        <f aca="false">1.2*AQ66</f>
        <v>0.354</v>
      </c>
      <c r="AT66" s="169" t="n">
        <f aca="false">IF(G66&lt;110,17.94063*(LN(G66/100))+6.727568*(LN(G66/100)^2)+15.06494,(-4.1*G66+2135)/100)*0.5</f>
        <v>3.73590315418471</v>
      </c>
      <c r="AU66" s="169" t="n">
        <f aca="false">(0.75*AT66-AT66)</f>
        <v>-0.933975788546176</v>
      </c>
      <c r="AV66" s="166" t="n">
        <f aca="false">AT66/0.5*1.25-AT66</f>
        <v>5.60385473127706</v>
      </c>
      <c r="AW66" s="168" t="n">
        <f aca="false">IF(L66&lt;15,(15*L66+375)/100,(-4.71*L66+670.65)/100)*0.5</f>
        <v>2.2935</v>
      </c>
      <c r="AX66" s="166" t="n">
        <f aca="false">0.75*AW66-AW66</f>
        <v>-0.573375</v>
      </c>
      <c r="AY66" s="166" t="n">
        <f aca="false">AW66/0.5*1.25-AW66</f>
        <v>3.44025</v>
      </c>
      <c r="AZ66" s="167" t="n">
        <v>0.5</v>
      </c>
      <c r="BA66" s="74"/>
      <c r="BB66" s="193" t="n">
        <f aca="false">BB65+1</f>
        <v>110</v>
      </c>
      <c r="BC66" s="183"/>
      <c r="BD66" s="196"/>
      <c r="BE66" s="197"/>
      <c r="BF66" s="196"/>
      <c r="BG66" s="196"/>
      <c r="BH66" s="197"/>
      <c r="BI66" s="183"/>
      <c r="BJ66" s="196"/>
      <c r="BK66" s="197"/>
      <c r="BL66" s="196"/>
      <c r="BM66" s="196"/>
      <c r="BN66" s="197"/>
      <c r="BQ66" s="108" t="n">
        <v>36907.7428240741</v>
      </c>
      <c r="BR66" s="109" t="n">
        <v>36907.743287037</v>
      </c>
      <c r="BS66" s="110" t="n">
        <v>37834</v>
      </c>
      <c r="BT66" s="111" t="n">
        <v>150451.09375</v>
      </c>
      <c r="BU66" s="112" t="n">
        <v>111047.234375</v>
      </c>
      <c r="BV66" s="112" t="n">
        <v>35821.6875</v>
      </c>
      <c r="BW66" s="112" t="n">
        <v>35821.6875</v>
      </c>
      <c r="BX66" s="113" t="n">
        <v>0</v>
      </c>
      <c r="BZ66" s="110" t="n">
        <v>37895</v>
      </c>
      <c r="CA66" s="185" t="n">
        <v>59</v>
      </c>
      <c r="CB66" s="116" t="n">
        <v>45</v>
      </c>
      <c r="CC66" s="181" t="n">
        <v>43</v>
      </c>
      <c r="CD66" s="181" t="n">
        <v>43</v>
      </c>
      <c r="CE66" s="117" t="n">
        <v>1</v>
      </c>
      <c r="CG66" s="135" t="n">
        <f aca="false">BB25</f>
        <v>2016</v>
      </c>
      <c r="CH66" s="137" t="n">
        <v>0</v>
      </c>
      <c r="CI66" s="137" t="n">
        <v>0</v>
      </c>
      <c r="CJ66" s="137" t="n">
        <v>0</v>
      </c>
      <c r="CK66" s="137" t="n">
        <v>0</v>
      </c>
      <c r="CL66" s="137" t="n">
        <v>0</v>
      </c>
      <c r="CM66" s="137" t="n">
        <v>0</v>
      </c>
      <c r="CN66" s="137" t="n">
        <v>0</v>
      </c>
      <c r="CO66" s="137" t="n">
        <v>0</v>
      </c>
      <c r="CP66" s="137" t="n">
        <v>0</v>
      </c>
      <c r="CQ66" s="137" t="n">
        <v>0</v>
      </c>
      <c r="CR66" s="137" t="n">
        <v>0</v>
      </c>
      <c r="CS66" s="138" t="n">
        <v>0</v>
      </c>
      <c r="CU66" s="135" t="n">
        <f aca="false">BB25</f>
        <v>2016</v>
      </c>
      <c r="CV66" s="136" t="n">
        <v>-5</v>
      </c>
      <c r="CW66" s="137" t="n">
        <v>-5</v>
      </c>
      <c r="CX66" s="137" t="n">
        <v>-5</v>
      </c>
      <c r="CY66" s="137" t="n">
        <v>-5</v>
      </c>
      <c r="CZ66" s="137" t="n">
        <v>-5</v>
      </c>
      <c r="DA66" s="137" t="n">
        <v>-5</v>
      </c>
      <c r="DB66" s="137" t="n">
        <v>-5</v>
      </c>
      <c r="DC66" s="137" t="n">
        <v>-5</v>
      </c>
      <c r="DD66" s="137" t="n">
        <v>-5</v>
      </c>
      <c r="DE66" s="137" t="n">
        <v>-5</v>
      </c>
      <c r="DF66" s="137" t="n">
        <v>-5</v>
      </c>
      <c r="DG66" s="138" t="n">
        <v>-5</v>
      </c>
      <c r="DI66" s="135" t="n">
        <f aca="false">BB25</f>
        <v>2016</v>
      </c>
      <c r="DJ66" s="136" t="n">
        <f aca="false">DJ20</f>
        <v>30</v>
      </c>
      <c r="DK66" s="137" t="n">
        <f aca="false">DK20</f>
        <v>30</v>
      </c>
      <c r="DL66" s="137" t="n">
        <f aca="false">DL20</f>
        <v>30</v>
      </c>
      <c r="DM66" s="137" t="n">
        <f aca="false">DM20</f>
        <v>30</v>
      </c>
      <c r="DN66" s="137" t="n">
        <f aca="false">DN20</f>
        <v>30</v>
      </c>
      <c r="DO66" s="137" t="n">
        <f aca="false">DO20</f>
        <v>30</v>
      </c>
      <c r="DP66" s="137" t="n">
        <f aca="false">DP20</f>
        <v>30</v>
      </c>
      <c r="DQ66" s="137" t="n">
        <f aca="false">DQ20</f>
        <v>30</v>
      </c>
      <c r="DR66" s="137" t="n">
        <f aca="false">DR20</f>
        <v>30</v>
      </c>
      <c r="DS66" s="137" t="n">
        <f aca="false">DS20</f>
        <v>30</v>
      </c>
      <c r="DT66" s="137" t="n">
        <f aca="false">DT20</f>
        <v>30</v>
      </c>
      <c r="DU66" s="138" t="n">
        <f aca="false">DU20</f>
        <v>30</v>
      </c>
    </row>
    <row r="67" customFormat="false" ht="12.75" hidden="false" customHeight="false" outlineLevel="0" collapsed="false">
      <c r="A67" s="0" t="n">
        <f aca="true">IF(ISERROR(MATCH(D67,iRefDt,0)),"",MATCH(D67,iRefDt,0))</f>
        <v>67</v>
      </c>
      <c r="B67" s="92" t="n">
        <f aca="false">MATCH(YEAR(D67),iSpreads)</f>
        <v>3</v>
      </c>
      <c r="C67" s="0" t="n">
        <f aca="false">MONTH(D67)</f>
        <v>11</v>
      </c>
      <c r="D67" s="93" t="n">
        <f aca="false">DATE(YEAR(D66),MONTH(D66)+1,1)</f>
        <v>37926</v>
      </c>
      <c r="E67" s="94" t="n">
        <f aca="false">VLOOKUP($D67,tblPriorPrice,2)</f>
        <v>65</v>
      </c>
      <c r="F67" s="190" t="n">
        <f aca="false">G67-E67</f>
        <v>0</v>
      </c>
      <c r="G67" s="190" t="n">
        <f aca="true">G55+OFFSET($CG$4,$B67,$C67)</f>
        <v>65</v>
      </c>
      <c r="H67" s="96" t="n">
        <f aca="true">G67+OFFSET($CU$4,$B67,$C67)</f>
        <v>60</v>
      </c>
      <c r="I67" s="96" t="n">
        <f aca="true">G67+OFFSET($DI$4,$B67,$C67)</f>
        <v>80</v>
      </c>
      <c r="J67" s="94" t="n">
        <f aca="false">VLOOKUP($D67,tblPriorPrice,3)</f>
        <v>42</v>
      </c>
      <c r="K67" s="190" t="n">
        <f aca="false">L67-J67</f>
        <v>0</v>
      </c>
      <c r="L67" s="190" t="n">
        <f aca="true">L55+OFFSET($CG$27,$B67,$C67)</f>
        <v>42</v>
      </c>
      <c r="M67" s="96" t="n">
        <f aca="true">$L67+OFFSET($CU$27,$B67,$C67)</f>
        <v>37</v>
      </c>
      <c r="N67" s="97" t="n">
        <f aca="true">$L67+OFFSET($DI$27,$B67,$C67)</f>
        <v>47</v>
      </c>
      <c r="O67" s="59" t="n">
        <f aca="true">IF($A67="",0,INDEX(tblPosn,$A67,2))</f>
        <v>134233.234375</v>
      </c>
      <c r="P67" s="59" t="n">
        <f aca="true">IF($A67="",0,INDEX(tblPosn,$A67,3))</f>
        <v>105973.609375</v>
      </c>
      <c r="Q67" s="59" t="n">
        <f aca="true">IF($A67="",0,INDEX(tblPosn,$A67,4))</f>
        <v>35324.53515625</v>
      </c>
      <c r="R67" s="59" t="n">
        <f aca="true">IF($A67="",0,INDEX(tblPosn,$A67,5))</f>
        <v>42389.44140625</v>
      </c>
      <c r="S67" s="59" t="n">
        <f aca="true">IF($A67="",0,INDEX(tblPosn,$A67,6))</f>
        <v>0</v>
      </c>
      <c r="T67" s="98" t="n">
        <f aca="false">O67*F67+P67*K67+R67*AC67+S67*AH67/0.72+Q67*X67</f>
        <v>0</v>
      </c>
      <c r="V67" s="161" t="n">
        <f aca="false">D67</f>
        <v>37926</v>
      </c>
      <c r="W67" s="94" t="n">
        <f aca="false">VLOOKUP($D67,tblPriorPrice,4)</f>
        <v>48</v>
      </c>
      <c r="X67" s="95" t="n">
        <f aca="false">Y67-W67</f>
        <v>0</v>
      </c>
      <c r="Y67" s="191" t="n">
        <f aca="true">Y55+OFFSET($CG$50,$B67,$C67)</f>
        <v>48</v>
      </c>
      <c r="Z67" s="96" t="n">
        <f aca="true">Y67+OFFSET($CU$51,$B67,$C67)</f>
        <v>43</v>
      </c>
      <c r="AA67" s="177" t="n">
        <f aca="true">Y67+OFFSET($DI$51,$B67,$C67)</f>
        <v>63</v>
      </c>
      <c r="AB67" s="94" t="n">
        <f aca="false">VLOOKUP($D67,tblPriorPrice,5)</f>
        <v>43</v>
      </c>
      <c r="AC67" s="190" t="n">
        <f aca="false">AD67-AB67</f>
        <v>0</v>
      </c>
      <c r="AD67" s="191" t="n">
        <f aca="true">AD55+OFFSET($CG$73,$B67,$C67)</f>
        <v>43</v>
      </c>
      <c r="AE67" s="96" t="n">
        <f aca="true">AD67+OFFSET($CU$74,$B67,$C67)</f>
        <v>38</v>
      </c>
      <c r="AF67" s="177" t="n">
        <f aca="true">AD67+OFFSET($DI$74,$B67,$C67)</f>
        <v>58</v>
      </c>
      <c r="AG67" s="94" t="n">
        <f aca="false">VLOOKUP($D67,tblPriorPrice,6)</f>
        <v>1</v>
      </c>
      <c r="AH67" s="190"/>
      <c r="AI67" s="191" t="n">
        <f aca="true">AI55+OFFSET($CG$96,$B67,$C67)</f>
        <v>1</v>
      </c>
      <c r="AJ67" s="96" t="n">
        <f aca="true">AI67+OFFSET($CU$96,$B67,$C67)</f>
        <v>1</v>
      </c>
      <c r="AK67" s="97" t="n">
        <f aca="true">AI67+OFFSET($DI$96,$B67,$C67)</f>
        <v>1</v>
      </c>
      <c r="AL67" s="178" t="n">
        <v>12</v>
      </c>
      <c r="AM67" s="165" t="n">
        <v>0.25</v>
      </c>
      <c r="AN67" s="167" t="n">
        <f aca="false">'[3]Pricing Summary'!$AM45</f>
        <v>0.295</v>
      </c>
      <c r="AO67" s="167" t="n">
        <f aca="false">0.9*AN67</f>
        <v>0.2655</v>
      </c>
      <c r="AP67" s="166" t="n">
        <f aca="false">1.5*AN67</f>
        <v>0.4425</v>
      </c>
      <c r="AQ67" s="167" t="n">
        <f aca="false">AN67</f>
        <v>0.295</v>
      </c>
      <c r="AR67" s="166" t="n">
        <f aca="false">0.8*AQ67</f>
        <v>0.236</v>
      </c>
      <c r="AS67" s="166" t="n">
        <f aca="false">1.2*AQ67</f>
        <v>0.354</v>
      </c>
      <c r="AT67" s="169" t="n">
        <f aca="false">IF(G67&lt;110,17.94063*(LN(G67/100))+6.727568*(LN(G67/100)^2)+15.06494,(-4.1*G67+2135)/100)*0.5</f>
        <v>4.29244213162673</v>
      </c>
      <c r="AU67" s="169" t="n">
        <f aca="false">(0.75*AT67-AT67)</f>
        <v>-1.07311053290668</v>
      </c>
      <c r="AV67" s="166" t="n">
        <f aca="false">AT67/0.5*1.25-AT67</f>
        <v>6.4386631974401</v>
      </c>
      <c r="AW67" s="168" t="n">
        <f aca="false">IF(L67&lt;15,(15*L67+375)/100,(-4.71*L67+670.65)/100)*0.5</f>
        <v>2.36415</v>
      </c>
      <c r="AX67" s="166" t="n">
        <f aca="false">0.75*AW67-AW67</f>
        <v>-0.5910375</v>
      </c>
      <c r="AY67" s="166" t="n">
        <f aca="false">AW67/0.5*1.25-AW67</f>
        <v>3.546225</v>
      </c>
      <c r="AZ67" s="167" t="n">
        <v>0.5</v>
      </c>
      <c r="BA67" s="74"/>
      <c r="BB67" s="193" t="n">
        <f aca="false">BB66+1</f>
        <v>111</v>
      </c>
      <c r="BC67" s="183"/>
      <c r="BD67" s="196"/>
      <c r="BE67" s="197"/>
      <c r="BF67" s="196"/>
      <c r="BG67" s="196"/>
      <c r="BH67" s="197"/>
      <c r="BI67" s="183"/>
      <c r="BJ67" s="196"/>
      <c r="BK67" s="197"/>
      <c r="BL67" s="196"/>
      <c r="BM67" s="196"/>
      <c r="BN67" s="197"/>
      <c r="BQ67" s="108" t="n">
        <v>36907.7428240741</v>
      </c>
      <c r="BR67" s="109" t="n">
        <v>36907.743287037</v>
      </c>
      <c r="BS67" s="110" t="n">
        <v>37865</v>
      </c>
      <c r="BT67" s="111" t="n">
        <v>149762.015625</v>
      </c>
      <c r="BU67" s="112" t="n">
        <v>106972.8671875</v>
      </c>
      <c r="BV67" s="112" t="n">
        <v>28526.099609375</v>
      </c>
      <c r="BW67" s="112" t="n">
        <v>35657.625</v>
      </c>
      <c r="BX67" s="113" t="n">
        <v>0</v>
      </c>
      <c r="BZ67" s="110" t="n">
        <v>37926</v>
      </c>
      <c r="CA67" s="185" t="n">
        <v>65</v>
      </c>
      <c r="CB67" s="116" t="n">
        <v>42</v>
      </c>
      <c r="CC67" s="181" t="n">
        <v>48</v>
      </c>
      <c r="CD67" s="181" t="n">
        <v>43</v>
      </c>
      <c r="CE67" s="117" t="n">
        <v>1</v>
      </c>
      <c r="CG67" s="135" t="n">
        <f aca="false">BB26</f>
        <v>2017</v>
      </c>
      <c r="CH67" s="137" t="n">
        <v>0</v>
      </c>
      <c r="CI67" s="137" t="n">
        <v>0</v>
      </c>
      <c r="CJ67" s="137" t="n">
        <v>0</v>
      </c>
      <c r="CK67" s="137" t="n">
        <v>0</v>
      </c>
      <c r="CL67" s="137" t="n">
        <v>0</v>
      </c>
      <c r="CM67" s="137" t="n">
        <v>0</v>
      </c>
      <c r="CN67" s="137" t="n">
        <v>0</v>
      </c>
      <c r="CO67" s="137" t="n">
        <v>0</v>
      </c>
      <c r="CP67" s="137" t="n">
        <v>0</v>
      </c>
      <c r="CQ67" s="137" t="n">
        <v>0</v>
      </c>
      <c r="CR67" s="137" t="n">
        <v>0</v>
      </c>
      <c r="CS67" s="138" t="n">
        <v>0</v>
      </c>
      <c r="CU67" s="135" t="n">
        <f aca="false">BB26</f>
        <v>2017</v>
      </c>
      <c r="CV67" s="136" t="n">
        <v>-5</v>
      </c>
      <c r="CW67" s="137" t="n">
        <v>-5</v>
      </c>
      <c r="CX67" s="137" t="n">
        <v>-5</v>
      </c>
      <c r="CY67" s="137" t="n">
        <v>-5</v>
      </c>
      <c r="CZ67" s="137" t="n">
        <v>-5</v>
      </c>
      <c r="DA67" s="137" t="n">
        <v>-5</v>
      </c>
      <c r="DB67" s="137" t="n">
        <v>-5</v>
      </c>
      <c r="DC67" s="137" t="n">
        <v>-5</v>
      </c>
      <c r="DD67" s="137" t="n">
        <v>-5</v>
      </c>
      <c r="DE67" s="137" t="n">
        <v>-5</v>
      </c>
      <c r="DF67" s="137" t="n">
        <v>-5</v>
      </c>
      <c r="DG67" s="138" t="n">
        <v>-5</v>
      </c>
      <c r="DI67" s="135" t="n">
        <f aca="false">BB26</f>
        <v>2017</v>
      </c>
      <c r="DJ67" s="136" t="n">
        <f aca="false">DJ21</f>
        <v>31</v>
      </c>
      <c r="DK67" s="137" t="n">
        <f aca="false">DK21</f>
        <v>31</v>
      </c>
      <c r="DL67" s="137" t="n">
        <f aca="false">DL21</f>
        <v>31</v>
      </c>
      <c r="DM67" s="137" t="n">
        <f aca="false">DM21</f>
        <v>31</v>
      </c>
      <c r="DN67" s="137" t="n">
        <f aca="false">DN21</f>
        <v>31</v>
      </c>
      <c r="DO67" s="137" t="n">
        <f aca="false">DO21</f>
        <v>31</v>
      </c>
      <c r="DP67" s="137" t="n">
        <f aca="false">DP21</f>
        <v>31</v>
      </c>
      <c r="DQ67" s="137" t="n">
        <f aca="false">DQ21</f>
        <v>31</v>
      </c>
      <c r="DR67" s="137" t="n">
        <f aca="false">DR21</f>
        <v>31</v>
      </c>
      <c r="DS67" s="137" t="n">
        <f aca="false">DS21</f>
        <v>31</v>
      </c>
      <c r="DT67" s="137" t="n">
        <f aca="false">DT21</f>
        <v>31</v>
      </c>
      <c r="DU67" s="138" t="n">
        <f aca="false">DU21</f>
        <v>31</v>
      </c>
    </row>
    <row r="68" customFormat="false" ht="12.75" hidden="false" customHeight="false" outlineLevel="0" collapsed="false">
      <c r="A68" s="0" t="n">
        <f aca="true">IF(ISERROR(MATCH(D68,iRefDt,0)),"",MATCH(D68,iRefDt,0))</f>
        <v>68</v>
      </c>
      <c r="B68" s="92" t="n">
        <f aca="false">MATCH(YEAR(D68),iSpreads)</f>
        <v>3</v>
      </c>
      <c r="C68" s="0" t="n">
        <f aca="false">MONTH(D68)</f>
        <v>12</v>
      </c>
      <c r="D68" s="93" t="n">
        <f aca="false">DATE(YEAR(D67),MONTH(D67)+1,1)</f>
        <v>37956</v>
      </c>
      <c r="E68" s="94" t="n">
        <f aca="false">VLOOKUP($D68,tblPriorPrice,2)</f>
        <v>93</v>
      </c>
      <c r="F68" s="190" t="n">
        <f aca="false">G68-E68</f>
        <v>0</v>
      </c>
      <c r="G68" s="190" t="n">
        <f aca="true">G56+OFFSET($CG$4,$B68,$C68)</f>
        <v>93</v>
      </c>
      <c r="H68" s="96" t="n">
        <f aca="true">G68+OFFSET($CU$4,$B68,$C68)</f>
        <v>88</v>
      </c>
      <c r="I68" s="96" t="n">
        <f aca="true">G68+OFFSET($DI$4,$B68,$C68)</f>
        <v>108</v>
      </c>
      <c r="J68" s="94" t="n">
        <f aca="false">VLOOKUP($D68,tblPriorPrice,3)</f>
        <v>41</v>
      </c>
      <c r="K68" s="190" t="n">
        <f aca="false">L68-J68</f>
        <v>0</v>
      </c>
      <c r="L68" s="190" t="n">
        <f aca="true">L56+OFFSET($CG$27,$B68,$C68)</f>
        <v>41</v>
      </c>
      <c r="M68" s="96" t="n">
        <f aca="true">$L68+OFFSET($CU$27,$B68,$C68)</f>
        <v>36</v>
      </c>
      <c r="N68" s="97" t="n">
        <f aca="true">$L68+OFFSET($DI$27,$B68,$C68)</f>
        <v>46</v>
      </c>
      <c r="O68" s="59" t="n">
        <f aca="true">IF($A68="",0,INDEX(tblPosn,$A68,2))</f>
        <v>154699.5625</v>
      </c>
      <c r="P68" s="59" t="n">
        <f aca="true">IF($A68="",0,INDEX(tblPosn,$A68,3))</f>
        <v>108992.875</v>
      </c>
      <c r="Q68" s="59" t="n">
        <f aca="true">IF($A68="",0,INDEX(tblPosn,$A68,4))</f>
        <v>28127.19140625</v>
      </c>
      <c r="R68" s="59" t="n">
        <f aca="true">IF($A68="",0,INDEX(tblPosn,$A68,5))</f>
        <v>35158.9921875</v>
      </c>
      <c r="S68" s="59" t="n">
        <f aca="true">IF($A68="",0,INDEX(tblPosn,$A68,6))</f>
        <v>0</v>
      </c>
      <c r="T68" s="98" t="n">
        <f aca="false">O68*F68+P68*K68+R68*AC68+S68*AH68/0.72+Q68*X68</f>
        <v>0</v>
      </c>
      <c r="V68" s="161" t="n">
        <f aca="false">D68</f>
        <v>37956</v>
      </c>
      <c r="W68" s="94" t="n">
        <f aca="false">VLOOKUP($D68,tblPriorPrice,4)</f>
        <v>66</v>
      </c>
      <c r="X68" s="95" t="n">
        <f aca="false">Y68-W68</f>
        <v>0</v>
      </c>
      <c r="Y68" s="191" t="n">
        <f aca="true">Y56+OFFSET($CG$50,$B68,$C68)</f>
        <v>66</v>
      </c>
      <c r="Z68" s="96" t="n">
        <f aca="true">Y68+OFFSET($CU$51,$B68,$C68)</f>
        <v>61</v>
      </c>
      <c r="AA68" s="177" t="n">
        <f aca="true">Y68+OFFSET($DI$51,$B68,$C68)</f>
        <v>81</v>
      </c>
      <c r="AB68" s="94" t="n">
        <f aca="false">VLOOKUP($D68,tblPriorPrice,5)</f>
        <v>59</v>
      </c>
      <c r="AC68" s="190" t="n">
        <f aca="false">AD68-AB68</f>
        <v>0</v>
      </c>
      <c r="AD68" s="191" t="n">
        <f aca="true">AD56+OFFSET($CG$73,$B68,$C68)</f>
        <v>59</v>
      </c>
      <c r="AE68" s="96" t="n">
        <f aca="true">AD68+OFFSET($CU$74,$B68,$C68)</f>
        <v>54</v>
      </c>
      <c r="AF68" s="177" t="n">
        <f aca="true">AD68+OFFSET($DI$74,$B68,$C68)</f>
        <v>74</v>
      </c>
      <c r="AG68" s="94" t="n">
        <f aca="false">VLOOKUP($D68,tblPriorPrice,6)</f>
        <v>1</v>
      </c>
      <c r="AH68" s="190"/>
      <c r="AI68" s="191" t="n">
        <f aca="true">AI56+OFFSET($CG$96,$B68,$C68)</f>
        <v>1</v>
      </c>
      <c r="AJ68" s="96" t="n">
        <f aca="true">AI68+OFFSET($CU$96,$B68,$C68)</f>
        <v>1</v>
      </c>
      <c r="AK68" s="97" t="n">
        <f aca="true">AI68+OFFSET($DI$96,$B68,$C68)</f>
        <v>1</v>
      </c>
      <c r="AL68" s="178" t="n">
        <v>13</v>
      </c>
      <c r="AM68" s="165" t="n">
        <v>0.25</v>
      </c>
      <c r="AN68" s="167" t="n">
        <f aca="false">'[3]Pricing Summary'!$AM46</f>
        <v>0.2975</v>
      </c>
      <c r="AO68" s="167" t="n">
        <f aca="false">0.9*AN68</f>
        <v>0.26775</v>
      </c>
      <c r="AP68" s="166" t="n">
        <f aca="false">1.5*AN68</f>
        <v>0.44625</v>
      </c>
      <c r="AQ68" s="167" t="n">
        <f aca="false">AN68</f>
        <v>0.2975</v>
      </c>
      <c r="AR68" s="166" t="n">
        <f aca="false">0.8*AQ68</f>
        <v>0.238</v>
      </c>
      <c r="AS68" s="166" t="n">
        <f aca="false">1.2*AQ68</f>
        <v>0.357</v>
      </c>
      <c r="AT68" s="169" t="n">
        <f aca="false">IF(G68&lt;110,17.94063*(LN(G68/100))+6.727568*(LN(G68/100)^2)+15.06494,(-4.1*G68+2135)/100)*0.5</f>
        <v>6.89920341230059</v>
      </c>
      <c r="AU68" s="169" t="n">
        <f aca="false">(0.75*AT68-AT68)</f>
        <v>-1.72480085307515</v>
      </c>
      <c r="AV68" s="166" t="n">
        <f aca="false">AT68/0.5*1.25-AT68</f>
        <v>10.3488051184509</v>
      </c>
      <c r="AW68" s="168" t="n">
        <f aca="false">IF(L68&lt;15,(15*L68+375)/100,(-4.71*L68+670.65)/100)*0.5</f>
        <v>2.3877</v>
      </c>
      <c r="AX68" s="166" t="n">
        <f aca="false">0.75*AW68-AW68</f>
        <v>-0.596925</v>
      </c>
      <c r="AY68" s="166" t="n">
        <f aca="false">AW68/0.5*1.25-AW68</f>
        <v>3.58155</v>
      </c>
      <c r="AZ68" s="167" t="n">
        <v>0.5</v>
      </c>
      <c r="BA68" s="74"/>
      <c r="BB68" s="193" t="n">
        <f aca="false">BB67+1</f>
        <v>112</v>
      </c>
      <c r="BC68" s="183"/>
      <c r="BD68" s="196"/>
      <c r="BE68" s="197"/>
      <c r="BF68" s="196"/>
      <c r="BG68" s="196"/>
      <c r="BH68" s="197"/>
      <c r="BI68" s="183"/>
      <c r="BJ68" s="196"/>
      <c r="BK68" s="197"/>
      <c r="BL68" s="196"/>
      <c r="BM68" s="196"/>
      <c r="BN68" s="197"/>
      <c r="BQ68" s="108" t="n">
        <v>36907.7428240741</v>
      </c>
      <c r="BR68" s="109" t="n">
        <v>36907.743287037</v>
      </c>
      <c r="BS68" s="110" t="n">
        <v>37895</v>
      </c>
      <c r="BT68" s="111" t="n">
        <v>163001.671875</v>
      </c>
      <c r="BU68" s="112" t="n">
        <v>110285.75</v>
      </c>
      <c r="BV68" s="112" t="n">
        <v>28336.12890625</v>
      </c>
      <c r="BW68" s="112" t="n">
        <v>28349.916015625</v>
      </c>
      <c r="BX68" s="113" t="n">
        <v>0</v>
      </c>
      <c r="BZ68" s="110" t="n">
        <v>37956</v>
      </c>
      <c r="CA68" s="185" t="n">
        <v>93</v>
      </c>
      <c r="CB68" s="116" t="n">
        <v>41</v>
      </c>
      <c r="CC68" s="181" t="n">
        <v>66</v>
      </c>
      <c r="CD68" s="181" t="n">
        <v>59</v>
      </c>
      <c r="CE68" s="117" t="n">
        <v>1</v>
      </c>
      <c r="CG68" s="135" t="n">
        <f aca="false">BB27</f>
        <v>2018</v>
      </c>
      <c r="CH68" s="137" t="n">
        <v>0</v>
      </c>
      <c r="CI68" s="137" t="n">
        <v>0</v>
      </c>
      <c r="CJ68" s="137" t="n">
        <v>0</v>
      </c>
      <c r="CK68" s="137" t="n">
        <v>0</v>
      </c>
      <c r="CL68" s="137" t="n">
        <v>0</v>
      </c>
      <c r="CM68" s="137" t="n">
        <v>0</v>
      </c>
      <c r="CN68" s="137" t="n">
        <v>0</v>
      </c>
      <c r="CO68" s="137" t="n">
        <v>0</v>
      </c>
      <c r="CP68" s="137" t="n">
        <v>0</v>
      </c>
      <c r="CQ68" s="137" t="n">
        <v>0</v>
      </c>
      <c r="CR68" s="137" t="n">
        <v>0</v>
      </c>
      <c r="CS68" s="138" t="n">
        <v>0</v>
      </c>
      <c r="CU68" s="135" t="n">
        <f aca="false">BB27</f>
        <v>2018</v>
      </c>
      <c r="CV68" s="136" t="n">
        <v>-5</v>
      </c>
      <c r="CW68" s="137" t="n">
        <v>-5</v>
      </c>
      <c r="CX68" s="137" t="n">
        <v>-5</v>
      </c>
      <c r="CY68" s="137" t="n">
        <v>-5</v>
      </c>
      <c r="CZ68" s="137" t="n">
        <v>-5</v>
      </c>
      <c r="DA68" s="137" t="n">
        <v>-5</v>
      </c>
      <c r="DB68" s="137" t="n">
        <v>-5</v>
      </c>
      <c r="DC68" s="137" t="n">
        <v>-5</v>
      </c>
      <c r="DD68" s="137" t="n">
        <v>-5</v>
      </c>
      <c r="DE68" s="137" t="n">
        <v>-5</v>
      </c>
      <c r="DF68" s="137" t="n">
        <v>-5</v>
      </c>
      <c r="DG68" s="138" t="n">
        <v>-5</v>
      </c>
      <c r="DI68" s="135" t="n">
        <f aca="false">BB27</f>
        <v>2018</v>
      </c>
      <c r="DJ68" s="136" t="n">
        <f aca="false">DJ22</f>
        <v>32</v>
      </c>
      <c r="DK68" s="137" t="n">
        <f aca="false">DK22</f>
        <v>32</v>
      </c>
      <c r="DL68" s="137" t="n">
        <f aca="false">DL22</f>
        <v>32</v>
      </c>
      <c r="DM68" s="137" t="n">
        <f aca="false">DM22</f>
        <v>32</v>
      </c>
      <c r="DN68" s="137" t="n">
        <f aca="false">DN22</f>
        <v>32</v>
      </c>
      <c r="DO68" s="137" t="n">
        <f aca="false">DO22</f>
        <v>32</v>
      </c>
      <c r="DP68" s="137" t="n">
        <f aca="false">DP22</f>
        <v>32</v>
      </c>
      <c r="DQ68" s="137" t="n">
        <f aca="false">DQ22</f>
        <v>32</v>
      </c>
      <c r="DR68" s="137" t="n">
        <f aca="false">DR22</f>
        <v>32</v>
      </c>
      <c r="DS68" s="137" t="n">
        <f aca="false">DS22</f>
        <v>32</v>
      </c>
      <c r="DT68" s="137" t="n">
        <f aca="false">DT22</f>
        <v>32</v>
      </c>
      <c r="DU68" s="138" t="n">
        <f aca="false">DU22</f>
        <v>32</v>
      </c>
    </row>
    <row r="69" customFormat="false" ht="12.75" hidden="false" customHeight="false" outlineLevel="0" collapsed="false">
      <c r="A69" s="0" t="n">
        <f aca="true">IF(ISERROR(MATCH(D69,iRefDt,0)),"",MATCH(D69,iRefDt,0))</f>
        <v>69</v>
      </c>
      <c r="B69" s="92" t="n">
        <f aca="false">MATCH(YEAR(D69),iSpreads)</f>
        <v>4</v>
      </c>
      <c r="C69" s="0" t="n">
        <f aca="false">MONTH(D69)</f>
        <v>1</v>
      </c>
      <c r="D69" s="93" t="n">
        <f aca="false">DATE(YEAR(D68),MONTH(D68)+1,1)</f>
        <v>37987</v>
      </c>
      <c r="E69" s="94" t="n">
        <f aca="false">VLOOKUP($D69,tblPriorPrice,2)</f>
        <v>70</v>
      </c>
      <c r="F69" s="190" t="n">
        <f aca="false">G69-E69</f>
        <v>0</v>
      </c>
      <c r="G69" s="190" t="n">
        <f aca="true">G57+OFFSET($CG$4,$B69,$C69)</f>
        <v>70</v>
      </c>
      <c r="H69" s="96" t="n">
        <f aca="true">G69+OFFSET($CU$4,$B69,$C69)</f>
        <v>65</v>
      </c>
      <c r="I69" s="96" t="n">
        <f aca="true">G69+OFFSET($DI$4,$B69,$C69)</f>
        <v>85</v>
      </c>
      <c r="J69" s="94" t="n">
        <f aca="false">VLOOKUP($D69,tblPriorPrice,3)</f>
        <v>40</v>
      </c>
      <c r="K69" s="190" t="n">
        <f aca="false">L69-J69</f>
        <v>0</v>
      </c>
      <c r="L69" s="190" t="n">
        <f aca="true">L57+OFFSET($CG$27,$B69,$C69)</f>
        <v>40</v>
      </c>
      <c r="M69" s="96" t="n">
        <f aca="true">$L69+OFFSET($CU$27,$B69,$C69)</f>
        <v>35</v>
      </c>
      <c r="N69" s="97" t="n">
        <f aca="true">$L69+OFFSET($DI$27,$B69,$C69)</f>
        <v>45</v>
      </c>
      <c r="O69" s="59" t="n">
        <f aca="true">IF($A69="",0,INDEX(tblPosn,$A69,2))</f>
        <v>153525.921875</v>
      </c>
      <c r="P69" s="59" t="n">
        <f aca="true">IF($A69="",0,INDEX(tblPosn,$A69,3))</f>
        <v>113316.75</v>
      </c>
      <c r="Q69" s="59" t="n">
        <f aca="true">IF($A69="",0,INDEX(tblPosn,$A69,4))</f>
        <v>36553.79296875</v>
      </c>
      <c r="R69" s="59" t="n">
        <f aca="true">IF($A69="",0,INDEX(tblPosn,$A69,5))</f>
        <v>36553.79296875</v>
      </c>
      <c r="S69" s="59" t="n">
        <f aca="true">IF($A69="",0,INDEX(tblPosn,$A69,6))</f>
        <v>0</v>
      </c>
      <c r="T69" s="98" t="n">
        <f aca="false">O69*F69+P69*K69+R69*AC69+S69*AH69/0.72+Q69*X69</f>
        <v>0</v>
      </c>
      <c r="V69" s="161" t="n">
        <f aca="false">D69</f>
        <v>37987</v>
      </c>
      <c r="W69" s="94" t="n">
        <f aca="false">VLOOKUP($D69,tblPriorPrice,4)</f>
        <v>48</v>
      </c>
      <c r="X69" s="95" t="n">
        <f aca="false">Y69-W69</f>
        <v>0</v>
      </c>
      <c r="Y69" s="191" t="n">
        <f aca="true">Y57+OFFSET($CG$50,$B69,$C69)</f>
        <v>48</v>
      </c>
      <c r="Z69" s="96" t="n">
        <f aca="true">Y69+OFFSET($CU$51,$B69,$C69)</f>
        <v>43</v>
      </c>
      <c r="AA69" s="177" t="n">
        <f aca="true">Y69+OFFSET($DI$51,$B69,$C69)</f>
        <v>63</v>
      </c>
      <c r="AB69" s="94" t="n">
        <f aca="false">VLOOKUP($D69,tblPriorPrice,5)</f>
        <v>42</v>
      </c>
      <c r="AC69" s="190" t="n">
        <f aca="false">AD69-AB69</f>
        <v>0</v>
      </c>
      <c r="AD69" s="191" t="n">
        <f aca="true">AD57+OFFSET($CG$73,$B69,$C69)</f>
        <v>42</v>
      </c>
      <c r="AE69" s="96" t="n">
        <f aca="true">AD69+OFFSET($CU$74,$B69,$C69)</f>
        <v>37</v>
      </c>
      <c r="AF69" s="177" t="n">
        <f aca="true">AD69+OFFSET($DI$74,$B69,$C69)</f>
        <v>57</v>
      </c>
      <c r="AG69" s="94" t="n">
        <f aca="false">VLOOKUP($D69,tblPriorPrice,6)</f>
        <v>1</v>
      </c>
      <c r="AH69" s="190"/>
      <c r="AI69" s="191" t="n">
        <f aca="true">AI57+OFFSET($CG$96,$B69,$C69)</f>
        <v>1</v>
      </c>
      <c r="AJ69" s="96" t="n">
        <f aca="true">AI69+OFFSET($CU$96,$B69,$C69)</f>
        <v>1</v>
      </c>
      <c r="AK69" s="97" t="n">
        <f aca="true">AI69+OFFSET($DI$96,$B69,$C69)</f>
        <v>1</v>
      </c>
      <c r="AL69" s="178" t="n">
        <v>13</v>
      </c>
      <c r="AM69" s="165" t="n">
        <v>0.25</v>
      </c>
      <c r="AN69" s="167" t="n">
        <f aca="false">'[3]Pricing Summary'!$AM47</f>
        <v>0.2975</v>
      </c>
      <c r="AO69" s="167" t="n">
        <f aca="false">0.9*AN69</f>
        <v>0.26775</v>
      </c>
      <c r="AP69" s="166" t="n">
        <f aca="false">1.5*AN69</f>
        <v>0.44625</v>
      </c>
      <c r="AQ69" s="167" t="n">
        <f aca="false">AN69</f>
        <v>0.2975</v>
      </c>
      <c r="AR69" s="166" t="n">
        <f aca="false">0.8*AQ69</f>
        <v>0.238</v>
      </c>
      <c r="AS69" s="166" t="n">
        <f aca="false">1.2*AQ69</f>
        <v>0.357</v>
      </c>
      <c r="AT69" s="169" t="n">
        <f aca="false">IF(G69&lt;110,17.94063*(LN(G69/100))+6.727568*(LN(G69/100)^2)+15.06494,(-4.1*G69+2135)/100)*0.5</f>
        <v>4.76091396197861</v>
      </c>
      <c r="AU69" s="169" t="n">
        <f aca="false">(0.75*AT69-AT69)</f>
        <v>-1.19022849049465</v>
      </c>
      <c r="AV69" s="166" t="n">
        <f aca="false">AT69/0.5*1.25-AT69</f>
        <v>7.14137094296792</v>
      </c>
      <c r="AW69" s="168" t="n">
        <f aca="false">IF(L69&lt;15,(15*L69+375)/100,(-4.71*L69+670.65)/100)*0.5</f>
        <v>2.41125</v>
      </c>
      <c r="AX69" s="166" t="n">
        <f aca="false">0.75*AW69-AW69</f>
        <v>-0.6028125</v>
      </c>
      <c r="AY69" s="166" t="n">
        <f aca="false">AW69/0.5*1.25-AW69</f>
        <v>3.616875</v>
      </c>
      <c r="AZ69" s="167" t="n">
        <v>0.5</v>
      </c>
      <c r="BA69" s="74"/>
      <c r="BB69" s="193" t="n">
        <f aca="false">BB68+1</f>
        <v>113</v>
      </c>
      <c r="BC69" s="183"/>
      <c r="BD69" s="196"/>
      <c r="BE69" s="197"/>
      <c r="BF69" s="196"/>
      <c r="BG69" s="196"/>
      <c r="BH69" s="197"/>
      <c r="BI69" s="183"/>
      <c r="BJ69" s="196"/>
      <c r="BK69" s="197"/>
      <c r="BL69" s="196"/>
      <c r="BM69" s="196"/>
      <c r="BN69" s="197"/>
      <c r="BQ69" s="108" t="n">
        <v>36907.7428240741</v>
      </c>
      <c r="BR69" s="109" t="n">
        <v>36907.743287037</v>
      </c>
      <c r="BS69" s="110" t="n">
        <v>37926</v>
      </c>
      <c r="BT69" s="111" t="n">
        <v>134233.234375</v>
      </c>
      <c r="BU69" s="112" t="n">
        <v>105973.609375</v>
      </c>
      <c r="BV69" s="112" t="n">
        <v>35324.53515625</v>
      </c>
      <c r="BW69" s="112" t="n">
        <v>42389.44140625</v>
      </c>
      <c r="BX69" s="113" t="n">
        <v>0</v>
      </c>
      <c r="BZ69" s="110" t="n">
        <v>37987</v>
      </c>
      <c r="CA69" s="185" t="n">
        <v>70</v>
      </c>
      <c r="CB69" s="116" t="n">
        <v>40</v>
      </c>
      <c r="CC69" s="181" t="n">
        <v>48</v>
      </c>
      <c r="CD69" s="181" t="n">
        <v>42</v>
      </c>
      <c r="CE69" s="117" t="n">
        <v>1</v>
      </c>
      <c r="CG69" s="135" t="n">
        <f aca="false">BB28</f>
        <v>2019</v>
      </c>
      <c r="CH69" s="137" t="n">
        <v>0</v>
      </c>
      <c r="CI69" s="137" t="n">
        <v>0</v>
      </c>
      <c r="CJ69" s="137" t="n">
        <v>0</v>
      </c>
      <c r="CK69" s="137" t="n">
        <v>0</v>
      </c>
      <c r="CL69" s="137" t="n">
        <v>0</v>
      </c>
      <c r="CM69" s="137" t="n">
        <v>0</v>
      </c>
      <c r="CN69" s="137" t="n">
        <v>0</v>
      </c>
      <c r="CO69" s="137" t="n">
        <v>0</v>
      </c>
      <c r="CP69" s="137" t="n">
        <v>0</v>
      </c>
      <c r="CQ69" s="137" t="n">
        <v>0</v>
      </c>
      <c r="CR69" s="137" t="n">
        <v>0</v>
      </c>
      <c r="CS69" s="138" t="n">
        <v>0</v>
      </c>
      <c r="CU69" s="135" t="n">
        <f aca="false">BB28</f>
        <v>2019</v>
      </c>
      <c r="CV69" s="136" t="n">
        <v>-5</v>
      </c>
      <c r="CW69" s="137" t="n">
        <v>-5</v>
      </c>
      <c r="CX69" s="137" t="n">
        <v>-5</v>
      </c>
      <c r="CY69" s="137" t="n">
        <v>-5</v>
      </c>
      <c r="CZ69" s="137" t="n">
        <v>-5</v>
      </c>
      <c r="DA69" s="137" t="n">
        <v>-5</v>
      </c>
      <c r="DB69" s="137" t="n">
        <v>-5</v>
      </c>
      <c r="DC69" s="137" t="n">
        <v>-5</v>
      </c>
      <c r="DD69" s="137" t="n">
        <v>-5</v>
      </c>
      <c r="DE69" s="137" t="n">
        <v>-5</v>
      </c>
      <c r="DF69" s="137" t="n">
        <v>-5</v>
      </c>
      <c r="DG69" s="138" t="n">
        <v>-5</v>
      </c>
      <c r="DI69" s="135" t="n">
        <f aca="false">BB28</f>
        <v>2019</v>
      </c>
      <c r="DJ69" s="136" t="n">
        <f aca="false">DJ23</f>
        <v>33</v>
      </c>
      <c r="DK69" s="137" t="n">
        <f aca="false">DK23</f>
        <v>33</v>
      </c>
      <c r="DL69" s="137" t="n">
        <f aca="false">DL23</f>
        <v>33</v>
      </c>
      <c r="DM69" s="137" t="n">
        <f aca="false">DM23</f>
        <v>33</v>
      </c>
      <c r="DN69" s="137" t="n">
        <f aca="false">DN23</f>
        <v>33</v>
      </c>
      <c r="DO69" s="137" t="n">
        <f aca="false">DO23</f>
        <v>33</v>
      </c>
      <c r="DP69" s="137" t="n">
        <f aca="false">DP23</f>
        <v>33</v>
      </c>
      <c r="DQ69" s="137" t="n">
        <f aca="false">DQ23</f>
        <v>33</v>
      </c>
      <c r="DR69" s="137" t="n">
        <f aca="false">DR23</f>
        <v>33</v>
      </c>
      <c r="DS69" s="137" t="n">
        <f aca="false">DS23</f>
        <v>33</v>
      </c>
      <c r="DT69" s="137" t="n">
        <f aca="false">DT23</f>
        <v>33</v>
      </c>
      <c r="DU69" s="138" t="n">
        <f aca="false">DU23</f>
        <v>33</v>
      </c>
    </row>
    <row r="70" customFormat="false" ht="12.75" hidden="false" customHeight="false" outlineLevel="0" collapsed="false">
      <c r="A70" s="0" t="n">
        <f aca="true">IF(ISERROR(MATCH(D70,iRefDt,0)),"",MATCH(D70,iRefDt,0))</f>
        <v>70</v>
      </c>
      <c r="B70" s="92" t="n">
        <f aca="false">MATCH(YEAR(D70),iSpreads)</f>
        <v>4</v>
      </c>
      <c r="C70" s="0" t="n">
        <f aca="false">MONTH(D70)</f>
        <v>2</v>
      </c>
      <c r="D70" s="93" t="n">
        <f aca="false">DATE(YEAR(D69),MONTH(D69)+1,1)</f>
        <v>38018</v>
      </c>
      <c r="E70" s="94" t="n">
        <f aca="false">VLOOKUP($D70,tblPriorPrice,2)</f>
        <v>62</v>
      </c>
      <c r="F70" s="190" t="n">
        <f aca="false">G70-E70</f>
        <v>0</v>
      </c>
      <c r="G70" s="190" t="n">
        <f aca="true">G58+OFFSET($CG$4,$B70,$C70)</f>
        <v>62</v>
      </c>
      <c r="H70" s="96" t="n">
        <f aca="true">G70+OFFSET($CU$4,$B70,$C70)</f>
        <v>57</v>
      </c>
      <c r="I70" s="96" t="n">
        <f aca="true">G70+OFFSET($DI$4,$B70,$C70)</f>
        <v>77</v>
      </c>
      <c r="J70" s="94" t="n">
        <f aca="false">VLOOKUP($D70,tblPriorPrice,3)</f>
        <v>38</v>
      </c>
      <c r="K70" s="190" t="n">
        <f aca="false">L70-J70</f>
        <v>0</v>
      </c>
      <c r="L70" s="190" t="n">
        <f aca="true">L58+OFFSET($CG$27,$B70,$C70)</f>
        <v>38</v>
      </c>
      <c r="M70" s="96" t="n">
        <f aca="true">$L70+OFFSET($CU$27,$B70,$C70)</f>
        <v>33</v>
      </c>
      <c r="N70" s="97" t="n">
        <f aca="true">$L70+OFFSET($DI$27,$B70,$C70)</f>
        <v>43</v>
      </c>
      <c r="O70" s="59" t="n">
        <f aca="true">IF($A70="",0,INDEX(tblPosn,$A70,2))</f>
        <v>145558.671875</v>
      </c>
      <c r="P70" s="59" t="n">
        <f aca="true">IF($A70="",0,INDEX(tblPosn,$A70,3))</f>
        <v>105530.03125</v>
      </c>
      <c r="Q70" s="59" t="n">
        <f aca="true">IF($A70="",0,INDEX(tblPosn,$A70,4))</f>
        <v>29111.732421875</v>
      </c>
      <c r="R70" s="59" t="n">
        <f aca="true">IF($A70="",0,INDEX(tblPosn,$A70,5))</f>
        <v>36389.66796875</v>
      </c>
      <c r="S70" s="59" t="n">
        <f aca="true">IF($A70="",0,INDEX(tblPosn,$A70,6))</f>
        <v>0</v>
      </c>
      <c r="T70" s="98" t="n">
        <f aca="false">O70*F70+P70*K70+R70*AC70+S70*AH70/0.72+Q70*X70</f>
        <v>0</v>
      </c>
      <c r="V70" s="161" t="n">
        <f aca="false">D70</f>
        <v>38018</v>
      </c>
      <c r="W70" s="94" t="n">
        <f aca="false">VLOOKUP($D70,tblPriorPrice,4)</f>
        <v>46</v>
      </c>
      <c r="X70" s="95" t="n">
        <f aca="false">Y70-W70</f>
        <v>0</v>
      </c>
      <c r="Y70" s="191" t="n">
        <f aca="true">Y58+OFFSET($CG$50,$B70,$C70)</f>
        <v>46</v>
      </c>
      <c r="Z70" s="96" t="n">
        <f aca="true">Y70+OFFSET($CU$51,$B70,$C70)</f>
        <v>41</v>
      </c>
      <c r="AA70" s="177" t="n">
        <f aca="true">Y70+OFFSET($DI$51,$B70,$C70)</f>
        <v>61</v>
      </c>
      <c r="AB70" s="94" t="n">
        <f aca="false">VLOOKUP($D70,tblPriorPrice,5)</f>
        <v>41</v>
      </c>
      <c r="AC70" s="190" t="n">
        <f aca="false">AD70-AB70</f>
        <v>0</v>
      </c>
      <c r="AD70" s="191" t="n">
        <f aca="true">AD58+OFFSET($CG$73,$B70,$C70)</f>
        <v>41</v>
      </c>
      <c r="AE70" s="96" t="n">
        <f aca="true">AD70+OFFSET($CU$74,$B70,$C70)</f>
        <v>36</v>
      </c>
      <c r="AF70" s="177" t="n">
        <f aca="true">AD70+OFFSET($DI$74,$B70,$C70)</f>
        <v>56</v>
      </c>
      <c r="AG70" s="94" t="n">
        <f aca="false">VLOOKUP($D70,tblPriorPrice,6)</f>
        <v>1</v>
      </c>
      <c r="AH70" s="190"/>
      <c r="AI70" s="191" t="n">
        <f aca="true">AI58+OFFSET($CG$96,$B70,$C70)</f>
        <v>1</v>
      </c>
      <c r="AJ70" s="96" t="n">
        <f aca="true">AI70+OFFSET($CU$96,$B70,$C70)</f>
        <v>1</v>
      </c>
      <c r="AK70" s="97" t="n">
        <f aca="true">AI70+OFFSET($DI$96,$B70,$C70)</f>
        <v>1</v>
      </c>
      <c r="AL70" s="178" t="n">
        <v>13</v>
      </c>
      <c r="AM70" s="165" t="n">
        <v>0.25</v>
      </c>
      <c r="AN70" s="167" t="n">
        <f aca="false">'[3]Pricing Summary'!$AM48</f>
        <v>0.295</v>
      </c>
      <c r="AO70" s="167" t="n">
        <f aca="false">0.9*AN70</f>
        <v>0.2655</v>
      </c>
      <c r="AP70" s="166" t="n">
        <f aca="false">1.5*AN70</f>
        <v>0.4425</v>
      </c>
      <c r="AQ70" s="167" t="n">
        <f aca="false">AN70</f>
        <v>0.295</v>
      </c>
      <c r="AR70" s="166" t="n">
        <f aca="false">0.8*AQ70</f>
        <v>0.236</v>
      </c>
      <c r="AS70" s="166" t="n">
        <f aca="false">1.2*AQ70</f>
        <v>0.354</v>
      </c>
      <c r="AT70" s="169" t="n">
        <f aca="false">IF(G70&lt;110,17.94063*(LN(G70/100))+6.727568*(LN(G70/100)^2)+15.06494,(-4.1*G70+2135)/100)*0.5</f>
        <v>4.0130242398985</v>
      </c>
      <c r="AU70" s="169" t="n">
        <f aca="false">(0.75*AT70-AT70)</f>
        <v>-1.00325605997463</v>
      </c>
      <c r="AV70" s="166" t="n">
        <f aca="false">AT70/0.5*1.25-AT70</f>
        <v>6.01953635984776</v>
      </c>
      <c r="AW70" s="168" t="n">
        <f aca="false">IF(L70&lt;15,(15*L70+375)/100,(-4.71*L70+670.65)/100)*0.5</f>
        <v>2.45835</v>
      </c>
      <c r="AX70" s="166" t="n">
        <f aca="false">0.75*AW70-AW70</f>
        <v>-0.6145875</v>
      </c>
      <c r="AY70" s="166" t="n">
        <f aca="false">AW70/0.5*1.25-AW70</f>
        <v>3.687525</v>
      </c>
      <c r="AZ70" s="167" t="n">
        <v>0.5</v>
      </c>
      <c r="BA70" s="74"/>
      <c r="BB70" s="193" t="n">
        <f aca="false">BB69+1</f>
        <v>114</v>
      </c>
      <c r="BC70" s="183"/>
      <c r="BD70" s="196"/>
      <c r="BE70" s="197"/>
      <c r="BF70" s="196"/>
      <c r="BG70" s="196"/>
      <c r="BH70" s="197"/>
      <c r="BI70" s="183"/>
      <c r="BJ70" s="196"/>
      <c r="BK70" s="197"/>
      <c r="BL70" s="196"/>
      <c r="BM70" s="196"/>
      <c r="BN70" s="197"/>
      <c r="BQ70" s="108" t="n">
        <v>36907.7428240741</v>
      </c>
      <c r="BR70" s="109" t="n">
        <v>36907.743287037</v>
      </c>
      <c r="BS70" s="110" t="n">
        <v>37956</v>
      </c>
      <c r="BT70" s="111" t="n">
        <v>154699.5625</v>
      </c>
      <c r="BU70" s="112" t="n">
        <v>108992.875</v>
      </c>
      <c r="BV70" s="112" t="n">
        <v>28127.19140625</v>
      </c>
      <c r="BW70" s="112" t="n">
        <v>35158.9921875</v>
      </c>
      <c r="BX70" s="113" t="n">
        <v>0</v>
      </c>
      <c r="BZ70" s="110" t="n">
        <v>38018</v>
      </c>
      <c r="CA70" s="185" t="n">
        <v>62</v>
      </c>
      <c r="CB70" s="116" t="n">
        <v>38</v>
      </c>
      <c r="CC70" s="181" t="n">
        <v>46</v>
      </c>
      <c r="CD70" s="181" t="n">
        <v>41</v>
      </c>
      <c r="CE70" s="117" t="n">
        <v>1</v>
      </c>
      <c r="CG70" s="152" t="n">
        <f aca="false">BB29</f>
        <v>2020</v>
      </c>
      <c r="CH70" s="153" t="n">
        <v>0</v>
      </c>
      <c r="CI70" s="153" t="n">
        <v>0</v>
      </c>
      <c r="CJ70" s="137" t="n">
        <v>0</v>
      </c>
      <c r="CK70" s="137" t="n">
        <v>0</v>
      </c>
      <c r="CL70" s="137" t="n">
        <v>0</v>
      </c>
      <c r="CM70" s="137" t="n">
        <v>0</v>
      </c>
      <c r="CN70" s="137" t="n">
        <v>0</v>
      </c>
      <c r="CO70" s="137" t="n">
        <v>0</v>
      </c>
      <c r="CP70" s="137" t="n">
        <v>0</v>
      </c>
      <c r="CQ70" s="137" t="n">
        <v>0</v>
      </c>
      <c r="CR70" s="137" t="n">
        <v>0</v>
      </c>
      <c r="CS70" s="138" t="n">
        <v>0</v>
      </c>
      <c r="CU70" s="152" t="n">
        <f aca="false">BB29</f>
        <v>2020</v>
      </c>
      <c r="CV70" s="136" t="n">
        <v>-5</v>
      </c>
      <c r="CW70" s="137" t="n">
        <v>-5</v>
      </c>
      <c r="CX70" s="137" t="n">
        <v>-5</v>
      </c>
      <c r="CY70" s="137" t="n">
        <v>-5</v>
      </c>
      <c r="CZ70" s="137" t="n">
        <v>-5</v>
      </c>
      <c r="DA70" s="137" t="n">
        <v>-5</v>
      </c>
      <c r="DB70" s="137" t="n">
        <v>-5</v>
      </c>
      <c r="DC70" s="137" t="n">
        <v>-5</v>
      </c>
      <c r="DD70" s="137" t="n">
        <v>-5</v>
      </c>
      <c r="DE70" s="137" t="n">
        <v>-5</v>
      </c>
      <c r="DF70" s="137" t="n">
        <v>-5</v>
      </c>
      <c r="DG70" s="138" t="n">
        <v>-5</v>
      </c>
      <c r="DI70" s="152" t="n">
        <f aca="false">BB29</f>
        <v>2020</v>
      </c>
      <c r="DJ70" s="136" t="n">
        <f aca="false">DJ24</f>
        <v>34</v>
      </c>
      <c r="DK70" s="137" t="n">
        <f aca="false">DK24</f>
        <v>34</v>
      </c>
      <c r="DL70" s="137" t="n">
        <f aca="false">DL24</f>
        <v>34</v>
      </c>
      <c r="DM70" s="137" t="n">
        <f aca="false">DM24</f>
        <v>34</v>
      </c>
      <c r="DN70" s="137" t="n">
        <f aca="false">DN24</f>
        <v>34</v>
      </c>
      <c r="DO70" s="137" t="n">
        <f aca="false">DO24</f>
        <v>34</v>
      </c>
      <c r="DP70" s="137" t="n">
        <f aca="false">DP24</f>
        <v>34</v>
      </c>
      <c r="DQ70" s="137" t="n">
        <f aca="false">DQ24</f>
        <v>34</v>
      </c>
      <c r="DR70" s="137" t="n">
        <f aca="false">DR24</f>
        <v>34</v>
      </c>
      <c r="DS70" s="137" t="n">
        <f aca="false">DS24</f>
        <v>34</v>
      </c>
      <c r="DT70" s="137" t="n">
        <f aca="false">DT24</f>
        <v>34</v>
      </c>
      <c r="DU70" s="138" t="n">
        <f aca="false">DU24</f>
        <v>34</v>
      </c>
    </row>
    <row r="71" customFormat="false" ht="12.75" hidden="false" customHeight="false" outlineLevel="0" collapsed="false">
      <c r="A71" s="0" t="n">
        <f aca="true">IF(ISERROR(MATCH(D71,iRefDt,0)),"",MATCH(D71,iRefDt,0))</f>
        <v>71</v>
      </c>
      <c r="B71" s="92" t="n">
        <f aca="false">MATCH(YEAR(D71),iSpreads)</f>
        <v>4</v>
      </c>
      <c r="C71" s="0" t="n">
        <f aca="false">MONTH(D71)</f>
        <v>3</v>
      </c>
      <c r="D71" s="93" t="n">
        <f aca="false">DATE(YEAR(D70),MONTH(D70)+1,1)</f>
        <v>38047</v>
      </c>
      <c r="E71" s="94" t="n">
        <f aca="false">VLOOKUP($D71,tblPriorPrice,2)</f>
        <v>52</v>
      </c>
      <c r="F71" s="190" t="n">
        <f aca="false">G71-E71</f>
        <v>0</v>
      </c>
      <c r="G71" s="190" t="n">
        <f aca="true">G59+OFFSET($CG$4,$B71,$C71)</f>
        <v>52</v>
      </c>
      <c r="H71" s="96" t="n">
        <f aca="true">G71+OFFSET($CU$4,$B71,$C71)</f>
        <v>47</v>
      </c>
      <c r="I71" s="96" t="n">
        <f aca="true">G71+OFFSET($DI$4,$B71,$C71)</f>
        <v>67</v>
      </c>
      <c r="J71" s="94" t="n">
        <f aca="false">VLOOKUP($D71,tblPriorPrice,3)</f>
        <v>37</v>
      </c>
      <c r="K71" s="190" t="n">
        <f aca="false">L71-J71</f>
        <v>0</v>
      </c>
      <c r="L71" s="190" t="n">
        <f aca="true">L59+OFFSET($CG$27,$B71,$C71)</f>
        <v>37</v>
      </c>
      <c r="M71" s="96" t="n">
        <f aca="true">$L71+OFFSET($CU$27,$B71,$C71)</f>
        <v>32</v>
      </c>
      <c r="N71" s="97" t="n">
        <f aca="true">$L71+OFFSET($DI$27,$B71,$C71)</f>
        <v>42</v>
      </c>
      <c r="O71" s="59" t="n">
        <f aca="true">IF($A71="",0,INDEX(tblPosn,$A71,2))</f>
        <v>166597.0625</v>
      </c>
      <c r="P71" s="59" t="n">
        <f aca="true">IF($A71="",0,INDEX(tblPosn,$A71,3))</f>
        <v>112271.9375</v>
      </c>
      <c r="Q71" s="59" t="n">
        <f aca="true">IF($A71="",0,INDEX(tblPosn,$A71,4))</f>
        <v>28973.40234375</v>
      </c>
      <c r="R71" s="59" t="n">
        <f aca="true">IF($A71="",0,INDEX(tblPosn,$A71,5))</f>
        <v>28973.40234375</v>
      </c>
      <c r="S71" s="59" t="n">
        <f aca="true">IF($A71="",0,INDEX(tblPosn,$A71,6))</f>
        <v>0</v>
      </c>
      <c r="T71" s="98" t="n">
        <f aca="false">O71*F71+P71*K71+R71*AC71+S71*AH71/0.72+Q71*X71</f>
        <v>0</v>
      </c>
      <c r="V71" s="161" t="n">
        <f aca="false">D71</f>
        <v>38047</v>
      </c>
      <c r="W71" s="94" t="n">
        <f aca="false">VLOOKUP($D71,tblPriorPrice,4)</f>
        <v>34</v>
      </c>
      <c r="X71" s="95" t="n">
        <f aca="false">Y71-W71</f>
        <v>0</v>
      </c>
      <c r="Y71" s="191" t="n">
        <f aca="true">Y59+OFFSET($CG$50,$B71,$C71)</f>
        <v>34</v>
      </c>
      <c r="Z71" s="96" t="n">
        <f aca="true">Y71+OFFSET($CU$51,$B71,$C71)</f>
        <v>29</v>
      </c>
      <c r="AA71" s="177" t="n">
        <f aca="true">Y71+OFFSET($DI$51,$B71,$C71)</f>
        <v>49</v>
      </c>
      <c r="AB71" s="94" t="n">
        <f aca="false">VLOOKUP($D71,tblPriorPrice,5)</f>
        <v>33</v>
      </c>
      <c r="AC71" s="190" t="n">
        <f aca="false">AD71-AB71</f>
        <v>0</v>
      </c>
      <c r="AD71" s="191" t="n">
        <f aca="true">AD59+OFFSET($CG$73,$B71,$C71)</f>
        <v>33</v>
      </c>
      <c r="AE71" s="96" t="n">
        <f aca="true">AD71+OFFSET($CU$74,$B71,$C71)</f>
        <v>28</v>
      </c>
      <c r="AF71" s="177" t="n">
        <f aca="true">AD71+OFFSET($DI$74,$B71,$C71)</f>
        <v>48</v>
      </c>
      <c r="AG71" s="94" t="n">
        <f aca="false">VLOOKUP($D71,tblPriorPrice,6)</f>
        <v>1</v>
      </c>
      <c r="AH71" s="190" t="n">
        <f aca="false">AI71-AG71</f>
        <v>0</v>
      </c>
      <c r="AI71" s="191" t="n">
        <f aca="true">AI59+OFFSET($CG$96,$B71,$C71)</f>
        <v>1</v>
      </c>
      <c r="AJ71" s="96" t="n">
        <f aca="true">AI71+OFFSET($CU$96,$B71,$C71)</f>
        <v>1</v>
      </c>
      <c r="AK71" s="97" t="n">
        <f aca="true">AI71+OFFSET($DI$96,$B71,$C71)</f>
        <v>1</v>
      </c>
      <c r="AL71" s="178" t="n">
        <v>14</v>
      </c>
      <c r="AM71" s="165" t="n">
        <v>0.25</v>
      </c>
      <c r="AN71" s="167" t="n">
        <f aca="false">'[3]Pricing Summary'!$AM49</f>
        <v>0.2925</v>
      </c>
      <c r="AO71" s="167" t="n">
        <f aca="false">0.9*AN71</f>
        <v>0.26325</v>
      </c>
      <c r="AP71" s="166" t="n">
        <f aca="false">1.5*AN71</f>
        <v>0.43875</v>
      </c>
      <c r="AQ71" s="167" t="n">
        <f aca="false">AN71</f>
        <v>0.2925</v>
      </c>
      <c r="AR71" s="166" t="n">
        <f aca="false">0.8*AQ71</f>
        <v>0.234</v>
      </c>
      <c r="AS71" s="166" t="n">
        <f aca="false">1.2*AQ71</f>
        <v>0.351</v>
      </c>
      <c r="AT71" s="169" t="n">
        <f aca="false">IF(G71&lt;110,17.94063*(LN(G71/100))+6.727568*(LN(G71/100)^2)+15.06494,(-4.1*G71+2135)/100)*0.5</f>
        <v>3.1049643251858</v>
      </c>
      <c r="AU71" s="169" t="n">
        <f aca="false">(0.75*AT71-AT71)</f>
        <v>-0.77624108129645</v>
      </c>
      <c r="AV71" s="166" t="n">
        <f aca="false">AT71/0.5*1.25-AT71</f>
        <v>4.6574464877787</v>
      </c>
      <c r="AW71" s="168" t="n">
        <f aca="false">IF(L71&lt;15,(15*L71+375)/100,(-4.71*L71+670.65)/100)*0.5</f>
        <v>2.4819</v>
      </c>
      <c r="AX71" s="166" t="n">
        <f aca="false">0.75*AW71-AW71</f>
        <v>-0.620475</v>
      </c>
      <c r="AY71" s="166" t="n">
        <f aca="false">AW71/0.5*1.25-AW71</f>
        <v>3.72285</v>
      </c>
      <c r="AZ71" s="167" t="n">
        <v>0.5</v>
      </c>
      <c r="BA71" s="74"/>
      <c r="BB71" s="198" t="n">
        <f aca="false">BB70+1</f>
        <v>115</v>
      </c>
      <c r="BC71" s="187"/>
      <c r="BD71" s="199"/>
      <c r="BE71" s="200"/>
      <c r="BF71" s="199"/>
      <c r="BG71" s="199"/>
      <c r="BH71" s="200"/>
      <c r="BI71" s="187"/>
      <c r="BJ71" s="199"/>
      <c r="BK71" s="200"/>
      <c r="BL71" s="199"/>
      <c r="BM71" s="199"/>
      <c r="BN71" s="200"/>
      <c r="BQ71" s="108" t="n">
        <v>36907.7428240741</v>
      </c>
      <c r="BR71" s="109" t="n">
        <v>36907.743287037</v>
      </c>
      <c r="BS71" s="110" t="n">
        <v>37987</v>
      </c>
      <c r="BT71" s="111" t="n">
        <v>153525.921875</v>
      </c>
      <c r="BU71" s="112" t="n">
        <v>113316.75</v>
      </c>
      <c r="BV71" s="112" t="n">
        <v>36553.79296875</v>
      </c>
      <c r="BW71" s="112" t="n">
        <v>36553.79296875</v>
      </c>
      <c r="BX71" s="113" t="n">
        <v>0</v>
      </c>
      <c r="BZ71" s="110" t="n">
        <v>38047</v>
      </c>
      <c r="CA71" s="185" t="n">
        <v>52</v>
      </c>
      <c r="CB71" s="116" t="n">
        <v>37</v>
      </c>
      <c r="CC71" s="181" t="n">
        <v>34</v>
      </c>
      <c r="CD71" s="181" t="n">
        <v>33</v>
      </c>
      <c r="CE71" s="117" t="n">
        <v>1</v>
      </c>
    </row>
    <row r="72" customFormat="false" ht="12.75" hidden="false" customHeight="false" outlineLevel="0" collapsed="false">
      <c r="A72" s="0" t="n">
        <f aca="true">IF(ISERROR(MATCH(D72,iRefDt,0)),"",MATCH(D72,iRefDt,0))</f>
        <v>72</v>
      </c>
      <c r="B72" s="92" t="n">
        <f aca="false">MATCH(YEAR(D72),iSpreads)</f>
        <v>4</v>
      </c>
      <c r="C72" s="0" t="n">
        <f aca="false">MONTH(D72)</f>
        <v>4</v>
      </c>
      <c r="D72" s="93" t="n">
        <f aca="false">DATE(YEAR(D71),MONTH(D71)+1,1)</f>
        <v>38078</v>
      </c>
      <c r="E72" s="94" t="n">
        <f aca="false">VLOOKUP($D72,tblPriorPrice,2)</f>
        <v>33</v>
      </c>
      <c r="F72" s="190" t="n">
        <f aca="false">G72-E72</f>
        <v>0</v>
      </c>
      <c r="G72" s="190" t="n">
        <f aca="true">G60+OFFSET($CG$4,$B72,$C72)</f>
        <v>33</v>
      </c>
      <c r="H72" s="96" t="n">
        <f aca="true">G72+OFFSET($CU$4,$B72,$C72)</f>
        <v>28</v>
      </c>
      <c r="I72" s="96" t="n">
        <f aca="true">G72+OFFSET($DI$4,$B72,$C72)</f>
        <v>48</v>
      </c>
      <c r="J72" s="94" t="n">
        <f aca="false">VLOOKUP($D72,tblPriorPrice,3)</f>
        <v>35</v>
      </c>
      <c r="K72" s="190" t="n">
        <f aca="false">L72-J72</f>
        <v>0</v>
      </c>
      <c r="L72" s="190" t="n">
        <f aca="true">L60+OFFSET($CG$27,$B72,$C72)</f>
        <v>35</v>
      </c>
      <c r="M72" s="96" t="n">
        <f aca="true">$L72+OFFSET($CU$27,$B72,$C72)</f>
        <v>30</v>
      </c>
      <c r="N72" s="97" t="n">
        <f aca="true">$L72+OFFSET($DI$27,$B72,$C72)</f>
        <v>40</v>
      </c>
      <c r="O72" s="59" t="n">
        <f aca="true">IF($A72="",0,INDEX(tblPosn,$A72,2))</f>
        <v>158880.078125</v>
      </c>
      <c r="P72" s="59" t="n">
        <f aca="true">IF($A72="",0,INDEX(tblPosn,$A72,3))</f>
        <v>107874.0546875</v>
      </c>
      <c r="Q72" s="59" t="n">
        <f aca="true">IF($A72="",0,INDEX(tblPosn,$A72,4))</f>
        <v>28878.7578125</v>
      </c>
      <c r="R72" s="59" t="n">
        <f aca="true">IF($A72="",0,INDEX(tblPosn,$A72,5))</f>
        <v>28892.162109375</v>
      </c>
      <c r="S72" s="59" t="n">
        <f aca="true">IF($A72="",0,INDEX(tblPosn,$A72,6))</f>
        <v>0</v>
      </c>
      <c r="T72" s="98" t="n">
        <f aca="false">O72*F72+P72*K72+R72*AC72+S72*AH72/0.72+Q72*X72</f>
        <v>0</v>
      </c>
      <c r="V72" s="161" t="n">
        <f aca="false">D72</f>
        <v>38078</v>
      </c>
      <c r="W72" s="94" t="n">
        <f aca="false">VLOOKUP($D72,tblPriorPrice,4)</f>
        <v>31</v>
      </c>
      <c r="X72" s="95" t="n">
        <f aca="false">Y72-W72</f>
        <v>0</v>
      </c>
      <c r="Y72" s="191" t="n">
        <f aca="true">Y60+OFFSET($CG$50,$B72,$C72)</f>
        <v>31</v>
      </c>
      <c r="Z72" s="96" t="n">
        <f aca="true">Y72+OFFSET($CU$51,$B72,$C72)</f>
        <v>26</v>
      </c>
      <c r="AA72" s="177" t="n">
        <f aca="true">Y72+OFFSET($DI$51,$B72,$C72)</f>
        <v>46</v>
      </c>
      <c r="AB72" s="94" t="n">
        <f aca="false">VLOOKUP($D72,tblPriorPrice,5)</f>
        <v>31</v>
      </c>
      <c r="AC72" s="190" t="n">
        <f aca="false">AD72-AB72</f>
        <v>0</v>
      </c>
      <c r="AD72" s="191" t="n">
        <f aca="true">AD60+OFFSET($CG$73,$B72,$C72)</f>
        <v>31</v>
      </c>
      <c r="AE72" s="96" t="n">
        <f aca="true">AD72+OFFSET($CU$74,$B72,$C72)</f>
        <v>26</v>
      </c>
      <c r="AF72" s="177" t="n">
        <f aca="true">AD72+OFFSET($DI$74,$B72,$C72)</f>
        <v>46</v>
      </c>
      <c r="AG72" s="94" t="n">
        <f aca="false">VLOOKUP($D72,tblPriorPrice,6)</f>
        <v>1</v>
      </c>
      <c r="AH72" s="190" t="n">
        <f aca="false">AI72-AG72</f>
        <v>0</v>
      </c>
      <c r="AI72" s="191" t="n">
        <f aca="true">AI60+OFFSET($CG$96,$B72,$C72)</f>
        <v>1</v>
      </c>
      <c r="AJ72" s="96" t="n">
        <f aca="true">AI72+OFFSET($CU$96,$B72,$C72)</f>
        <v>1</v>
      </c>
      <c r="AK72" s="97" t="n">
        <f aca="true">AI72+OFFSET($DI$96,$B72,$C72)</f>
        <v>1</v>
      </c>
      <c r="AL72" s="178" t="n">
        <v>14</v>
      </c>
      <c r="AM72" s="165" t="n">
        <v>0.25</v>
      </c>
      <c r="AN72" s="167" t="n">
        <f aca="false">'[3]Pricing Summary'!$AM50</f>
        <v>0.2825</v>
      </c>
      <c r="AO72" s="167" t="n">
        <f aca="false">0.9*AN72</f>
        <v>0.25425</v>
      </c>
      <c r="AP72" s="166" t="n">
        <f aca="false">1.5*AN72</f>
        <v>0.42375</v>
      </c>
      <c r="AQ72" s="167" t="n">
        <f aca="false">AN72</f>
        <v>0.2825</v>
      </c>
      <c r="AR72" s="166" t="n">
        <f aca="false">0.8*AQ72</f>
        <v>0.226</v>
      </c>
      <c r="AS72" s="166" t="n">
        <f aca="false">1.2*AQ72</f>
        <v>0.339</v>
      </c>
      <c r="AT72" s="169" t="n">
        <f aca="false">IF(G72&lt;110,17.94063*(LN(G72/100))+6.727568*(LN(G72/100)^2)+15.06494,(-4.1*G72+2135)/100)*0.5</f>
        <v>1.72195432632388</v>
      </c>
      <c r="AU72" s="169" t="n">
        <f aca="false">(0.75*AT72-AT72)</f>
        <v>-0.43048858158097</v>
      </c>
      <c r="AV72" s="166" t="n">
        <f aca="false">AT72/0.5*1.25-AT72</f>
        <v>2.58293148948582</v>
      </c>
      <c r="AW72" s="168" t="n">
        <f aca="false">IF(L72&lt;15,(15*L72+375)/100,(-4.71*L72+670.65)/100)*0.5</f>
        <v>2.529</v>
      </c>
      <c r="AX72" s="166" t="n">
        <f aca="false">0.75*AW72-AW72</f>
        <v>-0.63225</v>
      </c>
      <c r="AY72" s="166" t="n">
        <f aca="false">AW72/0.5*1.25-AW72</f>
        <v>3.7935</v>
      </c>
      <c r="AZ72" s="167" t="n">
        <v>0.5</v>
      </c>
      <c r="BA72" s="74"/>
      <c r="BI72" s="91"/>
      <c r="BJ72" s="91"/>
      <c r="BK72" s="91"/>
      <c r="BL72" s="91"/>
      <c r="BM72" s="91"/>
      <c r="BN72" s="91"/>
      <c r="BQ72" s="108" t="n">
        <v>36907.7428240741</v>
      </c>
      <c r="BR72" s="109" t="n">
        <v>36907.743287037</v>
      </c>
      <c r="BS72" s="110" t="n">
        <v>38018</v>
      </c>
      <c r="BT72" s="111" t="n">
        <v>145558.671875</v>
      </c>
      <c r="BU72" s="112" t="n">
        <v>105530.03125</v>
      </c>
      <c r="BV72" s="112" t="n">
        <v>29111.732421875</v>
      </c>
      <c r="BW72" s="112" t="n">
        <v>36389.66796875</v>
      </c>
      <c r="BX72" s="113" t="n">
        <v>0</v>
      </c>
      <c r="BZ72" s="110" t="n">
        <v>38078</v>
      </c>
      <c r="CA72" s="185" t="n">
        <v>33</v>
      </c>
      <c r="CB72" s="116" t="n">
        <v>35</v>
      </c>
      <c r="CC72" s="181" t="n">
        <v>31</v>
      </c>
      <c r="CD72" s="181" t="n">
        <v>31</v>
      </c>
      <c r="CE72" s="117" t="n">
        <v>1</v>
      </c>
      <c r="CG72" s="105" t="s">
        <v>53</v>
      </c>
      <c r="CH72" s="118"/>
      <c r="CI72" s="118"/>
      <c r="CJ72" s="119"/>
      <c r="CU72" s="105" t="s">
        <v>53</v>
      </c>
      <c r="CV72" s="118"/>
      <c r="CW72" s="118"/>
      <c r="CX72" s="119"/>
      <c r="DI72" s="105" t="s">
        <v>53</v>
      </c>
      <c r="DJ72" s="118"/>
      <c r="DK72" s="118"/>
      <c r="DL72" s="119"/>
    </row>
    <row r="73" customFormat="false" ht="12.75" hidden="false" customHeight="false" outlineLevel="0" collapsed="false">
      <c r="A73" s="0" t="n">
        <f aca="true">IF(ISERROR(MATCH(D73,iRefDt,0)),"",MATCH(D73,iRefDt,0))</f>
        <v>73</v>
      </c>
      <c r="B73" s="92" t="n">
        <f aca="false">MATCH(YEAR(D73),iSpreads)</f>
        <v>4</v>
      </c>
      <c r="C73" s="0" t="n">
        <f aca="false">MONTH(D73)</f>
        <v>5</v>
      </c>
      <c r="D73" s="93" t="n">
        <f aca="false">DATE(YEAR(D72),MONTH(D72)+1,1)</f>
        <v>38108</v>
      </c>
      <c r="E73" s="94" t="n">
        <f aca="false">VLOOKUP($D73,tblPriorPrice,2)</f>
        <v>36</v>
      </c>
      <c r="F73" s="190" t="n">
        <f aca="false">G73-E73</f>
        <v>0</v>
      </c>
      <c r="G73" s="190" t="n">
        <f aca="true">G61+OFFSET($CG$4,$B73,$C73)</f>
        <v>36</v>
      </c>
      <c r="H73" s="96" t="n">
        <f aca="true">G73+OFFSET($CU$4,$B73,$C73)</f>
        <v>31</v>
      </c>
      <c r="I73" s="96" t="n">
        <f aca="true">G73+OFFSET($DI$4,$B73,$C73)</f>
        <v>51</v>
      </c>
      <c r="J73" s="94" t="n">
        <f aca="false">VLOOKUP($D73,tblPriorPrice,3)</f>
        <v>37</v>
      </c>
      <c r="K73" s="190" t="n">
        <f aca="false">L73-J73</f>
        <v>0</v>
      </c>
      <c r="L73" s="190" t="n">
        <f aca="true">L61+OFFSET($CG$27,$B73,$C73)</f>
        <v>37</v>
      </c>
      <c r="M73" s="96" t="n">
        <f aca="true">$L73+OFFSET($CU$27,$B73,$C73)</f>
        <v>32</v>
      </c>
      <c r="N73" s="97" t="n">
        <f aca="true">$L73+OFFSET($DI$27,$B73,$C73)</f>
        <v>42</v>
      </c>
      <c r="O73" s="59" t="n">
        <f aca="true">IF($A73="",0,INDEX(tblPosn,$A73,2))</f>
        <v>143763.671875</v>
      </c>
      <c r="P73" s="59" t="n">
        <f aca="true">IF($A73="",0,INDEX(tblPosn,$A73,3))</f>
        <v>111416.84375</v>
      </c>
      <c r="Q73" s="59" t="n">
        <f aca="true">IF($A73="",0,INDEX(tblPosn,$A73,4))</f>
        <v>35940.91796875</v>
      </c>
      <c r="R73" s="59" t="n">
        <f aca="true">IF($A73="",0,INDEX(tblPosn,$A73,5))</f>
        <v>43129.1015625</v>
      </c>
      <c r="S73" s="59" t="n">
        <f aca="true">IF($A73="",0,INDEX(tblPosn,$A73,6))</f>
        <v>0</v>
      </c>
      <c r="T73" s="98" t="n">
        <f aca="false">O73*F73+P73*K73+R73*AC73+S73*AH73/0.72+Q73*X73</f>
        <v>0</v>
      </c>
      <c r="V73" s="161" t="n">
        <f aca="false">D73</f>
        <v>38108</v>
      </c>
      <c r="W73" s="94" t="n">
        <f aca="false">VLOOKUP($D73,tblPriorPrice,4)</f>
        <v>33</v>
      </c>
      <c r="X73" s="95" t="n">
        <f aca="false">Y73-W73</f>
        <v>0</v>
      </c>
      <c r="Y73" s="191" t="n">
        <f aca="true">Y61+OFFSET($CG$50,$B73,$C73)</f>
        <v>33</v>
      </c>
      <c r="Z73" s="96" t="n">
        <f aca="true">Y73+OFFSET($CU$51,$B73,$C73)</f>
        <v>28</v>
      </c>
      <c r="AA73" s="177" t="n">
        <f aca="true">Y73+OFFSET($DI$51,$B73,$C73)</f>
        <v>48</v>
      </c>
      <c r="AB73" s="94" t="n">
        <f aca="false">VLOOKUP($D73,tblPriorPrice,5)</f>
        <v>33</v>
      </c>
      <c r="AC73" s="190" t="n">
        <f aca="false">AD73-AB73</f>
        <v>0</v>
      </c>
      <c r="AD73" s="191" t="n">
        <f aca="true">AD61+OFFSET($CG$73,$B73,$C73)</f>
        <v>33</v>
      </c>
      <c r="AE73" s="96" t="n">
        <f aca="true">AD73+OFFSET($CU$74,$B73,$C73)</f>
        <v>28</v>
      </c>
      <c r="AF73" s="177" t="n">
        <f aca="true">AD73+OFFSET($DI$74,$B73,$C73)</f>
        <v>48</v>
      </c>
      <c r="AG73" s="94" t="n">
        <f aca="false">VLOOKUP($D73,tblPriorPrice,6)</f>
        <v>1</v>
      </c>
      <c r="AH73" s="190" t="n">
        <f aca="false">AI73-AG73</f>
        <v>0</v>
      </c>
      <c r="AI73" s="191" t="n">
        <f aca="true">AI61+OFFSET($CG$96,$B73,$C73)</f>
        <v>1</v>
      </c>
      <c r="AJ73" s="96" t="n">
        <f aca="true">AI73+OFFSET($CU$96,$B73,$C73)</f>
        <v>1</v>
      </c>
      <c r="AK73" s="97" t="n">
        <f aca="true">AI73+OFFSET($DI$96,$B73,$C73)</f>
        <v>1</v>
      </c>
      <c r="AL73" s="178" t="n">
        <v>14</v>
      </c>
      <c r="AM73" s="165" t="n">
        <v>0.4</v>
      </c>
      <c r="AN73" s="167" t="n">
        <f aca="false">'[3]Pricing Summary'!$AM51</f>
        <v>0.2825</v>
      </c>
      <c r="AO73" s="167" t="n">
        <f aca="false">0.9*AN73</f>
        <v>0.25425</v>
      </c>
      <c r="AP73" s="166" t="n">
        <f aca="false">1.5*AN73</f>
        <v>0.42375</v>
      </c>
      <c r="AQ73" s="167" t="n">
        <f aca="false">AN73</f>
        <v>0.2825</v>
      </c>
      <c r="AR73" s="166" t="n">
        <f aca="false">0.8*AQ73</f>
        <v>0.226</v>
      </c>
      <c r="AS73" s="166" t="n">
        <f aca="false">1.2*AQ73</f>
        <v>0.339</v>
      </c>
      <c r="AT73" s="169" t="n">
        <f aca="false">IF(G73&lt;110,17.94063*(LN(G73/100))+6.727568*(LN(G73/100)^2)+15.06494,(-4.1*G73+2135)/100)*0.5</f>
        <v>1.8789575925079</v>
      </c>
      <c r="AU73" s="169" t="n">
        <f aca="false">(0.75*AT73-AT73)</f>
        <v>-0.469739398126976</v>
      </c>
      <c r="AV73" s="166" t="n">
        <f aca="false">AT73/0.5*1.25-AT73</f>
        <v>2.81843638876186</v>
      </c>
      <c r="AW73" s="168" t="n">
        <f aca="false">IF(L73&lt;15,(15*L73+375)/100,(-4.71*L73+670.65)/100)*0.5</f>
        <v>2.4819</v>
      </c>
      <c r="AX73" s="166" t="n">
        <f aca="false">0.75*AW73-AW73</f>
        <v>-0.620475</v>
      </c>
      <c r="AY73" s="166" t="n">
        <f aca="false">AW73/0.5*1.25-AW73</f>
        <v>3.72285</v>
      </c>
      <c r="AZ73" s="167" t="n">
        <v>0.5</v>
      </c>
      <c r="BA73" s="74"/>
      <c r="BB73" s="5" t="s">
        <v>125</v>
      </c>
      <c r="BI73" s="91"/>
      <c r="BJ73" s="91"/>
      <c r="BK73" s="91"/>
      <c r="BL73" s="91"/>
      <c r="BM73" s="91"/>
      <c r="BN73" s="91"/>
      <c r="BQ73" s="108" t="n">
        <v>36907.7428240741</v>
      </c>
      <c r="BR73" s="109" t="n">
        <v>36907.743287037</v>
      </c>
      <c r="BS73" s="110" t="n">
        <v>38047</v>
      </c>
      <c r="BT73" s="111" t="n">
        <v>166597.0625</v>
      </c>
      <c r="BU73" s="112" t="n">
        <v>112271.9375</v>
      </c>
      <c r="BV73" s="112" t="n">
        <v>28973.40234375</v>
      </c>
      <c r="BW73" s="112" t="n">
        <v>28973.40234375</v>
      </c>
      <c r="BX73" s="113" t="n">
        <v>0</v>
      </c>
      <c r="BZ73" s="110" t="n">
        <v>38108</v>
      </c>
      <c r="CA73" s="185" t="n">
        <v>36</v>
      </c>
      <c r="CB73" s="116" t="n">
        <v>37</v>
      </c>
      <c r="CC73" s="181" t="n">
        <v>33</v>
      </c>
      <c r="CD73" s="181" t="n">
        <v>33</v>
      </c>
      <c r="CE73" s="117" t="n">
        <v>1</v>
      </c>
      <c r="CG73" s="125" t="s">
        <v>99</v>
      </c>
      <c r="CH73" s="126" t="s">
        <v>100</v>
      </c>
      <c r="CI73" s="126" t="s">
        <v>101</v>
      </c>
      <c r="CJ73" s="126" t="s">
        <v>102</v>
      </c>
      <c r="CK73" s="126" t="s">
        <v>103</v>
      </c>
      <c r="CL73" s="126" t="s">
        <v>104</v>
      </c>
      <c r="CM73" s="126" t="s">
        <v>105</v>
      </c>
      <c r="CN73" s="126" t="s">
        <v>106</v>
      </c>
      <c r="CO73" s="126" t="s">
        <v>107</v>
      </c>
      <c r="CP73" s="126" t="s">
        <v>108</v>
      </c>
      <c r="CQ73" s="126" t="s">
        <v>109</v>
      </c>
      <c r="CR73" s="126" t="s">
        <v>110</v>
      </c>
      <c r="CS73" s="126" t="s">
        <v>111</v>
      </c>
      <c r="CU73" s="125" t="s">
        <v>99</v>
      </c>
      <c r="CV73" s="126" t="s">
        <v>100</v>
      </c>
      <c r="CW73" s="126" t="s">
        <v>101</v>
      </c>
      <c r="CX73" s="126" t="s">
        <v>102</v>
      </c>
      <c r="CY73" s="126" t="s">
        <v>103</v>
      </c>
      <c r="CZ73" s="126" t="s">
        <v>104</v>
      </c>
      <c r="DA73" s="126" t="s">
        <v>105</v>
      </c>
      <c r="DB73" s="126" t="s">
        <v>106</v>
      </c>
      <c r="DC73" s="126" t="s">
        <v>107</v>
      </c>
      <c r="DD73" s="126" t="s">
        <v>108</v>
      </c>
      <c r="DE73" s="126" t="s">
        <v>109</v>
      </c>
      <c r="DF73" s="126" t="s">
        <v>110</v>
      </c>
      <c r="DG73" s="126" t="s">
        <v>111</v>
      </c>
      <c r="DI73" s="123" t="s">
        <v>99</v>
      </c>
      <c r="DJ73" s="124" t="s">
        <v>100</v>
      </c>
      <c r="DK73" s="124" t="s">
        <v>101</v>
      </c>
      <c r="DL73" s="124" t="s">
        <v>102</v>
      </c>
      <c r="DM73" s="124" t="s">
        <v>103</v>
      </c>
      <c r="DN73" s="124" t="s">
        <v>104</v>
      </c>
      <c r="DO73" s="124" t="s">
        <v>105</v>
      </c>
      <c r="DP73" s="124" t="s">
        <v>106</v>
      </c>
      <c r="DQ73" s="124" t="s">
        <v>107</v>
      </c>
      <c r="DR73" s="124" t="s">
        <v>108</v>
      </c>
      <c r="DS73" s="124" t="s">
        <v>109</v>
      </c>
      <c r="DT73" s="124" t="s">
        <v>110</v>
      </c>
      <c r="DU73" s="124" t="s">
        <v>111</v>
      </c>
    </row>
    <row r="74" customFormat="false" ht="12.75" hidden="false" customHeight="false" outlineLevel="0" collapsed="false">
      <c r="A74" s="0" t="n">
        <f aca="true">IF(ISERROR(MATCH(D74,iRefDt,0)),"",MATCH(D74,iRefDt,0))</f>
        <v>74</v>
      </c>
      <c r="B74" s="92" t="n">
        <f aca="false">MATCH(YEAR(D74),iSpreads)</f>
        <v>4</v>
      </c>
      <c r="C74" s="0" t="n">
        <f aca="false">MONTH(D74)</f>
        <v>6</v>
      </c>
      <c r="D74" s="93" t="n">
        <f aca="false">DATE(YEAR(D73),MONTH(D73)+1,1)</f>
        <v>38139</v>
      </c>
      <c r="E74" s="94" t="n">
        <f aca="false">VLOOKUP($D74,tblPriorPrice,2)</f>
        <v>43</v>
      </c>
      <c r="F74" s="190" t="n">
        <f aca="false">G74-E74</f>
        <v>0</v>
      </c>
      <c r="G74" s="190" t="n">
        <f aca="true">G62+OFFSET($CG$4,$B74,$C74)</f>
        <v>43</v>
      </c>
      <c r="H74" s="96" t="n">
        <f aca="true">G74+OFFSET($CU$4,$B74,$C74)</f>
        <v>38</v>
      </c>
      <c r="I74" s="96" t="n">
        <f aca="true">G74+OFFSET($DI$4,$B74,$C74)</f>
        <v>58</v>
      </c>
      <c r="J74" s="94" t="n">
        <f aca="false">VLOOKUP($D74,tblPriorPrice,3)</f>
        <v>43</v>
      </c>
      <c r="K74" s="190" t="n">
        <f aca="false">L74-J74</f>
        <v>0</v>
      </c>
      <c r="L74" s="190" t="n">
        <f aca="true">L62+OFFSET($CG$27,$B74,$C74)</f>
        <v>43</v>
      </c>
      <c r="M74" s="96" t="n">
        <f aca="true">$L74+OFFSET($CU$27,$B74,$C74)</f>
        <v>38</v>
      </c>
      <c r="N74" s="97" t="n">
        <f aca="true">$L74+OFFSET($DI$27,$B74,$C74)</f>
        <v>48</v>
      </c>
      <c r="O74" s="59" t="n">
        <f aca="true">IF($A74="",0,INDEX(tblPosn,$A74,2))</f>
        <v>157110.125</v>
      </c>
      <c r="P74" s="59" t="n">
        <f aca="true">IF($A74="",0,INDEX(tblPosn,$A74,3))</f>
        <v>107120.5390625</v>
      </c>
      <c r="Q74" s="59" t="n">
        <f aca="true">IF($A74="",0,INDEX(tblPosn,$A74,4))</f>
        <v>28565.478515625</v>
      </c>
      <c r="R74" s="59" t="n">
        <f aca="true">IF($A74="",0,INDEX(tblPosn,$A74,5))</f>
        <v>28565.478515625</v>
      </c>
      <c r="S74" s="59" t="n">
        <f aca="true">IF($A74="",0,INDEX(tblPosn,$A74,6))</f>
        <v>0</v>
      </c>
      <c r="T74" s="98" t="n">
        <f aca="false">O74*F74+P74*K74+R74*AC74+S74*AH74/0.72+Q74*X74</f>
        <v>0</v>
      </c>
      <c r="V74" s="161" t="n">
        <f aca="false">D74</f>
        <v>38139</v>
      </c>
      <c r="W74" s="94" t="n">
        <f aca="false">VLOOKUP($D74,tblPriorPrice,4)</f>
        <v>39</v>
      </c>
      <c r="X74" s="95" t="n">
        <f aca="false">Y74-W74</f>
        <v>0</v>
      </c>
      <c r="Y74" s="191" t="n">
        <f aca="true">Y62+OFFSET($CG$50,$B74,$C74)</f>
        <v>39</v>
      </c>
      <c r="Z74" s="96" t="n">
        <f aca="true">Y74+OFFSET($CU$51,$B74,$C74)</f>
        <v>34</v>
      </c>
      <c r="AA74" s="177" t="n">
        <f aca="true">Y74+OFFSET($DI$51,$B74,$C74)</f>
        <v>54</v>
      </c>
      <c r="AB74" s="94" t="n">
        <f aca="false">VLOOKUP($D74,tblPriorPrice,5)</f>
        <v>39</v>
      </c>
      <c r="AC74" s="190" t="n">
        <f aca="false">AD74-AB74</f>
        <v>0</v>
      </c>
      <c r="AD74" s="191" t="n">
        <f aca="true">AD62+OFFSET($CG$73,$B74,$C74)</f>
        <v>39</v>
      </c>
      <c r="AE74" s="96" t="n">
        <f aca="true">AD74+OFFSET($CU$74,$B74,$C74)</f>
        <v>34</v>
      </c>
      <c r="AF74" s="177" t="n">
        <f aca="true">AD74+OFFSET($DI$74,$B74,$C74)</f>
        <v>54</v>
      </c>
      <c r="AG74" s="94" t="n">
        <f aca="false">VLOOKUP($D74,tblPriorPrice,6)</f>
        <v>1</v>
      </c>
      <c r="AH74" s="190" t="n">
        <f aca="false">AI74-AG74</f>
        <v>0</v>
      </c>
      <c r="AI74" s="191" t="n">
        <f aca="true">AI62+OFFSET($CG$96,$B74,$C74)</f>
        <v>1</v>
      </c>
      <c r="AJ74" s="96" t="n">
        <f aca="true">AI74+OFFSET($CU$96,$B74,$C74)</f>
        <v>1</v>
      </c>
      <c r="AK74" s="97" t="n">
        <f aca="true">AI74+OFFSET($DI$96,$B74,$C74)</f>
        <v>1</v>
      </c>
      <c r="AL74" s="178" t="n">
        <v>15</v>
      </c>
      <c r="AM74" s="165" t="n">
        <v>0.4</v>
      </c>
      <c r="AN74" s="167" t="n">
        <f aca="false">'[3]Pricing Summary'!$AM52</f>
        <v>0.28</v>
      </c>
      <c r="AO74" s="167" t="n">
        <f aca="false">0.9*AN74</f>
        <v>0.252</v>
      </c>
      <c r="AP74" s="166" t="n">
        <f aca="false">1.5*AN74</f>
        <v>0.42</v>
      </c>
      <c r="AQ74" s="167" t="n">
        <f aca="false">AN74</f>
        <v>0.28</v>
      </c>
      <c r="AR74" s="166" t="n">
        <f aca="false">0.8*AQ74</f>
        <v>0.224</v>
      </c>
      <c r="AS74" s="166" t="n">
        <f aca="false">1.2*AQ74</f>
        <v>0.336</v>
      </c>
      <c r="AT74" s="169" t="n">
        <f aca="false">IF(G74&lt;110,17.94063*(LN(G74/100))+6.727568*(LN(G74/100)^2)+15.06494,(-4.1*G74+2135)/100)*0.5</f>
        <v>2.35776711843848</v>
      </c>
      <c r="AU74" s="169" t="n">
        <f aca="false">(0.75*AT74-AT74)</f>
        <v>-0.58944177960962</v>
      </c>
      <c r="AV74" s="166" t="n">
        <f aca="false">AT74/0.5*1.25-AT74</f>
        <v>3.53665067765772</v>
      </c>
      <c r="AW74" s="168" t="n">
        <f aca="false">IF(L74&lt;15,(15*L74+375)/100,(-4.71*L74+670.65)/100)*0.5</f>
        <v>2.3406</v>
      </c>
      <c r="AX74" s="166" t="n">
        <f aca="false">0.75*AW74-AW74</f>
        <v>-0.58515</v>
      </c>
      <c r="AY74" s="166" t="n">
        <f aca="false">AW74/0.5*1.25-AW74</f>
        <v>3.5109</v>
      </c>
      <c r="AZ74" s="167" t="n">
        <v>0.5</v>
      </c>
      <c r="BA74" s="74"/>
      <c r="BB74" s="170"/>
      <c r="BC74" s="140" t="s">
        <v>51</v>
      </c>
      <c r="BD74" s="140"/>
      <c r="BE74" s="140"/>
      <c r="BF74" s="140" t="s">
        <v>116</v>
      </c>
      <c r="BG74" s="140"/>
      <c r="BH74" s="140"/>
      <c r="BI74" s="171" t="s">
        <v>84</v>
      </c>
      <c r="BJ74" s="171"/>
      <c r="BK74" s="171"/>
      <c r="BL74" s="171" t="s">
        <v>53</v>
      </c>
      <c r="BM74" s="171"/>
      <c r="BN74" s="171"/>
      <c r="BQ74" s="108" t="n">
        <v>36907.7428240741</v>
      </c>
      <c r="BR74" s="109" t="n">
        <v>36907.743287037</v>
      </c>
      <c r="BS74" s="110" t="n">
        <v>38078</v>
      </c>
      <c r="BT74" s="111" t="n">
        <v>158880.078125</v>
      </c>
      <c r="BU74" s="112" t="n">
        <v>107874.0546875</v>
      </c>
      <c r="BV74" s="112" t="n">
        <v>28878.7578125</v>
      </c>
      <c r="BW74" s="112" t="n">
        <v>28892.162109375</v>
      </c>
      <c r="BX74" s="113" t="n">
        <v>0</v>
      </c>
      <c r="BZ74" s="110" t="n">
        <v>38139</v>
      </c>
      <c r="CA74" s="185" t="n">
        <v>43</v>
      </c>
      <c r="CB74" s="116" t="n">
        <v>43</v>
      </c>
      <c r="CC74" s="181" t="n">
        <v>39</v>
      </c>
      <c r="CD74" s="181" t="n">
        <v>39</v>
      </c>
      <c r="CE74" s="117" t="n">
        <v>1</v>
      </c>
      <c r="CG74" s="128" t="n">
        <f aca="false">BB10</f>
        <v>2001</v>
      </c>
      <c r="CH74" s="129" t="n">
        <v>0</v>
      </c>
      <c r="CI74" s="130" t="n">
        <v>0</v>
      </c>
      <c r="CJ74" s="130" t="n">
        <v>0</v>
      </c>
      <c r="CK74" s="130" t="n">
        <v>0</v>
      </c>
      <c r="CL74" s="130" t="n">
        <v>0</v>
      </c>
      <c r="CM74" s="130" t="n">
        <v>0</v>
      </c>
      <c r="CN74" s="130" t="n">
        <v>0</v>
      </c>
      <c r="CO74" s="130" t="n">
        <v>0</v>
      </c>
      <c r="CP74" s="130" t="n">
        <v>0</v>
      </c>
      <c r="CQ74" s="130" t="n">
        <v>0</v>
      </c>
      <c r="CR74" s="130" t="n">
        <v>0</v>
      </c>
      <c r="CS74" s="131" t="n">
        <v>0</v>
      </c>
      <c r="CU74" s="128" t="n">
        <f aca="false">BB10</f>
        <v>2001</v>
      </c>
      <c r="CV74" s="129" t="n">
        <v>-5</v>
      </c>
      <c r="CW74" s="130" t="n">
        <v>-5</v>
      </c>
      <c r="CX74" s="130" t="n">
        <v>-5</v>
      </c>
      <c r="CY74" s="130" t="n">
        <v>-5</v>
      </c>
      <c r="CZ74" s="130" t="n">
        <v>-5</v>
      </c>
      <c r="DA74" s="130" t="n">
        <v>-5</v>
      </c>
      <c r="DB74" s="130" t="n">
        <v>-5</v>
      </c>
      <c r="DC74" s="130" t="n">
        <f aca="false">-DD745-5</f>
        <v>-5</v>
      </c>
      <c r="DD74" s="130" t="n">
        <v>-5</v>
      </c>
      <c r="DE74" s="130" t="n">
        <v>-5</v>
      </c>
      <c r="DF74" s="130" t="n">
        <v>-5</v>
      </c>
      <c r="DG74" s="131" t="n">
        <v>-5</v>
      </c>
      <c r="DI74" s="201" t="n">
        <f aca="false">BB10</f>
        <v>2001</v>
      </c>
      <c r="DJ74" s="137" t="n">
        <f aca="false">DJ51</f>
        <v>25</v>
      </c>
      <c r="DK74" s="137" t="n">
        <f aca="false">DK51</f>
        <v>25</v>
      </c>
      <c r="DL74" s="137" t="n">
        <f aca="false">DL51</f>
        <v>25</v>
      </c>
      <c r="DM74" s="137" t="n">
        <f aca="false">DM51</f>
        <v>25</v>
      </c>
      <c r="DN74" s="137" t="n">
        <f aca="false">DN51</f>
        <v>25</v>
      </c>
      <c r="DO74" s="137" t="n">
        <f aca="false">DO51</f>
        <v>25</v>
      </c>
      <c r="DP74" s="137" t="n">
        <f aca="false">DP51</f>
        <v>25</v>
      </c>
      <c r="DQ74" s="137" t="n">
        <f aca="false">DQ51</f>
        <v>25</v>
      </c>
      <c r="DR74" s="137" t="n">
        <f aca="false">DR51</f>
        <v>25</v>
      </c>
      <c r="DS74" s="137" t="n">
        <f aca="false">DS51</f>
        <v>25</v>
      </c>
      <c r="DT74" s="137" t="n">
        <f aca="false">DT51</f>
        <v>25</v>
      </c>
      <c r="DU74" s="137" t="n">
        <f aca="false">DU51</f>
        <v>25</v>
      </c>
    </row>
    <row r="75" customFormat="false" ht="12.75" hidden="false" customHeight="false" outlineLevel="0" collapsed="false">
      <c r="A75" s="0" t="n">
        <f aca="true">IF(ISERROR(MATCH(D75,iRefDt,0)),"",MATCH(D75,iRefDt,0))</f>
        <v>75</v>
      </c>
      <c r="B75" s="92" t="n">
        <f aca="false">MATCH(YEAR(D75),iSpreads)</f>
        <v>4</v>
      </c>
      <c r="C75" s="0" t="n">
        <f aca="false">MONTH(D75)</f>
        <v>7</v>
      </c>
      <c r="D75" s="93" t="n">
        <f aca="false">DATE(YEAR(D74),MONTH(D74)+1,1)</f>
        <v>38169</v>
      </c>
      <c r="E75" s="94" t="n">
        <f aca="false">VLOOKUP($D75,tblPriorPrice,2)</f>
        <v>58</v>
      </c>
      <c r="F75" s="190" t="n">
        <f aca="false">G75-E75</f>
        <v>0</v>
      </c>
      <c r="G75" s="190" t="n">
        <f aca="true">G63+OFFSET($CG$4,$B75,$C75)</f>
        <v>58</v>
      </c>
      <c r="H75" s="96" t="n">
        <f aca="true">G75+OFFSET($CU$4,$B75,$C75)</f>
        <v>53</v>
      </c>
      <c r="I75" s="96" t="n">
        <f aca="true">G75+OFFSET($DI$4,$B75,$C75)</f>
        <v>73</v>
      </c>
      <c r="J75" s="94" t="n">
        <f aca="false">VLOOKUP($D75,tblPriorPrice,3)</f>
        <v>43</v>
      </c>
      <c r="K75" s="190" t="n">
        <f aca="false">L75-J75</f>
        <v>0</v>
      </c>
      <c r="L75" s="190" t="n">
        <f aca="true">L63+OFFSET($CG$27,$B75,$C75)</f>
        <v>43</v>
      </c>
      <c r="M75" s="96" t="n">
        <f aca="true">$L75+OFFSET($CU$27,$B75,$C75)</f>
        <v>38</v>
      </c>
      <c r="N75" s="97" t="n">
        <f aca="true">$L75+OFFSET($DI$27,$B75,$C75)</f>
        <v>48</v>
      </c>
      <c r="O75" s="59" t="n">
        <f aca="true">IF($A75="",0,INDEX(tblPosn,$A75,2))</f>
        <v>149233.828125</v>
      </c>
      <c r="P75" s="59" t="n">
        <f aca="true">IF($A75="",0,INDEX(tblPosn,$A75,3))</f>
        <v>110148.7890625</v>
      </c>
      <c r="Q75" s="59" t="n">
        <f aca="true">IF($A75="",0,INDEX(tblPosn,$A75,4))</f>
        <v>35531.8671875</v>
      </c>
      <c r="R75" s="59" t="n">
        <f aca="true">IF($A75="",0,INDEX(tblPosn,$A75,5))</f>
        <v>35531.8671875</v>
      </c>
      <c r="S75" s="59" t="n">
        <f aca="true">IF($A75="",0,INDEX(tblPosn,$A75,6))</f>
        <v>0</v>
      </c>
      <c r="T75" s="98" t="n">
        <f aca="false">O75*F75+P75*K75+R75*AC75+S75*AH75/0.72+Q75*X75</f>
        <v>0</v>
      </c>
      <c r="V75" s="161" t="n">
        <f aca="false">D75</f>
        <v>38169</v>
      </c>
      <c r="W75" s="94" t="n">
        <f aca="false">VLOOKUP($D75,tblPriorPrice,4)</f>
        <v>43</v>
      </c>
      <c r="X75" s="95" t="n">
        <f aca="false">Y75-W75</f>
        <v>0</v>
      </c>
      <c r="Y75" s="191" t="n">
        <f aca="true">Y63+OFFSET($CG$50,$B75,$C75)</f>
        <v>43</v>
      </c>
      <c r="Z75" s="96" t="n">
        <f aca="true">Y75+OFFSET($CU$51,$B75,$C75)</f>
        <v>38</v>
      </c>
      <c r="AA75" s="177" t="n">
        <f aca="true">Y75+OFFSET($DI$51,$B75,$C75)</f>
        <v>58</v>
      </c>
      <c r="AB75" s="94" t="n">
        <f aca="false">VLOOKUP($D75,tblPriorPrice,5)</f>
        <v>39</v>
      </c>
      <c r="AC75" s="190" t="n">
        <f aca="false">AD75-AB75</f>
        <v>0</v>
      </c>
      <c r="AD75" s="191" t="n">
        <f aca="true">AD63+OFFSET($CG$73,$B75,$C75)</f>
        <v>39</v>
      </c>
      <c r="AE75" s="96" t="n">
        <f aca="true">AD75+OFFSET($CU$74,$B75,$C75)</f>
        <v>34</v>
      </c>
      <c r="AF75" s="177" t="n">
        <f aca="true">AD75+OFFSET($DI$74,$B75,$C75)</f>
        <v>54</v>
      </c>
      <c r="AG75" s="94" t="n">
        <f aca="false">VLOOKUP($D75,tblPriorPrice,6)</f>
        <v>1</v>
      </c>
      <c r="AH75" s="190" t="n">
        <f aca="false">AI75-AG75</f>
        <v>0</v>
      </c>
      <c r="AI75" s="191" t="n">
        <f aca="true">AI63+OFFSET($CG$96,$B75,$C75)</f>
        <v>1</v>
      </c>
      <c r="AJ75" s="96" t="n">
        <f aca="true">AI75+OFFSET($CU$96,$B75,$C75)</f>
        <v>1</v>
      </c>
      <c r="AK75" s="97" t="n">
        <f aca="true">AI75+OFFSET($DI$96,$B75,$C75)</f>
        <v>1</v>
      </c>
      <c r="AL75" s="178" t="n">
        <v>15</v>
      </c>
      <c r="AM75" s="165" t="n">
        <v>0.4</v>
      </c>
      <c r="AN75" s="167" t="n">
        <f aca="false">'[3]Pricing Summary'!$AM53</f>
        <v>0.2775</v>
      </c>
      <c r="AO75" s="167" t="n">
        <f aca="false">0.9*AN75</f>
        <v>0.24975</v>
      </c>
      <c r="AP75" s="166" t="n">
        <f aca="false">1.5*AN75</f>
        <v>0.41625</v>
      </c>
      <c r="AQ75" s="167" t="n">
        <f aca="false">AN75</f>
        <v>0.2775</v>
      </c>
      <c r="AR75" s="166" t="n">
        <f aca="false">0.8*AQ75</f>
        <v>0.222</v>
      </c>
      <c r="AS75" s="166" t="n">
        <f aca="false">1.2*AQ75</f>
        <v>0.333</v>
      </c>
      <c r="AT75" s="169" t="n">
        <f aca="false">IF(G75&lt;110,17.94063*(LN(G75/100))+6.727568*(LN(G75/100)^2)+15.06494,(-4.1*G75+2135)/100)*0.5</f>
        <v>3.6442235222616</v>
      </c>
      <c r="AU75" s="169" t="n">
        <f aca="false">(0.75*AT75-AT75)</f>
        <v>-0.911055880565399</v>
      </c>
      <c r="AV75" s="166" t="n">
        <f aca="false">AT75/0.5*1.25-AT75</f>
        <v>5.4663352833924</v>
      </c>
      <c r="AW75" s="168" t="n">
        <f aca="false">IF(L75&lt;15,(15*L75+375)/100,(-4.71*L75+670.65)/100)*0.5</f>
        <v>2.3406</v>
      </c>
      <c r="AX75" s="166" t="n">
        <f aca="false">0.75*AW75-AW75</f>
        <v>-0.58515</v>
      </c>
      <c r="AY75" s="166" t="n">
        <f aca="false">AW75/0.5*1.25-AW75</f>
        <v>3.5109</v>
      </c>
      <c r="AZ75" s="167" t="n">
        <v>0.5</v>
      </c>
      <c r="BA75" s="74"/>
      <c r="BB75" s="192" t="s">
        <v>77</v>
      </c>
      <c r="BC75" s="140" t="s">
        <v>89</v>
      </c>
      <c r="BD75" s="140" t="s">
        <v>82</v>
      </c>
      <c r="BE75" s="140" t="s">
        <v>83</v>
      </c>
      <c r="BF75" s="140" t="s">
        <v>89</v>
      </c>
      <c r="BG75" s="140" t="s">
        <v>82</v>
      </c>
      <c r="BH75" s="140" t="s">
        <v>83</v>
      </c>
      <c r="BI75" s="171" t="s">
        <v>89</v>
      </c>
      <c r="BJ75" s="171" t="s">
        <v>82</v>
      </c>
      <c r="BK75" s="171" t="s">
        <v>83</v>
      </c>
      <c r="BL75" s="171" t="s">
        <v>89</v>
      </c>
      <c r="BM75" s="171" t="s">
        <v>82</v>
      </c>
      <c r="BN75" s="171" t="s">
        <v>83</v>
      </c>
      <c r="BQ75" s="108" t="n">
        <v>36907.7428240741</v>
      </c>
      <c r="BR75" s="109" t="n">
        <v>36907.743287037</v>
      </c>
      <c r="BS75" s="110" t="n">
        <v>38108</v>
      </c>
      <c r="BT75" s="111" t="n">
        <v>143763.671875</v>
      </c>
      <c r="BU75" s="112" t="n">
        <v>111416.84375</v>
      </c>
      <c r="BV75" s="112" t="n">
        <v>35940.91796875</v>
      </c>
      <c r="BW75" s="112" t="n">
        <v>43129.1015625</v>
      </c>
      <c r="BX75" s="113" t="n">
        <v>0</v>
      </c>
      <c r="BZ75" s="110" t="n">
        <v>38169</v>
      </c>
      <c r="CA75" s="185" t="n">
        <v>58</v>
      </c>
      <c r="CB75" s="116" t="n">
        <v>43</v>
      </c>
      <c r="CC75" s="181" t="n">
        <v>43</v>
      </c>
      <c r="CD75" s="181" t="n">
        <v>39</v>
      </c>
      <c r="CE75" s="117" t="n">
        <v>1</v>
      </c>
      <c r="CG75" s="135" t="n">
        <f aca="false">BB11</f>
        <v>2002</v>
      </c>
      <c r="CH75" s="137" t="n">
        <v>0</v>
      </c>
      <c r="CI75" s="137" t="n">
        <v>0</v>
      </c>
      <c r="CJ75" s="137" t="n">
        <v>0</v>
      </c>
      <c r="CK75" s="137" t="n">
        <v>0</v>
      </c>
      <c r="CL75" s="137" t="n">
        <v>0</v>
      </c>
      <c r="CM75" s="137" t="n">
        <v>0</v>
      </c>
      <c r="CN75" s="137" t="n">
        <v>0</v>
      </c>
      <c r="CO75" s="137" t="n">
        <v>0</v>
      </c>
      <c r="CP75" s="137" t="n">
        <v>0</v>
      </c>
      <c r="CQ75" s="137" t="n">
        <v>0</v>
      </c>
      <c r="CR75" s="137" t="n">
        <v>0</v>
      </c>
      <c r="CS75" s="138" t="n">
        <v>-27</v>
      </c>
      <c r="CU75" s="135" t="n">
        <f aca="false">BB11</f>
        <v>2002</v>
      </c>
      <c r="CV75" s="136" t="n">
        <v>-5</v>
      </c>
      <c r="CW75" s="137" t="n">
        <v>-5</v>
      </c>
      <c r="CX75" s="137" t="n">
        <v>-5</v>
      </c>
      <c r="CY75" s="137" t="n">
        <v>-5</v>
      </c>
      <c r="CZ75" s="137" t="n">
        <f aca="false">-DA755-5</f>
        <v>-5</v>
      </c>
      <c r="DA75" s="137" t="n">
        <v>-5</v>
      </c>
      <c r="DB75" s="137" t="n">
        <v>-5</v>
      </c>
      <c r="DC75" s="137" t="n">
        <v>-5</v>
      </c>
      <c r="DD75" s="137" t="n">
        <v>-5</v>
      </c>
      <c r="DE75" s="137" t="n">
        <v>-5</v>
      </c>
      <c r="DF75" s="137" t="n">
        <v>-5</v>
      </c>
      <c r="DG75" s="138" t="n">
        <v>-5</v>
      </c>
      <c r="DI75" s="202" t="n">
        <f aca="false">BB11</f>
        <v>2002</v>
      </c>
      <c r="DJ75" s="137" t="n">
        <f aca="false">DJ52</f>
        <v>15</v>
      </c>
      <c r="DK75" s="137" t="n">
        <f aca="false">DK52</f>
        <v>15</v>
      </c>
      <c r="DL75" s="137" t="n">
        <f aca="false">DL52</f>
        <v>15</v>
      </c>
      <c r="DM75" s="137" t="n">
        <f aca="false">DM52</f>
        <v>15</v>
      </c>
      <c r="DN75" s="137" t="n">
        <f aca="false">DN52</f>
        <v>15</v>
      </c>
      <c r="DO75" s="137" t="n">
        <f aca="false">DO52</f>
        <v>15</v>
      </c>
      <c r="DP75" s="137" t="n">
        <f aca="false">DP52</f>
        <v>15</v>
      </c>
      <c r="DQ75" s="137" t="n">
        <f aca="false">DQ52</f>
        <v>15</v>
      </c>
      <c r="DR75" s="137" t="n">
        <f aca="false">DR52</f>
        <v>15</v>
      </c>
      <c r="DS75" s="137" t="n">
        <f aca="false">DS52</f>
        <v>15</v>
      </c>
      <c r="DT75" s="137" t="n">
        <f aca="false">DT52</f>
        <v>15</v>
      </c>
      <c r="DU75" s="137" t="n">
        <f aca="false">DU52</f>
        <v>15</v>
      </c>
    </row>
    <row r="76" customFormat="false" ht="12.75" hidden="false" customHeight="false" outlineLevel="0" collapsed="false">
      <c r="A76" s="0" t="n">
        <f aca="true">IF(ISERROR(MATCH(D76,iRefDt,0)),"",MATCH(D76,iRefDt,0))</f>
        <v>76</v>
      </c>
      <c r="B76" s="92" t="n">
        <f aca="false">MATCH(YEAR(D76),iSpreads)</f>
        <v>4</v>
      </c>
      <c r="C76" s="0" t="n">
        <f aca="false">MONTH(D76)</f>
        <v>8</v>
      </c>
      <c r="D76" s="93" t="n">
        <f aca="false">DATE(YEAR(D75),MONTH(D75)+1,1)</f>
        <v>38200</v>
      </c>
      <c r="E76" s="94" t="n">
        <f aca="false">VLOOKUP($D76,tblPriorPrice,2)</f>
        <v>83</v>
      </c>
      <c r="F76" s="190" t="n">
        <f aca="false">G76-E76</f>
        <v>0</v>
      </c>
      <c r="G76" s="190" t="n">
        <f aca="true">G64+OFFSET($CG$4,$B76,$C76)</f>
        <v>83</v>
      </c>
      <c r="H76" s="96" t="n">
        <f aca="true">G76+OFFSET($CU$4,$B76,$C76)</f>
        <v>78</v>
      </c>
      <c r="I76" s="96" t="n">
        <f aca="true">G76+OFFSET($DI$4,$B76,$C76)</f>
        <v>98</v>
      </c>
      <c r="J76" s="94" t="n">
        <f aca="false">VLOOKUP($D76,tblPriorPrice,3)</f>
        <v>45</v>
      </c>
      <c r="K76" s="190" t="n">
        <f aca="false">L76-J76</f>
        <v>0</v>
      </c>
      <c r="L76" s="190" t="n">
        <f aca="true">L64+OFFSET($CG$27,$B76,$C76)</f>
        <v>45</v>
      </c>
      <c r="M76" s="96" t="n">
        <f aca="true">$L76+OFFSET($CU$27,$B76,$C76)</f>
        <v>40</v>
      </c>
      <c r="N76" s="97" t="n">
        <f aca="true">$L76+OFFSET($DI$27,$B76,$C76)</f>
        <v>50</v>
      </c>
      <c r="O76" s="59" t="n">
        <f aca="true">IF($A76="",0,INDEX(tblPosn,$A76,2))</f>
        <v>155584.5625</v>
      </c>
      <c r="P76" s="59" t="n">
        <f aca="true">IF($A76="",0,INDEX(tblPosn,$A76,3))</f>
        <v>109616.3984375</v>
      </c>
      <c r="Q76" s="59" t="n">
        <f aca="true">IF($A76="",0,INDEX(tblPosn,$A76,4))</f>
        <v>28288.103515625</v>
      </c>
      <c r="R76" s="59" t="n">
        <f aca="true">IF($A76="",0,INDEX(tblPosn,$A76,5))</f>
        <v>35360.12890625</v>
      </c>
      <c r="S76" s="59" t="n">
        <f aca="true">IF($A76="",0,INDEX(tblPosn,$A76,6))</f>
        <v>0</v>
      </c>
      <c r="T76" s="98" t="n">
        <f aca="false">O76*F76+P76*K76+R76*AC76+S76*AH76/0.72+Q76*X76</f>
        <v>0</v>
      </c>
      <c r="V76" s="161" t="n">
        <f aca="false">D76</f>
        <v>38200</v>
      </c>
      <c r="W76" s="94" t="n">
        <f aca="false">VLOOKUP($D76,tblPriorPrice,4)</f>
        <v>57</v>
      </c>
      <c r="X76" s="95" t="n">
        <f aca="false">Y76-W76</f>
        <v>0</v>
      </c>
      <c r="Y76" s="191" t="n">
        <f aca="true">Y64+OFFSET($CG$50,$B76,$C76)</f>
        <v>57</v>
      </c>
      <c r="Z76" s="96" t="n">
        <f aca="true">Y76+OFFSET($CU$51,$B76,$C76)</f>
        <v>52</v>
      </c>
      <c r="AA76" s="177" t="n">
        <f aca="true">Y76+OFFSET($DI$51,$B76,$C76)</f>
        <v>72</v>
      </c>
      <c r="AB76" s="94" t="n">
        <f aca="false">VLOOKUP($D76,tblPriorPrice,5)</f>
        <v>51</v>
      </c>
      <c r="AC76" s="190" t="n">
        <f aca="false">AD76-AB76</f>
        <v>0</v>
      </c>
      <c r="AD76" s="191" t="n">
        <f aca="true">AD64+OFFSET($CG$73,$B76,$C76)</f>
        <v>51</v>
      </c>
      <c r="AE76" s="96" t="n">
        <f aca="true">AD76+OFFSET($CU$74,$B76,$C76)</f>
        <v>46</v>
      </c>
      <c r="AF76" s="177" t="n">
        <f aca="true">AD76+OFFSET($DI$74,$B76,$C76)</f>
        <v>66</v>
      </c>
      <c r="AG76" s="94" t="n">
        <f aca="false">VLOOKUP($D76,tblPriorPrice,6)</f>
        <v>1</v>
      </c>
      <c r="AH76" s="190" t="n">
        <f aca="false">AI76-AG76</f>
        <v>0</v>
      </c>
      <c r="AI76" s="191" t="n">
        <f aca="true">AI64+OFFSET($CG$96,$B76,$C76)</f>
        <v>1</v>
      </c>
      <c r="AJ76" s="96" t="n">
        <f aca="true">AI76+OFFSET($CU$96,$B76,$C76)</f>
        <v>1</v>
      </c>
      <c r="AK76" s="97" t="n">
        <f aca="true">AI76+OFFSET($DI$96,$B76,$C76)</f>
        <v>1</v>
      </c>
      <c r="AL76" s="178" t="n">
        <v>15</v>
      </c>
      <c r="AM76" s="165" t="n">
        <v>0.4</v>
      </c>
      <c r="AN76" s="167" t="n">
        <f aca="false">'[3]Pricing Summary'!$AM54</f>
        <v>0.2775</v>
      </c>
      <c r="AO76" s="167" t="n">
        <f aca="false">0.9*AN76</f>
        <v>0.24975</v>
      </c>
      <c r="AP76" s="166" t="n">
        <f aca="false">1.5*AN76</f>
        <v>0.41625</v>
      </c>
      <c r="AQ76" s="167" t="n">
        <f aca="false">AN76</f>
        <v>0.2775</v>
      </c>
      <c r="AR76" s="166" t="n">
        <f aca="false">0.8*AQ76</f>
        <v>0.222</v>
      </c>
      <c r="AS76" s="166" t="n">
        <f aca="false">1.2*AQ76</f>
        <v>0.333</v>
      </c>
      <c r="AT76" s="169" t="n">
        <f aca="false">IF(G76&lt;110,17.94063*(LN(G76/100))+6.727568*(LN(G76/100)^2)+15.06494,(-4.1*G76+2135)/100)*0.5</f>
        <v>5.97782123675259</v>
      </c>
      <c r="AU76" s="169" t="n">
        <f aca="false">(0.75*AT76-AT76)</f>
        <v>-1.49445530918815</v>
      </c>
      <c r="AV76" s="166" t="n">
        <f aca="false">AT76/0.5*1.25-AT76</f>
        <v>8.96673185512888</v>
      </c>
      <c r="AW76" s="168" t="n">
        <f aca="false">IF(L76&lt;15,(15*L76+375)/100,(-4.71*L76+670.65)/100)*0.5</f>
        <v>2.2935</v>
      </c>
      <c r="AX76" s="166" t="n">
        <f aca="false">0.75*AW76-AW76</f>
        <v>-0.573375</v>
      </c>
      <c r="AY76" s="166" t="n">
        <f aca="false">AW76/0.5*1.25-AW76</f>
        <v>3.44025</v>
      </c>
      <c r="AZ76" s="167" t="n">
        <v>0.5</v>
      </c>
      <c r="BA76" s="74"/>
      <c r="BB76" s="203" t="n">
        <v>1</v>
      </c>
      <c r="BC76" s="204"/>
      <c r="BD76" s="205"/>
      <c r="BE76" s="206"/>
      <c r="BF76" s="207"/>
      <c r="BG76" s="205"/>
      <c r="BH76" s="206"/>
      <c r="BI76" s="204"/>
      <c r="BJ76" s="205"/>
      <c r="BK76" s="206"/>
      <c r="BL76" s="207"/>
      <c r="BM76" s="205"/>
      <c r="BN76" s="206"/>
      <c r="BQ76" s="108" t="n">
        <v>36907.7428240741</v>
      </c>
      <c r="BR76" s="109" t="n">
        <v>36907.743287037</v>
      </c>
      <c r="BS76" s="110" t="n">
        <v>38139</v>
      </c>
      <c r="BT76" s="111" t="n">
        <v>157110.125</v>
      </c>
      <c r="BU76" s="112" t="n">
        <v>107120.5390625</v>
      </c>
      <c r="BV76" s="112" t="n">
        <v>28565.478515625</v>
      </c>
      <c r="BW76" s="112" t="n">
        <v>28565.478515625</v>
      </c>
      <c r="BX76" s="113" t="n">
        <v>0</v>
      </c>
      <c r="BZ76" s="110" t="n">
        <v>38200</v>
      </c>
      <c r="CA76" s="185" t="n">
        <v>83</v>
      </c>
      <c r="CB76" s="116" t="n">
        <v>45</v>
      </c>
      <c r="CC76" s="181" t="n">
        <v>57</v>
      </c>
      <c r="CD76" s="181" t="n">
        <v>51</v>
      </c>
      <c r="CE76" s="117" t="n">
        <v>1</v>
      </c>
      <c r="CG76" s="135" t="n">
        <f aca="false">BB12</f>
        <v>2003</v>
      </c>
      <c r="CH76" s="137" t="n">
        <v>-34</v>
      </c>
      <c r="CI76" s="137" t="n">
        <v>-39</v>
      </c>
      <c r="CJ76" s="137" t="n">
        <v>-21</v>
      </c>
      <c r="CK76" s="137" t="n">
        <v>-9</v>
      </c>
      <c r="CL76" s="137" t="n">
        <v>-9</v>
      </c>
      <c r="CM76" s="137" t="n">
        <v>-8</v>
      </c>
      <c r="CN76" s="137" t="n">
        <v>-21</v>
      </c>
      <c r="CO76" s="137" t="n">
        <v>-24</v>
      </c>
      <c r="CP76" s="137" t="n">
        <v>-10</v>
      </c>
      <c r="CQ76" s="137" t="n">
        <v>-10</v>
      </c>
      <c r="CR76" s="137" t="n">
        <v>-13</v>
      </c>
      <c r="CS76" s="138" t="n">
        <v>-18</v>
      </c>
      <c r="CU76" s="135" t="n">
        <f aca="false">BB12</f>
        <v>2003</v>
      </c>
      <c r="CV76" s="136" t="n">
        <v>-5</v>
      </c>
      <c r="CW76" s="137" t="n">
        <v>-5</v>
      </c>
      <c r="CX76" s="137" t="n">
        <v>-5</v>
      </c>
      <c r="CY76" s="137" t="n">
        <v>-5</v>
      </c>
      <c r="CZ76" s="137" t="n">
        <v>-5</v>
      </c>
      <c r="DA76" s="137" t="n">
        <v>-5</v>
      </c>
      <c r="DB76" s="137" t="n">
        <v>-5</v>
      </c>
      <c r="DC76" s="137" t="n">
        <v>-5</v>
      </c>
      <c r="DD76" s="137" t="n">
        <v>-5</v>
      </c>
      <c r="DE76" s="137" t="n">
        <v>-5</v>
      </c>
      <c r="DF76" s="137" t="n">
        <v>-5</v>
      </c>
      <c r="DG76" s="138" t="n">
        <v>-5</v>
      </c>
      <c r="DI76" s="202" t="n">
        <f aca="false">BB12</f>
        <v>2003</v>
      </c>
      <c r="DJ76" s="137" t="n">
        <f aca="false">DJ53</f>
        <v>15</v>
      </c>
      <c r="DK76" s="137" t="n">
        <f aca="false">DK53</f>
        <v>15</v>
      </c>
      <c r="DL76" s="137" t="n">
        <f aca="false">DL53</f>
        <v>15</v>
      </c>
      <c r="DM76" s="137" t="n">
        <f aca="false">DM53</f>
        <v>15</v>
      </c>
      <c r="DN76" s="137" t="n">
        <f aca="false">DN53</f>
        <v>15</v>
      </c>
      <c r="DO76" s="137" t="n">
        <f aca="false">DO53</f>
        <v>15</v>
      </c>
      <c r="DP76" s="137" t="n">
        <f aca="false">DP53</f>
        <v>15</v>
      </c>
      <c r="DQ76" s="137" t="n">
        <f aca="false">DQ53</f>
        <v>15</v>
      </c>
      <c r="DR76" s="137" t="n">
        <f aca="false">DR53</f>
        <v>15</v>
      </c>
      <c r="DS76" s="137" t="n">
        <f aca="false">DS53</f>
        <v>15</v>
      </c>
      <c r="DT76" s="137" t="n">
        <f aca="false">DT53</f>
        <v>15</v>
      </c>
      <c r="DU76" s="137" t="n">
        <f aca="false">DU53</f>
        <v>15</v>
      </c>
    </row>
    <row r="77" customFormat="false" ht="12.75" hidden="false" customHeight="false" outlineLevel="0" collapsed="false">
      <c r="A77" s="0" t="n">
        <f aca="true">IF(ISERROR(MATCH(D77,iRefDt,0)),"",MATCH(D77,iRefDt,0))</f>
        <v>77</v>
      </c>
      <c r="B77" s="92" t="n">
        <f aca="false">MATCH(YEAR(D77),iSpreads)</f>
        <v>4</v>
      </c>
      <c r="C77" s="0" t="n">
        <f aca="false">MONTH(D77)</f>
        <v>9</v>
      </c>
      <c r="D77" s="93" t="n">
        <f aca="false">DATE(YEAR(D76),MONTH(D76)+1,1)</f>
        <v>38231</v>
      </c>
      <c r="E77" s="94" t="n">
        <f aca="false">VLOOKUP($D77,tblPriorPrice,2)</f>
        <v>63</v>
      </c>
      <c r="F77" s="190" t="n">
        <f aca="false">G77-E77</f>
        <v>0</v>
      </c>
      <c r="G77" s="190" t="n">
        <f aca="true">G65+OFFSET($CG$4,$B77,$C77)</f>
        <v>63</v>
      </c>
      <c r="H77" s="96" t="n">
        <f aca="true">G77+OFFSET($CU$4,$B77,$C77)</f>
        <v>58</v>
      </c>
      <c r="I77" s="96" t="n">
        <f aca="true">G77+OFFSET($DI$4,$B77,$C77)</f>
        <v>78</v>
      </c>
      <c r="J77" s="94" t="n">
        <f aca="false">VLOOKUP($D77,tblPriorPrice,3)</f>
        <v>39</v>
      </c>
      <c r="K77" s="190" t="n">
        <f aca="false">L77-J77</f>
        <v>0</v>
      </c>
      <c r="L77" s="190" t="n">
        <f aca="true">L65+OFFSET($CG$27,$B77,$C77)</f>
        <v>39</v>
      </c>
      <c r="M77" s="96" t="n">
        <f aca="true">$L77+OFFSET($CU$27,$B77,$C77)</f>
        <v>34</v>
      </c>
      <c r="N77" s="97" t="n">
        <f aca="true">$L77+OFFSET($DI$27,$B77,$C77)</f>
        <v>44</v>
      </c>
      <c r="O77" s="59" t="n">
        <f aca="true">IF($A77="",0,INDEX(tblPosn,$A77,2))</f>
        <v>147806.296875</v>
      </c>
      <c r="P77" s="59" t="n">
        <f aca="true">IF($A77="",0,INDEX(tblPosn,$A77,3))</f>
        <v>105575.9375</v>
      </c>
      <c r="Q77" s="59" t="n">
        <f aca="true">IF($A77="",0,INDEX(tblPosn,$A77,4))</f>
        <v>28153.58203125</v>
      </c>
      <c r="R77" s="59" t="n">
        <f aca="true">IF($A77="",0,INDEX(tblPosn,$A77,5))</f>
        <v>35191.9765625</v>
      </c>
      <c r="S77" s="59" t="n">
        <f aca="true">IF($A77="",0,INDEX(tblPosn,$A77,6))</f>
        <v>0</v>
      </c>
      <c r="T77" s="98" t="n">
        <f aca="false">O77*F77+P77*K77+R77*AC77+S77*AH77/0.72+Q77*X77</f>
        <v>0</v>
      </c>
      <c r="V77" s="161" t="n">
        <f aca="false">D77</f>
        <v>38231</v>
      </c>
      <c r="W77" s="94" t="n">
        <f aca="false">VLOOKUP($D77,tblPriorPrice,4)</f>
        <v>36</v>
      </c>
      <c r="X77" s="95" t="n">
        <f aca="false">Y77-W77</f>
        <v>0</v>
      </c>
      <c r="Y77" s="191" t="n">
        <f aca="true">Y65+OFFSET($CG$50,$B77,$C77)</f>
        <v>36</v>
      </c>
      <c r="Z77" s="96" t="n">
        <f aca="true">Y77+OFFSET($CU$51,$B77,$C77)</f>
        <v>31</v>
      </c>
      <c r="AA77" s="177" t="n">
        <f aca="true">Y77+OFFSET($DI$51,$B77,$C77)</f>
        <v>51</v>
      </c>
      <c r="AB77" s="94" t="n">
        <f aca="false">VLOOKUP($D77,tblPriorPrice,5)</f>
        <v>35</v>
      </c>
      <c r="AC77" s="190" t="n">
        <f aca="false">AD77-AB77</f>
        <v>0</v>
      </c>
      <c r="AD77" s="191" t="n">
        <f aca="true">AD65+OFFSET($CG$73,$B77,$C77)</f>
        <v>35</v>
      </c>
      <c r="AE77" s="96" t="n">
        <f aca="true">AD77+OFFSET($CU$74,$B77,$C77)</f>
        <v>30</v>
      </c>
      <c r="AF77" s="177" t="n">
        <f aca="true">AD77+OFFSET($DI$74,$B77,$C77)</f>
        <v>50</v>
      </c>
      <c r="AG77" s="94" t="n">
        <f aca="false">VLOOKUP($D77,tblPriorPrice,6)</f>
        <v>1</v>
      </c>
      <c r="AH77" s="190" t="n">
        <f aca="false">AI77-AG77</f>
        <v>0</v>
      </c>
      <c r="AI77" s="191" t="n">
        <f aca="true">AI65+OFFSET($CG$96,$B77,$C77)</f>
        <v>1</v>
      </c>
      <c r="AJ77" s="96" t="n">
        <f aca="true">AI77+OFFSET($CU$96,$B77,$C77)</f>
        <v>1</v>
      </c>
      <c r="AK77" s="97" t="n">
        <f aca="true">AI77+OFFSET($DI$96,$B77,$C77)</f>
        <v>1</v>
      </c>
      <c r="AL77" s="178" t="n">
        <v>16</v>
      </c>
      <c r="AM77" s="165" t="n">
        <v>0.4</v>
      </c>
      <c r="AN77" s="167" t="n">
        <f aca="false">'[3]Pricing Summary'!$AM55</f>
        <v>0.28</v>
      </c>
      <c r="AO77" s="167" t="n">
        <f aca="false">0.9*AN77</f>
        <v>0.252</v>
      </c>
      <c r="AP77" s="166" t="n">
        <f aca="false">1.5*AN77</f>
        <v>0.42</v>
      </c>
      <c r="AQ77" s="167" t="n">
        <f aca="false">AN77</f>
        <v>0.28</v>
      </c>
      <c r="AR77" s="166" t="n">
        <f aca="false">0.8*AQ77</f>
        <v>0.224</v>
      </c>
      <c r="AS77" s="166" t="n">
        <f aca="false">1.2*AQ77</f>
        <v>0.336</v>
      </c>
      <c r="AT77" s="169" t="n">
        <f aca="false">IF(G77&lt;110,17.94063*(LN(G77/100))+6.727568*(LN(G77/100)^2)+15.06494,(-4.1*G77+2135)/100)*0.5</f>
        <v>4.10595611583802</v>
      </c>
      <c r="AU77" s="169" t="n">
        <f aca="false">(0.75*AT77-AT77)</f>
        <v>-1.02648902895951</v>
      </c>
      <c r="AV77" s="166" t="n">
        <f aca="false">AT77/0.5*1.25-AT77</f>
        <v>6.15893417375703</v>
      </c>
      <c r="AW77" s="168" t="n">
        <f aca="false">IF(L77&lt;15,(15*L77+375)/100,(-4.71*L77+670.65)/100)*0.5</f>
        <v>2.4348</v>
      </c>
      <c r="AX77" s="166" t="n">
        <f aca="false">0.75*AW77-AW77</f>
        <v>-0.6087</v>
      </c>
      <c r="AY77" s="166" t="n">
        <f aca="false">AW77/0.5*1.25-AW77</f>
        <v>3.6522</v>
      </c>
      <c r="AZ77" s="167" t="n">
        <v>0.5</v>
      </c>
      <c r="BA77" s="74"/>
      <c r="BB77" s="208" t="n">
        <v>2</v>
      </c>
      <c r="BC77" s="209"/>
      <c r="BD77" s="210"/>
      <c r="BE77" s="211"/>
      <c r="BF77" s="212"/>
      <c r="BG77" s="210"/>
      <c r="BH77" s="211"/>
      <c r="BI77" s="209"/>
      <c r="BJ77" s="210"/>
      <c r="BK77" s="211"/>
      <c r="BL77" s="212"/>
      <c r="BM77" s="210"/>
      <c r="BN77" s="211"/>
      <c r="BQ77" s="108" t="n">
        <v>36907.7428240741</v>
      </c>
      <c r="BR77" s="109" t="n">
        <v>36907.743287037</v>
      </c>
      <c r="BS77" s="110" t="n">
        <v>38169</v>
      </c>
      <c r="BT77" s="111" t="n">
        <v>149233.828125</v>
      </c>
      <c r="BU77" s="112" t="n">
        <v>110148.7890625</v>
      </c>
      <c r="BV77" s="112" t="n">
        <v>35531.8671875</v>
      </c>
      <c r="BW77" s="112" t="n">
        <v>35531.8671875</v>
      </c>
      <c r="BX77" s="113" t="n">
        <v>0</v>
      </c>
      <c r="BZ77" s="110" t="n">
        <v>38231</v>
      </c>
      <c r="CA77" s="185" t="n">
        <v>63</v>
      </c>
      <c r="CB77" s="116" t="n">
        <v>39</v>
      </c>
      <c r="CC77" s="181" t="n">
        <v>36</v>
      </c>
      <c r="CD77" s="181" t="n">
        <v>35</v>
      </c>
      <c r="CE77" s="117" t="n">
        <v>1</v>
      </c>
      <c r="CG77" s="135" t="n">
        <f aca="false">BB13</f>
        <v>2004</v>
      </c>
      <c r="CH77" s="137" t="n">
        <v>-26</v>
      </c>
      <c r="CI77" s="137" t="n">
        <v>-16</v>
      </c>
      <c r="CJ77" s="137" t="n">
        <v>-17</v>
      </c>
      <c r="CK77" s="137" t="n">
        <v>-6</v>
      </c>
      <c r="CL77" s="137" t="n">
        <v>-6</v>
      </c>
      <c r="CM77" s="137" t="n">
        <v>-6</v>
      </c>
      <c r="CN77" s="137" t="n">
        <v>-11</v>
      </c>
      <c r="CO77" s="137" t="n">
        <v>-19</v>
      </c>
      <c r="CP77" s="137" t="n">
        <v>-25</v>
      </c>
      <c r="CQ77" s="137" t="n">
        <v>-6</v>
      </c>
      <c r="CR77" s="137" t="n">
        <v>-10</v>
      </c>
      <c r="CS77" s="138" t="n">
        <v>-21</v>
      </c>
      <c r="CU77" s="135" t="n">
        <f aca="false">BB13</f>
        <v>2004</v>
      </c>
      <c r="CV77" s="136" t="n">
        <v>-5</v>
      </c>
      <c r="CW77" s="137" t="n">
        <v>-5</v>
      </c>
      <c r="CX77" s="137" t="n">
        <v>-5</v>
      </c>
      <c r="CY77" s="137" t="n">
        <v>-5</v>
      </c>
      <c r="CZ77" s="137" t="n">
        <v>-5</v>
      </c>
      <c r="DA77" s="137" t="n">
        <v>-5</v>
      </c>
      <c r="DB77" s="137" t="n">
        <v>-5</v>
      </c>
      <c r="DC77" s="137" t="n">
        <v>-5</v>
      </c>
      <c r="DD77" s="137" t="n">
        <v>-5</v>
      </c>
      <c r="DE77" s="137" t="n">
        <v>-5</v>
      </c>
      <c r="DF77" s="137" t="n">
        <v>-5</v>
      </c>
      <c r="DG77" s="138" t="n">
        <v>-5</v>
      </c>
      <c r="DI77" s="202" t="n">
        <f aca="false">BB13</f>
        <v>2004</v>
      </c>
      <c r="DJ77" s="137" t="n">
        <f aca="false">DJ54</f>
        <v>15</v>
      </c>
      <c r="DK77" s="137" t="n">
        <f aca="false">DK54</f>
        <v>15</v>
      </c>
      <c r="DL77" s="137" t="n">
        <f aca="false">DL54</f>
        <v>15</v>
      </c>
      <c r="DM77" s="137" t="n">
        <f aca="false">DM54</f>
        <v>15</v>
      </c>
      <c r="DN77" s="137" t="n">
        <f aca="false">DN54</f>
        <v>15</v>
      </c>
      <c r="DO77" s="137" t="n">
        <f aca="false">DO54</f>
        <v>15</v>
      </c>
      <c r="DP77" s="137" t="n">
        <f aca="false">DP54</f>
        <v>15</v>
      </c>
      <c r="DQ77" s="137" t="n">
        <f aca="false">DQ54</f>
        <v>15</v>
      </c>
      <c r="DR77" s="137" t="n">
        <f aca="false">DR54</f>
        <v>15</v>
      </c>
      <c r="DS77" s="137" t="n">
        <f aca="false">DS54</f>
        <v>15</v>
      </c>
      <c r="DT77" s="137" t="n">
        <f aca="false">DT54</f>
        <v>15</v>
      </c>
      <c r="DU77" s="137" t="n">
        <f aca="false">DU54</f>
        <v>15</v>
      </c>
    </row>
    <row r="78" customFormat="false" ht="12.75" hidden="false" customHeight="false" outlineLevel="0" collapsed="false">
      <c r="A78" s="0" t="n">
        <f aca="true">IF(ISERROR(MATCH(D78,iRefDt,0)),"",MATCH(D78,iRefDt,0))</f>
        <v>78</v>
      </c>
      <c r="B78" s="92" t="n">
        <f aca="false">MATCH(YEAR(D78),iSpreads)</f>
        <v>4</v>
      </c>
      <c r="C78" s="0" t="n">
        <f aca="false">MONTH(D78)</f>
        <v>10</v>
      </c>
      <c r="D78" s="93" t="n">
        <f aca="false">DATE(YEAR(D77),MONTH(D77)+1,1)</f>
        <v>38261</v>
      </c>
      <c r="E78" s="94" t="n">
        <f aca="false">VLOOKUP($D78,tblPriorPrice,2)</f>
        <v>42</v>
      </c>
      <c r="F78" s="190" t="n">
        <f aca="false">G78-E78</f>
        <v>0</v>
      </c>
      <c r="G78" s="190" t="n">
        <f aca="true">G66+OFFSET($CG$4,$B78,$C78)</f>
        <v>42</v>
      </c>
      <c r="H78" s="96" t="n">
        <f aca="true">G78+OFFSET($CU$4,$B78,$C78)</f>
        <v>37</v>
      </c>
      <c r="I78" s="96" t="n">
        <f aca="true">G78+OFFSET($DI$4,$B78,$C78)</f>
        <v>57</v>
      </c>
      <c r="J78" s="94" t="n">
        <f aca="false">VLOOKUP($D78,tblPriorPrice,3)</f>
        <v>41</v>
      </c>
      <c r="K78" s="190" t="n">
        <f aca="false">L78-J78</f>
        <v>0</v>
      </c>
      <c r="L78" s="190" t="n">
        <f aca="true">L66+OFFSET($CG$27,$B78,$C78)</f>
        <v>41</v>
      </c>
      <c r="M78" s="96" t="n">
        <f aca="true">$L78+OFFSET($CU$27,$B78,$C78)</f>
        <v>36</v>
      </c>
      <c r="N78" s="97" t="n">
        <f aca="true">$L78+OFFSET($DI$27,$B78,$C78)</f>
        <v>46</v>
      </c>
      <c r="O78" s="59" t="n">
        <f aca="true">IF($A78="",0,INDEX(tblPosn,$A78,2))</f>
        <v>147074.578125</v>
      </c>
      <c r="P78" s="59" t="n">
        <f aca="true">IF($A78="",0,INDEX(tblPosn,$A78,3))</f>
        <v>108992.7578125</v>
      </c>
      <c r="Q78" s="59" t="n">
        <f aca="true">IF($A78="",0,INDEX(tblPosn,$A78,4))</f>
        <v>35017.7578125</v>
      </c>
      <c r="R78" s="59" t="n">
        <f aca="true">IF($A78="",0,INDEX(tblPosn,$A78,5))</f>
        <v>35017.7578125</v>
      </c>
      <c r="S78" s="59" t="n">
        <f aca="true">IF($A78="",0,INDEX(tblPosn,$A78,6))</f>
        <v>0</v>
      </c>
      <c r="T78" s="98" t="n">
        <f aca="false">O78*F78+P78*K78+R78*AC78+S78*AH78/0.72+Q78*X78</f>
        <v>0</v>
      </c>
      <c r="V78" s="161" t="n">
        <f aca="false">D78</f>
        <v>38261</v>
      </c>
      <c r="W78" s="94" t="n">
        <f aca="false">VLOOKUP($D78,tblPriorPrice,4)</f>
        <v>37</v>
      </c>
      <c r="X78" s="95" t="n">
        <f aca="false">Y78-W78</f>
        <v>0</v>
      </c>
      <c r="Y78" s="191" t="n">
        <f aca="true">Y66+OFFSET($CG$50,$B78,$C78)</f>
        <v>37</v>
      </c>
      <c r="Z78" s="96" t="n">
        <f aca="true">Y78+OFFSET($CU$51,$B78,$C78)</f>
        <v>32</v>
      </c>
      <c r="AA78" s="177" t="n">
        <f aca="true">Y78+OFFSET($DI$51,$B78,$C78)</f>
        <v>52</v>
      </c>
      <c r="AB78" s="94" t="n">
        <f aca="false">VLOOKUP($D78,tblPriorPrice,5)</f>
        <v>37</v>
      </c>
      <c r="AC78" s="190" t="n">
        <f aca="false">AD78-AB78</f>
        <v>0</v>
      </c>
      <c r="AD78" s="191" t="n">
        <f aca="true">AD66+OFFSET($CG$73,$B78,$C78)</f>
        <v>37</v>
      </c>
      <c r="AE78" s="96" t="n">
        <f aca="true">AD78+OFFSET($CU$74,$B78,$C78)</f>
        <v>32</v>
      </c>
      <c r="AF78" s="177" t="n">
        <f aca="true">AD78+OFFSET($DI$74,$B78,$C78)</f>
        <v>52</v>
      </c>
      <c r="AG78" s="94" t="n">
        <f aca="false">VLOOKUP($D78,tblPriorPrice,6)</f>
        <v>1</v>
      </c>
      <c r="AH78" s="190" t="n">
        <f aca="false">AI78-AG78</f>
        <v>0</v>
      </c>
      <c r="AI78" s="191" t="n">
        <f aca="true">AI66+OFFSET($CG$96,$B78,$C78)</f>
        <v>1</v>
      </c>
      <c r="AJ78" s="96" t="n">
        <f aca="true">AI78+OFFSET($CU$96,$B78,$C78)</f>
        <v>1</v>
      </c>
      <c r="AK78" s="97" t="n">
        <f aca="true">AI78+OFFSET($DI$96,$B78,$C78)</f>
        <v>1</v>
      </c>
      <c r="AL78" s="178" t="n">
        <v>16</v>
      </c>
      <c r="AM78" s="165" t="n">
        <v>0.4</v>
      </c>
      <c r="AN78" s="167" t="n">
        <f aca="false">'[3]Pricing Summary'!$AM56</f>
        <v>0.28</v>
      </c>
      <c r="AO78" s="167" t="n">
        <f aca="false">0.9*AN78</f>
        <v>0.252</v>
      </c>
      <c r="AP78" s="166" t="n">
        <f aca="false">1.5*AN78</f>
        <v>0.42</v>
      </c>
      <c r="AQ78" s="167" t="n">
        <f aca="false">AN78</f>
        <v>0.28</v>
      </c>
      <c r="AR78" s="166" t="n">
        <f aca="false">0.8*AQ78</f>
        <v>0.224</v>
      </c>
      <c r="AS78" s="166" t="n">
        <f aca="false">1.2*AQ78</f>
        <v>0.336</v>
      </c>
      <c r="AT78" s="169" t="n">
        <f aca="false">IF(G78&lt;110,17.94063*(LN(G78/100))+6.727568*(LN(G78/100)^2)+15.06494,(-4.1*G78+2135)/100)*0.5</f>
        <v>2.28215663107946</v>
      </c>
      <c r="AU78" s="169" t="n">
        <f aca="false">(0.75*AT78-AT78)</f>
        <v>-0.570539157769866</v>
      </c>
      <c r="AV78" s="166" t="n">
        <f aca="false">AT78/0.5*1.25-AT78</f>
        <v>3.42323494661919</v>
      </c>
      <c r="AW78" s="168" t="n">
        <f aca="false">IF(L78&lt;15,(15*L78+375)/100,(-4.71*L78+670.65)/100)*0.5</f>
        <v>2.3877</v>
      </c>
      <c r="AX78" s="166" t="n">
        <f aca="false">0.75*AW78-AW78</f>
        <v>-0.596925</v>
      </c>
      <c r="AY78" s="166" t="n">
        <f aca="false">AW78/0.5*1.25-AW78</f>
        <v>3.58155</v>
      </c>
      <c r="AZ78" s="167" t="n">
        <v>0.5</v>
      </c>
      <c r="BA78" s="74"/>
      <c r="BB78" s="208" t="n">
        <v>3</v>
      </c>
      <c r="BC78" s="209"/>
      <c r="BD78" s="210"/>
      <c r="BE78" s="211"/>
      <c r="BF78" s="212"/>
      <c r="BG78" s="210"/>
      <c r="BH78" s="211"/>
      <c r="BI78" s="209"/>
      <c r="BJ78" s="210"/>
      <c r="BK78" s="211"/>
      <c r="BL78" s="212"/>
      <c r="BM78" s="210"/>
      <c r="BN78" s="211"/>
      <c r="BQ78" s="108" t="n">
        <v>36907.7428240741</v>
      </c>
      <c r="BR78" s="109" t="n">
        <v>36907.743287037</v>
      </c>
      <c r="BS78" s="110" t="n">
        <v>38200</v>
      </c>
      <c r="BT78" s="111" t="n">
        <v>155584.5625</v>
      </c>
      <c r="BU78" s="112" t="n">
        <v>109616.3984375</v>
      </c>
      <c r="BV78" s="112" t="n">
        <v>28288.103515625</v>
      </c>
      <c r="BW78" s="112" t="n">
        <v>35360.12890625</v>
      </c>
      <c r="BX78" s="113" t="n">
        <v>0</v>
      </c>
      <c r="BZ78" s="110" t="n">
        <v>38261</v>
      </c>
      <c r="CA78" s="185" t="n">
        <v>42</v>
      </c>
      <c r="CB78" s="116" t="n">
        <v>41</v>
      </c>
      <c r="CC78" s="181" t="n">
        <v>37</v>
      </c>
      <c r="CD78" s="181" t="n">
        <v>37</v>
      </c>
      <c r="CE78" s="117" t="n">
        <v>1</v>
      </c>
      <c r="CG78" s="135" t="n">
        <f aca="false">BB14</f>
        <v>2005</v>
      </c>
      <c r="CH78" s="137" t="n">
        <v>-6</v>
      </c>
      <c r="CI78" s="137" t="n">
        <v>-7</v>
      </c>
      <c r="CJ78" s="137" t="n">
        <v>-1</v>
      </c>
      <c r="CK78" s="137" t="n">
        <v>0</v>
      </c>
      <c r="CL78" s="137" t="n">
        <v>1</v>
      </c>
      <c r="CM78" s="137" t="n">
        <v>1</v>
      </c>
      <c r="CN78" s="137" t="n">
        <v>2</v>
      </c>
      <c r="CO78" s="137" t="n">
        <v>-2</v>
      </c>
      <c r="CP78" s="137" t="n">
        <v>1</v>
      </c>
      <c r="CQ78" s="137" t="n">
        <v>1</v>
      </c>
      <c r="CR78" s="137" t="n">
        <v>1</v>
      </c>
      <c r="CS78" s="138" t="n">
        <v>0</v>
      </c>
      <c r="CU78" s="135" t="n">
        <f aca="false">BB14</f>
        <v>2005</v>
      </c>
      <c r="CV78" s="136" t="n">
        <v>-5</v>
      </c>
      <c r="CW78" s="137" t="n">
        <v>-5</v>
      </c>
      <c r="CX78" s="137" t="n">
        <v>-5</v>
      </c>
      <c r="CY78" s="137" t="n">
        <v>-5</v>
      </c>
      <c r="CZ78" s="137" t="n">
        <v>-5</v>
      </c>
      <c r="DA78" s="137" t="n">
        <v>-5</v>
      </c>
      <c r="DB78" s="137" t="n">
        <v>-5</v>
      </c>
      <c r="DC78" s="137" t="n">
        <v>-5</v>
      </c>
      <c r="DD78" s="137" t="n">
        <v>-5</v>
      </c>
      <c r="DE78" s="137" t="n">
        <v>-5</v>
      </c>
      <c r="DF78" s="137" t="n">
        <v>-5</v>
      </c>
      <c r="DG78" s="138" t="n">
        <v>-5</v>
      </c>
      <c r="DI78" s="202" t="n">
        <f aca="false">BB14</f>
        <v>2005</v>
      </c>
      <c r="DJ78" s="137" t="n">
        <f aca="false">DJ55</f>
        <v>15</v>
      </c>
      <c r="DK78" s="137" t="n">
        <f aca="false">DK55</f>
        <v>15</v>
      </c>
      <c r="DL78" s="137" t="n">
        <f aca="false">DL55</f>
        <v>15</v>
      </c>
      <c r="DM78" s="137" t="n">
        <f aca="false">DM55</f>
        <v>15</v>
      </c>
      <c r="DN78" s="137" t="n">
        <f aca="false">DN55</f>
        <v>15</v>
      </c>
      <c r="DO78" s="137" t="n">
        <f aca="false">DO55</f>
        <v>15</v>
      </c>
      <c r="DP78" s="137" t="n">
        <f aca="false">DP55</f>
        <v>15</v>
      </c>
      <c r="DQ78" s="137" t="n">
        <f aca="false">DQ55</f>
        <v>15</v>
      </c>
      <c r="DR78" s="137" t="n">
        <f aca="false">DR55</f>
        <v>15</v>
      </c>
      <c r="DS78" s="137" t="n">
        <f aca="false">DS55</f>
        <v>15</v>
      </c>
      <c r="DT78" s="137" t="n">
        <f aca="false">DT55</f>
        <v>15</v>
      </c>
      <c r="DU78" s="137" t="n">
        <f aca="false">DU55</f>
        <v>15</v>
      </c>
    </row>
    <row r="79" customFormat="false" ht="12.75" hidden="false" customHeight="false" outlineLevel="0" collapsed="false">
      <c r="A79" s="0" t="n">
        <f aca="true">IF(ISERROR(MATCH(D79,iRefDt,0)),"",MATCH(D79,iRefDt,0))</f>
        <v>79</v>
      </c>
      <c r="B79" s="92" t="n">
        <f aca="false">MATCH(YEAR(D79),iSpreads)</f>
        <v>4</v>
      </c>
      <c r="C79" s="0" t="n">
        <f aca="false">MONTH(D79)</f>
        <v>11</v>
      </c>
      <c r="D79" s="93" t="n">
        <f aca="false">DATE(YEAR(D78),MONTH(D78)+1,1)</f>
        <v>38292</v>
      </c>
      <c r="E79" s="94" t="n">
        <f aca="false">VLOOKUP($D79,tblPriorPrice,2)</f>
        <v>45</v>
      </c>
      <c r="F79" s="190" t="n">
        <f aca="false">G79-E79</f>
        <v>0</v>
      </c>
      <c r="G79" s="190" t="n">
        <f aca="true">G67+OFFSET($CG$4,$B79,$C79)</f>
        <v>45</v>
      </c>
      <c r="H79" s="96" t="n">
        <f aca="true">G79+OFFSET($CU$4,$B79,$C79)</f>
        <v>40</v>
      </c>
      <c r="I79" s="96" t="n">
        <f aca="true">G79+OFFSET($DI$4,$B79,$C79)</f>
        <v>60</v>
      </c>
      <c r="J79" s="94" t="n">
        <f aca="false">VLOOKUP($D79,tblPriorPrice,3)</f>
        <v>37</v>
      </c>
      <c r="K79" s="190" t="n">
        <f aca="false">L79-J79</f>
        <v>0</v>
      </c>
      <c r="L79" s="190" t="n">
        <f aca="true">L67+OFFSET($CG$27,$B79,$C79)</f>
        <v>37</v>
      </c>
      <c r="M79" s="96" t="n">
        <f aca="true">$L79+OFFSET($CU$27,$B79,$C79)</f>
        <v>32</v>
      </c>
      <c r="N79" s="97" t="n">
        <f aca="true">$L79+OFFSET($DI$27,$B79,$C79)</f>
        <v>42</v>
      </c>
      <c r="O79" s="59" t="n">
        <f aca="true">IF($A79="",0,INDEX(tblPosn,$A79,2))</f>
        <v>146379.828125</v>
      </c>
      <c r="P79" s="59" t="n">
        <f aca="true">IF($A79="",0,INDEX(tblPosn,$A79,3))</f>
        <v>104557.015625</v>
      </c>
      <c r="Q79" s="59" t="n">
        <f aca="true">IF($A79="",0,INDEX(tblPosn,$A79,4))</f>
        <v>27881.873046875</v>
      </c>
      <c r="R79" s="59" t="n">
        <f aca="true">IF($A79="",0,INDEX(tblPosn,$A79,5))</f>
        <v>34852.33984375</v>
      </c>
      <c r="S79" s="59" t="n">
        <f aca="true">IF($A79="",0,INDEX(tblPosn,$A79,6))</f>
        <v>0</v>
      </c>
      <c r="T79" s="98" t="n">
        <f aca="false">O79*F79+P79*K79+R79*AC79+S79*AH79/0.72+Q79*X79</f>
        <v>0</v>
      </c>
      <c r="V79" s="161" t="n">
        <f aca="false">D79</f>
        <v>38292</v>
      </c>
      <c r="W79" s="94" t="n">
        <f aca="false">VLOOKUP($D79,tblPriorPrice,4)</f>
        <v>33</v>
      </c>
      <c r="X79" s="95" t="n">
        <f aca="false">Y79-W79</f>
        <v>0</v>
      </c>
      <c r="Y79" s="191" t="n">
        <f aca="true">Y67+OFFSET($CG$50,$B79,$C79)</f>
        <v>33</v>
      </c>
      <c r="Z79" s="96" t="n">
        <f aca="true">Y79+OFFSET($CU$51,$B79,$C79)</f>
        <v>28</v>
      </c>
      <c r="AA79" s="177" t="n">
        <f aca="true">Y79+OFFSET($DI$51,$B79,$C79)</f>
        <v>48</v>
      </c>
      <c r="AB79" s="94" t="n">
        <f aca="false">VLOOKUP($D79,tblPriorPrice,5)</f>
        <v>33</v>
      </c>
      <c r="AC79" s="190" t="n">
        <f aca="false">AD79-AB79</f>
        <v>0</v>
      </c>
      <c r="AD79" s="191" t="n">
        <f aca="true">AD67+OFFSET($CG$73,$B79,$C79)</f>
        <v>33</v>
      </c>
      <c r="AE79" s="96" t="n">
        <f aca="true">AD79+OFFSET($CU$74,$B79,$C79)</f>
        <v>28</v>
      </c>
      <c r="AF79" s="177" t="n">
        <f aca="true">AD79+OFFSET($DI$74,$B79,$C79)</f>
        <v>48</v>
      </c>
      <c r="AG79" s="94" t="n">
        <f aca="false">VLOOKUP($D79,tblPriorPrice,6)</f>
        <v>1</v>
      </c>
      <c r="AH79" s="190" t="n">
        <f aca="false">AI79-AG79</f>
        <v>0</v>
      </c>
      <c r="AI79" s="191" t="n">
        <f aca="true">AI67+OFFSET($CG$96,$B79,$C79)</f>
        <v>1</v>
      </c>
      <c r="AJ79" s="96" t="n">
        <f aca="true">AI79+OFFSET($CU$96,$B79,$C79)</f>
        <v>1</v>
      </c>
      <c r="AK79" s="97" t="n">
        <f aca="true">AI79+OFFSET($DI$96,$B79,$C79)</f>
        <v>1</v>
      </c>
      <c r="AL79" s="178" t="n">
        <v>16</v>
      </c>
      <c r="AM79" s="165" t="n">
        <v>0.4</v>
      </c>
      <c r="AN79" s="167" t="n">
        <f aca="false">'[3]Pricing Summary'!$AM57</f>
        <v>0.2825</v>
      </c>
      <c r="AO79" s="167" t="n">
        <f aca="false">0.9*AN79</f>
        <v>0.25425</v>
      </c>
      <c r="AP79" s="166" t="n">
        <f aca="false">1.5*AN79</f>
        <v>0.42375</v>
      </c>
      <c r="AQ79" s="167" t="n">
        <f aca="false">AN79</f>
        <v>0.2825</v>
      </c>
      <c r="AR79" s="166" t="n">
        <f aca="false">0.8*AQ79</f>
        <v>0.226</v>
      </c>
      <c r="AS79" s="166" t="n">
        <f aca="false">1.2*AQ79</f>
        <v>0.339</v>
      </c>
      <c r="AT79" s="169" t="n">
        <f aca="false">IF(G79&lt;110,17.94063*(LN(G79/100))+6.727568*(LN(G79/100)^2)+15.06494,(-4.1*G79+2135)/100)*0.5</f>
        <v>2.514402025913</v>
      </c>
      <c r="AU79" s="169" t="n">
        <f aca="false">(0.75*AT79-AT79)</f>
        <v>-0.628600506478251</v>
      </c>
      <c r="AV79" s="166" t="n">
        <f aca="false">AT79/0.5*1.25-AT79</f>
        <v>3.7716030388695</v>
      </c>
      <c r="AW79" s="168" t="n">
        <f aca="false">IF(L79&lt;15,(15*L79+375)/100,(-4.71*L79+670.65)/100)*0.5</f>
        <v>2.4819</v>
      </c>
      <c r="AX79" s="166" t="n">
        <f aca="false">0.75*AW79-AW79</f>
        <v>-0.620475</v>
      </c>
      <c r="AY79" s="166" t="n">
        <f aca="false">AW79/0.5*1.25-AW79</f>
        <v>3.72285</v>
      </c>
      <c r="AZ79" s="167" t="n">
        <v>0.5</v>
      </c>
      <c r="BA79" s="74"/>
      <c r="BB79" s="208" t="n">
        <v>4</v>
      </c>
      <c r="BC79" s="209"/>
      <c r="BD79" s="210"/>
      <c r="BE79" s="211"/>
      <c r="BF79" s="212"/>
      <c r="BG79" s="210"/>
      <c r="BH79" s="211"/>
      <c r="BI79" s="209"/>
      <c r="BJ79" s="210"/>
      <c r="BK79" s="211"/>
      <c r="BL79" s="212"/>
      <c r="BM79" s="210"/>
      <c r="BN79" s="211"/>
      <c r="BQ79" s="108" t="n">
        <v>36907.7428240741</v>
      </c>
      <c r="BR79" s="109" t="n">
        <v>36907.743287037</v>
      </c>
      <c r="BS79" s="110" t="n">
        <v>38231</v>
      </c>
      <c r="BT79" s="111" t="n">
        <v>147806.296875</v>
      </c>
      <c r="BU79" s="112" t="n">
        <v>105575.9375</v>
      </c>
      <c r="BV79" s="112" t="n">
        <v>28153.58203125</v>
      </c>
      <c r="BW79" s="112" t="n">
        <v>35191.9765625</v>
      </c>
      <c r="BX79" s="113" t="n">
        <v>0</v>
      </c>
      <c r="BZ79" s="110" t="n">
        <v>38292</v>
      </c>
      <c r="CA79" s="185" t="n">
        <v>45</v>
      </c>
      <c r="CB79" s="116" t="n">
        <v>37</v>
      </c>
      <c r="CC79" s="181" t="n">
        <v>33</v>
      </c>
      <c r="CD79" s="181" t="n">
        <v>33</v>
      </c>
      <c r="CE79" s="117" t="n">
        <v>1</v>
      </c>
      <c r="CG79" s="135" t="n">
        <f aca="false">BB15</f>
        <v>2006</v>
      </c>
      <c r="CH79" s="137" t="n">
        <v>-3</v>
      </c>
      <c r="CI79" s="137" t="n">
        <v>-2</v>
      </c>
      <c r="CJ79" s="137" t="n">
        <v>-1</v>
      </c>
      <c r="CK79" s="137" t="n">
        <v>-1</v>
      </c>
      <c r="CL79" s="137" t="n">
        <v>-1</v>
      </c>
      <c r="CM79" s="137" t="n">
        <v>-1</v>
      </c>
      <c r="CN79" s="137" t="n">
        <v>-2</v>
      </c>
      <c r="CO79" s="137" t="n">
        <v>-9</v>
      </c>
      <c r="CP79" s="137" t="n">
        <v>-1</v>
      </c>
      <c r="CQ79" s="137" t="n">
        <v>-1</v>
      </c>
      <c r="CR79" s="137" t="n">
        <v>-1</v>
      </c>
      <c r="CS79" s="138" t="n">
        <v>-7</v>
      </c>
      <c r="CU79" s="135" t="n">
        <f aca="false">BB15</f>
        <v>2006</v>
      </c>
      <c r="CV79" s="136" t="n">
        <v>-5</v>
      </c>
      <c r="CW79" s="137" t="n">
        <v>-5</v>
      </c>
      <c r="CX79" s="137" t="n">
        <v>-5</v>
      </c>
      <c r="CY79" s="137" t="n">
        <v>-5</v>
      </c>
      <c r="CZ79" s="137" t="n">
        <v>-5</v>
      </c>
      <c r="DA79" s="137" t="n">
        <v>-5</v>
      </c>
      <c r="DB79" s="137" t="n">
        <v>-5</v>
      </c>
      <c r="DC79" s="137" t="n">
        <v>-5</v>
      </c>
      <c r="DD79" s="137" t="n">
        <v>-5</v>
      </c>
      <c r="DE79" s="137" t="n">
        <v>-5</v>
      </c>
      <c r="DF79" s="137" t="n">
        <v>-5</v>
      </c>
      <c r="DG79" s="138" t="n">
        <v>-5</v>
      </c>
      <c r="DI79" s="202" t="n">
        <f aca="false">BB15</f>
        <v>2006</v>
      </c>
      <c r="DJ79" s="137" t="n">
        <f aca="false">DJ56</f>
        <v>20</v>
      </c>
      <c r="DK79" s="137" t="n">
        <f aca="false">DK56</f>
        <v>20</v>
      </c>
      <c r="DL79" s="137" t="n">
        <f aca="false">DL56</f>
        <v>20</v>
      </c>
      <c r="DM79" s="137" t="n">
        <f aca="false">DM56</f>
        <v>20</v>
      </c>
      <c r="DN79" s="137" t="n">
        <f aca="false">DN56</f>
        <v>20</v>
      </c>
      <c r="DO79" s="137" t="n">
        <f aca="false">DO56</f>
        <v>20</v>
      </c>
      <c r="DP79" s="137" t="n">
        <f aca="false">DP56</f>
        <v>20</v>
      </c>
      <c r="DQ79" s="137" t="n">
        <f aca="false">DQ56</f>
        <v>20</v>
      </c>
      <c r="DR79" s="137" t="n">
        <f aca="false">DR56</f>
        <v>20</v>
      </c>
      <c r="DS79" s="137" t="n">
        <f aca="false">DS56</f>
        <v>20</v>
      </c>
      <c r="DT79" s="137" t="n">
        <f aca="false">DT56</f>
        <v>20</v>
      </c>
      <c r="DU79" s="137" t="n">
        <f aca="false">DU56</f>
        <v>20</v>
      </c>
    </row>
    <row r="80" customFormat="false" ht="12.75" hidden="false" customHeight="false" outlineLevel="0" collapsed="false">
      <c r="A80" s="0" t="n">
        <f aca="true">IF(ISERROR(MATCH(D80,iRefDt,0)),"",MATCH(D80,iRefDt,0))</f>
        <v>80</v>
      </c>
      <c r="B80" s="92" t="n">
        <f aca="false">MATCH(YEAR(D80),iSpreads)</f>
        <v>4</v>
      </c>
      <c r="C80" s="0" t="n">
        <f aca="false">MONTH(D80)</f>
        <v>12</v>
      </c>
      <c r="D80" s="93" t="n">
        <f aca="false">DATE(YEAR(D79),MONTH(D79)+1,1)</f>
        <v>38322</v>
      </c>
      <c r="E80" s="94" t="n">
        <f aca="false">VLOOKUP($D80,tblPriorPrice,2)</f>
        <v>65</v>
      </c>
      <c r="F80" s="190" t="n">
        <f aca="false">G80-E80</f>
        <v>0</v>
      </c>
      <c r="G80" s="190" t="n">
        <f aca="true">G68+OFFSET($CG$4,$B80,$C80)</f>
        <v>65</v>
      </c>
      <c r="H80" s="96" t="n">
        <f aca="true">G80+OFFSET($CU$4,$B80,$C80)</f>
        <v>60</v>
      </c>
      <c r="I80" s="96" t="n">
        <f aca="true">G80+OFFSET($DI$4,$B80,$C80)</f>
        <v>80</v>
      </c>
      <c r="J80" s="94" t="n">
        <f aca="false">VLOOKUP($D80,tblPriorPrice,3)</f>
        <v>37</v>
      </c>
      <c r="K80" s="190" t="n">
        <f aca="false">L80-J80</f>
        <v>0</v>
      </c>
      <c r="L80" s="190" t="n">
        <f aca="true">L68+OFFSET($CG$27,$B80,$C80)</f>
        <v>37</v>
      </c>
      <c r="M80" s="96" t="n">
        <f aca="true">$L80+OFFSET($CU$27,$B80,$C80)</f>
        <v>32</v>
      </c>
      <c r="N80" s="97" t="n">
        <f aca="true">$L80+OFFSET($DI$27,$B80,$C80)</f>
        <v>42</v>
      </c>
      <c r="O80" s="59" t="n">
        <f aca="true">IF($A80="",0,INDEX(tblPosn,$A80,2))</f>
        <v>159528.609375</v>
      </c>
      <c r="P80" s="59" t="n">
        <f aca="true">IF($A80="",0,INDEX(tblPosn,$A80,3))</f>
        <v>107508.4140625</v>
      </c>
      <c r="Q80" s="59" t="n">
        <f aca="true">IF($A80="",0,INDEX(tblPosn,$A80,4))</f>
        <v>20808.080078125</v>
      </c>
      <c r="R80" s="59" t="n">
        <f aca="true">IF($A80="",0,INDEX(tblPosn,$A80,5))</f>
        <v>34680.1328125</v>
      </c>
      <c r="S80" s="59" t="n">
        <f aca="true">IF($A80="",0,INDEX(tblPosn,$A80,6))</f>
        <v>0</v>
      </c>
      <c r="T80" s="98" t="n">
        <f aca="false">O80*F80+P80*K80+R80*AC80+S80*AH80/0.72+Q80*X80</f>
        <v>0</v>
      </c>
      <c r="V80" s="161" t="n">
        <f aca="false">D80</f>
        <v>38322</v>
      </c>
      <c r="W80" s="94" t="n">
        <f aca="false">VLOOKUP($D80,tblPriorPrice,4)</f>
        <v>43</v>
      </c>
      <c r="X80" s="95" t="n">
        <f aca="false">Y80-W80</f>
        <v>0</v>
      </c>
      <c r="Y80" s="191" t="n">
        <f aca="true">Y68+OFFSET($CG$50,$B80,$C80)</f>
        <v>43</v>
      </c>
      <c r="Z80" s="96" t="n">
        <f aca="true">Y80+OFFSET($CU$51,$B80,$C80)</f>
        <v>38</v>
      </c>
      <c r="AA80" s="177" t="n">
        <f aca="true">Y80+OFFSET($DI$51,$B80,$C80)</f>
        <v>58</v>
      </c>
      <c r="AB80" s="94" t="n">
        <f aca="false">VLOOKUP($D80,tblPriorPrice,5)</f>
        <v>38</v>
      </c>
      <c r="AC80" s="190" t="n">
        <f aca="false">AD80-AB80</f>
        <v>0</v>
      </c>
      <c r="AD80" s="191" t="n">
        <f aca="true">AD68+OFFSET($CG$73,$B80,$C80)</f>
        <v>38</v>
      </c>
      <c r="AE80" s="96" t="n">
        <f aca="true">AD80+OFFSET($CU$74,$B80,$C80)</f>
        <v>33</v>
      </c>
      <c r="AF80" s="177" t="n">
        <f aca="true">AD80+OFFSET($DI$74,$B80,$C80)</f>
        <v>53</v>
      </c>
      <c r="AG80" s="94" t="n">
        <f aca="false">VLOOKUP($D80,tblPriorPrice,6)</f>
        <v>1</v>
      </c>
      <c r="AH80" s="190" t="n">
        <f aca="false">AI80-AG80</f>
        <v>0</v>
      </c>
      <c r="AI80" s="191" t="n">
        <f aca="true">AI68+OFFSET($CG$96,$B80,$C80)</f>
        <v>1</v>
      </c>
      <c r="AJ80" s="96" t="n">
        <f aca="true">AI80+OFFSET($CU$96,$B80,$C80)</f>
        <v>1</v>
      </c>
      <c r="AK80" s="97" t="n">
        <f aca="true">AI80+OFFSET($DI$96,$B80,$C80)</f>
        <v>1</v>
      </c>
      <c r="AL80" s="178" t="n">
        <v>17</v>
      </c>
      <c r="AM80" s="165" t="n">
        <v>0.4</v>
      </c>
      <c r="AN80" s="167" t="n">
        <f aca="false">'[3]Pricing Summary'!$AM58</f>
        <v>0.285</v>
      </c>
      <c r="AO80" s="167" t="n">
        <f aca="false">0.9*AN80</f>
        <v>0.2565</v>
      </c>
      <c r="AP80" s="166" t="n">
        <f aca="false">1.5*AN80</f>
        <v>0.4275</v>
      </c>
      <c r="AQ80" s="167" t="n">
        <f aca="false">AN80</f>
        <v>0.285</v>
      </c>
      <c r="AR80" s="166" t="n">
        <f aca="false">0.8*AQ80</f>
        <v>0.228</v>
      </c>
      <c r="AS80" s="166" t="n">
        <f aca="false">1.2*AQ80</f>
        <v>0.342</v>
      </c>
      <c r="AT80" s="169" t="n">
        <f aca="false">IF(G80&lt;110,17.94063*(LN(G80/100))+6.727568*(LN(G80/100)^2)+15.06494,(-4.1*G80+2135)/100)*0.5</f>
        <v>4.29244213162673</v>
      </c>
      <c r="AU80" s="169" t="n">
        <f aca="false">(0.75*AT80-AT80)</f>
        <v>-1.07311053290668</v>
      </c>
      <c r="AV80" s="166" t="n">
        <f aca="false">AT80/0.5*1.25-AT80</f>
        <v>6.4386631974401</v>
      </c>
      <c r="AW80" s="168" t="n">
        <f aca="false">IF(L80&lt;15,(15*L80+375)/100,(-4.71*L80+670.65)/100)*0.5</f>
        <v>2.4819</v>
      </c>
      <c r="AX80" s="166" t="n">
        <f aca="false">0.75*AW80-AW80</f>
        <v>-0.620475</v>
      </c>
      <c r="AY80" s="166" t="n">
        <f aca="false">AW80/0.5*1.25-AW80</f>
        <v>3.72285</v>
      </c>
      <c r="AZ80" s="167" t="n">
        <v>0.5</v>
      </c>
      <c r="BA80" s="74"/>
      <c r="BB80" s="208" t="n">
        <v>5</v>
      </c>
      <c r="BC80" s="209"/>
      <c r="BD80" s="210"/>
      <c r="BE80" s="211"/>
      <c r="BF80" s="212"/>
      <c r="BG80" s="210"/>
      <c r="BH80" s="211"/>
      <c r="BI80" s="209"/>
      <c r="BJ80" s="210"/>
      <c r="BK80" s="211"/>
      <c r="BL80" s="212"/>
      <c r="BM80" s="210"/>
      <c r="BN80" s="211"/>
      <c r="BQ80" s="108" t="n">
        <v>36907.7428240741</v>
      </c>
      <c r="BR80" s="109" t="n">
        <v>36907.743287037</v>
      </c>
      <c r="BS80" s="110" t="n">
        <v>38261</v>
      </c>
      <c r="BT80" s="111" t="n">
        <v>147074.578125</v>
      </c>
      <c r="BU80" s="112" t="n">
        <v>108992.7578125</v>
      </c>
      <c r="BV80" s="112" t="n">
        <v>35017.7578125</v>
      </c>
      <c r="BW80" s="112" t="n">
        <v>35017.7578125</v>
      </c>
      <c r="BX80" s="113" t="n">
        <v>0</v>
      </c>
      <c r="BZ80" s="110" t="n">
        <v>38322</v>
      </c>
      <c r="CA80" s="185" t="n">
        <v>65</v>
      </c>
      <c r="CB80" s="116" t="n">
        <v>37</v>
      </c>
      <c r="CC80" s="181" t="n">
        <v>43</v>
      </c>
      <c r="CD80" s="181" t="n">
        <v>38</v>
      </c>
      <c r="CE80" s="117" t="n">
        <v>1</v>
      </c>
      <c r="CG80" s="135" t="n">
        <f aca="false">BB16</f>
        <v>2007</v>
      </c>
      <c r="CH80" s="137" t="n">
        <v>-2</v>
      </c>
      <c r="CI80" s="137" t="n">
        <v>-3</v>
      </c>
      <c r="CJ80" s="137" t="n">
        <v>-2</v>
      </c>
      <c r="CK80" s="137" t="n">
        <v>-2</v>
      </c>
      <c r="CL80" s="137" t="n">
        <v>-2</v>
      </c>
      <c r="CM80" s="137" t="n">
        <v>-2</v>
      </c>
      <c r="CN80" s="137" t="n">
        <v>-2</v>
      </c>
      <c r="CO80" s="137" t="n">
        <v>-1</v>
      </c>
      <c r="CP80" s="137" t="n">
        <v>-2</v>
      </c>
      <c r="CQ80" s="137" t="n">
        <v>-2</v>
      </c>
      <c r="CR80" s="137" t="n">
        <v>-2</v>
      </c>
      <c r="CS80" s="138" t="n">
        <v>-2</v>
      </c>
      <c r="CU80" s="135" t="n">
        <f aca="false">BB16</f>
        <v>2007</v>
      </c>
      <c r="CV80" s="136" t="n">
        <v>-5</v>
      </c>
      <c r="CW80" s="137" t="n">
        <v>-5</v>
      </c>
      <c r="CX80" s="137" t="n">
        <v>-5</v>
      </c>
      <c r="CY80" s="137" t="n">
        <v>-5</v>
      </c>
      <c r="CZ80" s="137" t="n">
        <v>-5</v>
      </c>
      <c r="DA80" s="137" t="n">
        <v>-5</v>
      </c>
      <c r="DB80" s="137" t="n">
        <v>-5</v>
      </c>
      <c r="DC80" s="137" t="n">
        <v>-5</v>
      </c>
      <c r="DD80" s="137" t="n">
        <v>-5</v>
      </c>
      <c r="DE80" s="137" t="n">
        <v>-5</v>
      </c>
      <c r="DF80" s="137" t="n">
        <v>-5</v>
      </c>
      <c r="DG80" s="138" t="n">
        <v>-5</v>
      </c>
      <c r="DI80" s="202" t="n">
        <f aca="false">BB16</f>
        <v>2007</v>
      </c>
      <c r="DJ80" s="137" t="n">
        <f aca="false">DJ57</f>
        <v>21</v>
      </c>
      <c r="DK80" s="137" t="n">
        <f aca="false">DK57</f>
        <v>21</v>
      </c>
      <c r="DL80" s="137" t="n">
        <f aca="false">DL57</f>
        <v>21</v>
      </c>
      <c r="DM80" s="137" t="n">
        <f aca="false">DM57</f>
        <v>21</v>
      </c>
      <c r="DN80" s="137" t="n">
        <f aca="false">DN57</f>
        <v>21</v>
      </c>
      <c r="DO80" s="137" t="n">
        <f aca="false">DO57</f>
        <v>21</v>
      </c>
      <c r="DP80" s="137" t="n">
        <f aca="false">DP57</f>
        <v>21</v>
      </c>
      <c r="DQ80" s="137" t="n">
        <f aca="false">DQ57</f>
        <v>21</v>
      </c>
      <c r="DR80" s="137" t="n">
        <f aca="false">DR57</f>
        <v>21</v>
      </c>
      <c r="DS80" s="137" t="n">
        <f aca="false">DS57</f>
        <v>21</v>
      </c>
      <c r="DT80" s="137" t="n">
        <f aca="false">DT57</f>
        <v>21</v>
      </c>
      <c r="DU80" s="137" t="n">
        <f aca="false">DU57</f>
        <v>21</v>
      </c>
    </row>
    <row r="81" customFormat="false" ht="12.75" hidden="false" customHeight="false" outlineLevel="0" collapsed="false">
      <c r="A81" s="0" t="n">
        <f aca="true">IF(ISERROR(MATCH(D81,iRefDt,0)),"",MATCH(D81,iRefDt,0))</f>
        <v>81</v>
      </c>
      <c r="B81" s="92" t="n">
        <f aca="false">MATCH(YEAR(D81),iSpreads)</f>
        <v>5</v>
      </c>
      <c r="C81" s="0" t="n">
        <f aca="false">MONTH(D81)</f>
        <v>1</v>
      </c>
      <c r="D81" s="93" t="n">
        <f aca="false">DATE(YEAR(D80),MONTH(D80)+1,1)</f>
        <v>38353</v>
      </c>
      <c r="E81" s="94" t="n">
        <f aca="false">VLOOKUP($D81,tblPriorPrice,2)</f>
        <v>59</v>
      </c>
      <c r="F81" s="190" t="n">
        <f aca="false">G81-E81</f>
        <v>0</v>
      </c>
      <c r="G81" s="190" t="n">
        <f aca="true">G69+OFFSET($CG$4,$B81,$C81)</f>
        <v>59</v>
      </c>
      <c r="H81" s="96" t="n">
        <f aca="true">G81+OFFSET($CU$4,$B81,$C81)</f>
        <v>54</v>
      </c>
      <c r="I81" s="96" t="n">
        <f aca="true">G81+OFFSET($DI$4,$B81,$C81)</f>
        <v>74</v>
      </c>
      <c r="J81" s="94" t="n">
        <f aca="false">VLOOKUP($D81,tblPriorPrice,3)</f>
        <v>37</v>
      </c>
      <c r="K81" s="190" t="n">
        <f aca="false">L81-J81</f>
        <v>0</v>
      </c>
      <c r="L81" s="190" t="n">
        <f aca="true">L69+OFFSET($CG$27,$B81,$C81)</f>
        <v>37</v>
      </c>
      <c r="M81" s="96" t="n">
        <f aca="true">$L81+OFFSET($CU$27,$B81,$C81)</f>
        <v>32</v>
      </c>
      <c r="N81" s="97" t="n">
        <f aca="true">$L81+OFFSET($DI$27,$B81,$C81)</f>
        <v>42</v>
      </c>
      <c r="O81" s="59" t="n">
        <f aca="true">IF($A81="",0,INDEX(tblPosn,$A81,2))</f>
        <v>144934.4375</v>
      </c>
      <c r="P81" s="59" t="n">
        <f aca="true">IF($A81="",0,INDEX(tblPosn,$A81,3))</f>
        <v>106975.40625</v>
      </c>
      <c r="Q81" s="59" t="n">
        <f aca="true">IF($A81="",0,INDEX(tblPosn,$A81,4))</f>
        <v>27606.55859375</v>
      </c>
      <c r="R81" s="59" t="n">
        <f aca="true">IF($A81="",0,INDEX(tblPosn,$A81,5))</f>
        <v>41409.83984375</v>
      </c>
      <c r="S81" s="59" t="n">
        <f aca="true">IF($A81="",0,INDEX(tblPosn,$A81,6))</f>
        <v>0</v>
      </c>
      <c r="T81" s="98" t="n">
        <f aca="false">O81*F81+P81*K81+R81*AC81+S81*AH81/0.72+Q81*X81</f>
        <v>0</v>
      </c>
      <c r="V81" s="161" t="n">
        <f aca="false">D81</f>
        <v>38353</v>
      </c>
      <c r="W81" s="94" t="n">
        <f aca="false">VLOOKUP($D81,tblPriorPrice,4)</f>
        <v>41</v>
      </c>
      <c r="X81" s="95" t="n">
        <f aca="false">Y81-W81</f>
        <v>0</v>
      </c>
      <c r="Y81" s="191" t="n">
        <f aca="true">Y69+OFFSET($CG$50,$B81,$C81)</f>
        <v>41</v>
      </c>
      <c r="Z81" s="96" t="n">
        <f aca="true">Y81+OFFSET($CU$51,$B81,$C81)</f>
        <v>36</v>
      </c>
      <c r="AA81" s="177" t="n">
        <f aca="true">Y81+OFFSET($DI$51,$B81,$C81)</f>
        <v>61</v>
      </c>
      <c r="AB81" s="94" t="n">
        <f aca="false">VLOOKUP($D81,tblPriorPrice,5)</f>
        <v>36</v>
      </c>
      <c r="AC81" s="190" t="n">
        <f aca="false">AD81-AB81</f>
        <v>0</v>
      </c>
      <c r="AD81" s="191" t="n">
        <f aca="true">AD69+OFFSET($CG$73,$B81,$C81)</f>
        <v>36</v>
      </c>
      <c r="AE81" s="96" t="n">
        <f aca="true">AD81+OFFSET($CU$74,$B81,$C81)</f>
        <v>31</v>
      </c>
      <c r="AF81" s="177" t="n">
        <f aca="true">AD81+OFFSET($DI$74,$B81,$C81)</f>
        <v>56</v>
      </c>
      <c r="AG81" s="94" t="n">
        <f aca="false">VLOOKUP($D81,tblPriorPrice,6)</f>
        <v>1</v>
      </c>
      <c r="AH81" s="190" t="n">
        <f aca="false">AI81-AG81</f>
        <v>0</v>
      </c>
      <c r="AI81" s="191" t="n">
        <f aca="true">AI69+OFFSET($CG$96,$B81,$C81)</f>
        <v>1</v>
      </c>
      <c r="AJ81" s="96" t="n">
        <f aca="true">AI81+OFFSET($CU$96,$B81,$C81)</f>
        <v>1</v>
      </c>
      <c r="AK81" s="97" t="n">
        <f aca="true">AI81+OFFSET($DI$96,$B81,$C81)</f>
        <v>1</v>
      </c>
      <c r="AL81" s="178" t="n">
        <v>17</v>
      </c>
      <c r="AM81" s="165" t="n">
        <v>0.4</v>
      </c>
      <c r="AN81" s="167" t="n">
        <f aca="false">'[3]Pricing Summary'!$AM59</f>
        <v>0.285</v>
      </c>
      <c r="AO81" s="167" t="n">
        <f aca="false">0.9*AN81</f>
        <v>0.2565</v>
      </c>
      <c r="AP81" s="166" t="n">
        <f aca="false">1.5*AN81</f>
        <v>0.4275</v>
      </c>
      <c r="AQ81" s="167" t="n">
        <f aca="false">AN81</f>
        <v>0.285</v>
      </c>
      <c r="AR81" s="166" t="n">
        <f aca="false">0.8*AQ81</f>
        <v>0.228</v>
      </c>
      <c r="AS81" s="166" t="n">
        <f aca="false">1.2*AQ81</f>
        <v>0.342</v>
      </c>
      <c r="AT81" s="169" t="n">
        <f aca="false">IF(G81&lt;110,17.94063*(LN(G81/100))+6.727568*(LN(G81/100)^2)+15.06494,(-4.1*G81+2135)/100)*0.5</f>
        <v>3.73590315418471</v>
      </c>
      <c r="AU81" s="169" t="n">
        <f aca="false">(0.75*AT81-AT81)</f>
        <v>-0.933975788546176</v>
      </c>
      <c r="AV81" s="166" t="n">
        <f aca="false">AT81/0.5*1.25-AT81</f>
        <v>5.60385473127706</v>
      </c>
      <c r="AW81" s="168" t="n">
        <f aca="false">IF(L81&lt;15,(15*L81+375)/100,(-4.71*L81+670.65)/100)*0.5</f>
        <v>2.4819</v>
      </c>
      <c r="AX81" s="166" t="n">
        <f aca="false">0.75*AW81-AW81</f>
        <v>-0.620475</v>
      </c>
      <c r="AY81" s="166" t="n">
        <f aca="false">AW81/0.5*1.25-AW81</f>
        <v>3.72285</v>
      </c>
      <c r="AZ81" s="167" t="n">
        <v>0.5</v>
      </c>
      <c r="BA81" s="74"/>
      <c r="BB81" s="208" t="n">
        <v>6</v>
      </c>
      <c r="BC81" s="209"/>
      <c r="BD81" s="210"/>
      <c r="BE81" s="211"/>
      <c r="BF81" s="212"/>
      <c r="BG81" s="210"/>
      <c r="BH81" s="211"/>
      <c r="BI81" s="209"/>
      <c r="BJ81" s="210"/>
      <c r="BK81" s="211"/>
      <c r="BL81" s="212"/>
      <c r="BM81" s="210"/>
      <c r="BN81" s="211"/>
      <c r="BQ81" s="108" t="n">
        <v>36907.7428240741</v>
      </c>
      <c r="BR81" s="109" t="n">
        <v>36907.743287037</v>
      </c>
      <c r="BS81" s="110" t="n">
        <v>38292</v>
      </c>
      <c r="BT81" s="111" t="n">
        <v>146379.828125</v>
      </c>
      <c r="BU81" s="112" t="n">
        <v>104557.015625</v>
      </c>
      <c r="BV81" s="112" t="n">
        <v>27881.873046875</v>
      </c>
      <c r="BW81" s="112" t="n">
        <v>34852.33984375</v>
      </c>
      <c r="BX81" s="113" t="n">
        <v>0</v>
      </c>
      <c r="BZ81" s="110" t="n">
        <v>38353</v>
      </c>
      <c r="CA81" s="185" t="n">
        <v>59</v>
      </c>
      <c r="CB81" s="116" t="n">
        <v>37</v>
      </c>
      <c r="CC81" s="181" t="n">
        <v>41</v>
      </c>
      <c r="CD81" s="181" t="n">
        <v>36</v>
      </c>
      <c r="CE81" s="117" t="n">
        <v>1</v>
      </c>
      <c r="CG81" s="135" t="n">
        <f aca="false">BB17</f>
        <v>2008</v>
      </c>
      <c r="CH81" s="137" t="n">
        <v>0</v>
      </c>
      <c r="CI81" s="137" t="n">
        <v>1</v>
      </c>
      <c r="CJ81" s="137" t="n">
        <v>0</v>
      </c>
      <c r="CK81" s="137" t="n">
        <v>0</v>
      </c>
      <c r="CL81" s="137" t="n">
        <v>0</v>
      </c>
      <c r="CM81" s="137" t="n">
        <v>1</v>
      </c>
      <c r="CN81" s="137" t="n">
        <v>1</v>
      </c>
      <c r="CO81" s="137" t="n">
        <v>0</v>
      </c>
      <c r="CP81" s="137" t="n">
        <v>0</v>
      </c>
      <c r="CQ81" s="137" t="n">
        <v>1</v>
      </c>
      <c r="CR81" s="137" t="n">
        <v>0</v>
      </c>
      <c r="CS81" s="138" t="n">
        <v>1</v>
      </c>
      <c r="CU81" s="135" t="n">
        <f aca="false">BB17</f>
        <v>2008</v>
      </c>
      <c r="CV81" s="136" t="n">
        <v>-5</v>
      </c>
      <c r="CW81" s="137" t="n">
        <v>-5</v>
      </c>
      <c r="CX81" s="137" t="n">
        <v>-5</v>
      </c>
      <c r="CY81" s="137" t="n">
        <v>-5</v>
      </c>
      <c r="CZ81" s="137" t="n">
        <v>-5</v>
      </c>
      <c r="DA81" s="137" t="n">
        <v>-5</v>
      </c>
      <c r="DB81" s="137" t="n">
        <v>-5</v>
      </c>
      <c r="DC81" s="137" t="n">
        <v>-5</v>
      </c>
      <c r="DD81" s="137" t="n">
        <v>-5</v>
      </c>
      <c r="DE81" s="137" t="n">
        <v>-5</v>
      </c>
      <c r="DF81" s="137" t="n">
        <v>-5</v>
      </c>
      <c r="DG81" s="138" t="n">
        <v>-5</v>
      </c>
      <c r="DI81" s="202" t="n">
        <f aca="false">BB17</f>
        <v>2008</v>
      </c>
      <c r="DJ81" s="137" t="n">
        <f aca="false">DJ58</f>
        <v>22</v>
      </c>
      <c r="DK81" s="137" t="n">
        <f aca="false">DK58</f>
        <v>22</v>
      </c>
      <c r="DL81" s="137" t="n">
        <f aca="false">DL58</f>
        <v>22</v>
      </c>
      <c r="DM81" s="137" t="n">
        <f aca="false">DM58</f>
        <v>22</v>
      </c>
      <c r="DN81" s="137" t="n">
        <f aca="false">DN58</f>
        <v>22</v>
      </c>
      <c r="DO81" s="137" t="n">
        <f aca="false">DO58</f>
        <v>22</v>
      </c>
      <c r="DP81" s="137" t="n">
        <f aca="false">DP58</f>
        <v>22</v>
      </c>
      <c r="DQ81" s="137" t="n">
        <f aca="false">DQ58</f>
        <v>22</v>
      </c>
      <c r="DR81" s="137" t="n">
        <f aca="false">DR58</f>
        <v>22</v>
      </c>
      <c r="DS81" s="137" t="n">
        <f aca="false">DS58</f>
        <v>22</v>
      </c>
      <c r="DT81" s="137" t="n">
        <f aca="false">DT58</f>
        <v>22</v>
      </c>
      <c r="DU81" s="137" t="n">
        <f aca="false">DU58</f>
        <v>22</v>
      </c>
    </row>
    <row r="82" customFormat="false" ht="12.75" hidden="false" customHeight="false" outlineLevel="0" collapsed="false">
      <c r="A82" s="0" t="n">
        <f aca="true">IF(ISERROR(MATCH(D82,iRefDt,0)),"",MATCH(D82,iRefDt,0))</f>
        <v>82</v>
      </c>
      <c r="B82" s="92" t="n">
        <f aca="false">MATCH(YEAR(D82),iSpreads)</f>
        <v>5</v>
      </c>
      <c r="C82" s="0" t="n">
        <f aca="false">MONTH(D82)</f>
        <v>2</v>
      </c>
      <c r="D82" s="93" t="n">
        <f aca="false">DATE(YEAR(D81),MONTH(D81)+1,1)</f>
        <v>38384</v>
      </c>
      <c r="E82" s="94" t="n">
        <f aca="false">VLOOKUP($D82,tblPriorPrice,2)</f>
        <v>53</v>
      </c>
      <c r="F82" s="190" t="n">
        <f aca="false">G82-E82</f>
        <v>0</v>
      </c>
      <c r="G82" s="190" t="n">
        <f aca="true">G70+OFFSET($CG$4,$B82,$C82)</f>
        <v>53</v>
      </c>
      <c r="H82" s="96" t="n">
        <f aca="true">G82+OFFSET($CU$4,$B82,$C82)</f>
        <v>48</v>
      </c>
      <c r="I82" s="96" t="n">
        <f aca="true">G82+OFFSET($DI$4,$B82,$C82)</f>
        <v>68</v>
      </c>
      <c r="J82" s="94" t="n">
        <f aca="false">VLOOKUP($D82,tblPriorPrice,3)</f>
        <v>36</v>
      </c>
      <c r="K82" s="190" t="n">
        <f aca="false">L82-J82</f>
        <v>0</v>
      </c>
      <c r="L82" s="190" t="n">
        <f aca="true">L70+OFFSET($CG$27,$B82,$C82)</f>
        <v>36</v>
      </c>
      <c r="M82" s="96" t="n">
        <f aca="true">$L82+OFFSET($CU$27,$B82,$C82)</f>
        <v>31</v>
      </c>
      <c r="N82" s="97" t="n">
        <f aca="true">$L82+OFFSET($DI$27,$B82,$C82)</f>
        <v>41</v>
      </c>
      <c r="O82" s="59" t="n">
        <f aca="true">IF($A82="",0,INDEX(tblPosn,$A82,2))</f>
        <v>137412.5625</v>
      </c>
      <c r="P82" s="59" t="n">
        <f aca="true">IF($A82="",0,INDEX(tblPosn,$A82,3))</f>
        <v>96188.796875</v>
      </c>
      <c r="Q82" s="59" t="n">
        <f aca="true">IF($A82="",0,INDEX(tblPosn,$A82,4))</f>
        <v>27482.51171875</v>
      </c>
      <c r="R82" s="59" t="n">
        <f aca="true">IF($A82="",0,INDEX(tblPosn,$A82,5))</f>
        <v>27482.51171875</v>
      </c>
      <c r="S82" s="59" t="n">
        <f aca="true">IF($A82="",0,INDEX(tblPosn,$A82,6))</f>
        <v>0</v>
      </c>
      <c r="T82" s="98" t="n">
        <f aca="false">O82*F82+P82*K82+R82*AC82+S82*AH82/0.72+Q82*X82</f>
        <v>0</v>
      </c>
      <c r="V82" s="161" t="n">
        <f aca="false">D82</f>
        <v>38384</v>
      </c>
      <c r="W82" s="94" t="n">
        <f aca="false">VLOOKUP($D82,tblPriorPrice,4)</f>
        <v>35</v>
      </c>
      <c r="X82" s="95" t="n">
        <f aca="false">Y82-W82</f>
        <v>0</v>
      </c>
      <c r="Y82" s="191" t="n">
        <f aca="true">Y70+OFFSET($CG$50,$B82,$C82)</f>
        <v>35</v>
      </c>
      <c r="Z82" s="96" t="n">
        <f aca="true">Y82+OFFSET($CU$51,$B82,$C82)</f>
        <v>30</v>
      </c>
      <c r="AA82" s="177" t="n">
        <f aca="true">Y82+OFFSET($DI$51,$B82,$C82)</f>
        <v>55</v>
      </c>
      <c r="AB82" s="94" t="n">
        <f aca="false">VLOOKUP($D82,tblPriorPrice,5)</f>
        <v>34</v>
      </c>
      <c r="AC82" s="190" t="n">
        <f aca="false">AD82-AB82</f>
        <v>0</v>
      </c>
      <c r="AD82" s="191" t="n">
        <f aca="true">AD70+OFFSET($CG$73,$B82,$C82)</f>
        <v>34</v>
      </c>
      <c r="AE82" s="96" t="n">
        <f aca="true">AD82+OFFSET($CU$74,$B82,$C82)</f>
        <v>29</v>
      </c>
      <c r="AF82" s="177" t="n">
        <f aca="true">AD82+OFFSET($DI$74,$B82,$C82)</f>
        <v>54</v>
      </c>
      <c r="AG82" s="94" t="n">
        <f aca="false">VLOOKUP($D82,tblPriorPrice,6)</f>
        <v>1</v>
      </c>
      <c r="AH82" s="190" t="n">
        <f aca="false">AI82-AG82</f>
        <v>0</v>
      </c>
      <c r="AI82" s="191" t="n">
        <f aca="true">AI70+OFFSET($CG$96,$B82,$C82)</f>
        <v>1</v>
      </c>
      <c r="AJ82" s="96" t="n">
        <f aca="true">AI82+OFFSET($CU$96,$B82,$C82)</f>
        <v>1</v>
      </c>
      <c r="AK82" s="97" t="n">
        <f aca="true">AI82+OFFSET($DI$96,$B82,$C82)</f>
        <v>1</v>
      </c>
      <c r="AL82" s="178" t="n">
        <v>17</v>
      </c>
      <c r="AM82" s="165" t="n">
        <v>0.4</v>
      </c>
      <c r="AN82" s="167" t="n">
        <f aca="false">'[3]Pricing Summary'!$AM60</f>
        <v>0.28</v>
      </c>
      <c r="AO82" s="167" t="n">
        <f aca="false">0.9*AN82</f>
        <v>0.252</v>
      </c>
      <c r="AP82" s="166" t="n">
        <f aca="false">1.5*AN82</f>
        <v>0.42</v>
      </c>
      <c r="AQ82" s="167" t="n">
        <f aca="false">AN82</f>
        <v>0.28</v>
      </c>
      <c r="AR82" s="166" t="n">
        <f aca="false">0.8*AQ82</f>
        <v>0.224</v>
      </c>
      <c r="AS82" s="166" t="n">
        <f aca="false">1.2*AQ82</f>
        <v>0.336</v>
      </c>
      <c r="AT82" s="169" t="n">
        <f aca="false">IF(G82&lt;110,17.94063*(LN(G82/100))+6.727568*(LN(G82/100)^2)+15.06494,(-4.1*G82+2135)/100)*0.5</f>
        <v>3.19325374199179</v>
      </c>
      <c r="AU82" s="169" t="n">
        <f aca="false">(0.75*AT82-AT82)</f>
        <v>-0.798313435497948</v>
      </c>
      <c r="AV82" s="166" t="n">
        <f aca="false">AT82/0.5*1.25-AT82</f>
        <v>4.78988061298769</v>
      </c>
      <c r="AW82" s="168" t="n">
        <f aca="false">IF(L82&lt;15,(15*L82+375)/100,(-4.71*L82+670.65)/100)*0.5</f>
        <v>2.50545</v>
      </c>
      <c r="AX82" s="166" t="n">
        <f aca="false">0.75*AW82-AW82</f>
        <v>-0.6263625</v>
      </c>
      <c r="AY82" s="166" t="n">
        <f aca="false">AW82/0.5*1.25-AW82</f>
        <v>3.758175</v>
      </c>
      <c r="AZ82" s="167" t="n">
        <v>0.5</v>
      </c>
      <c r="BA82" s="74"/>
      <c r="BB82" s="208" t="n">
        <v>7</v>
      </c>
      <c r="BC82" s="209"/>
      <c r="BD82" s="210"/>
      <c r="BE82" s="211"/>
      <c r="BF82" s="212"/>
      <c r="BG82" s="210"/>
      <c r="BH82" s="211"/>
      <c r="BI82" s="209"/>
      <c r="BJ82" s="210"/>
      <c r="BK82" s="211"/>
      <c r="BL82" s="212"/>
      <c r="BM82" s="210"/>
      <c r="BN82" s="211"/>
      <c r="BQ82" s="108" t="n">
        <v>36907.7428240741</v>
      </c>
      <c r="BR82" s="109" t="n">
        <v>36907.743287037</v>
      </c>
      <c r="BS82" s="110" t="n">
        <v>38322</v>
      </c>
      <c r="BT82" s="111" t="n">
        <v>159528.609375</v>
      </c>
      <c r="BU82" s="112" t="n">
        <v>107508.4140625</v>
      </c>
      <c r="BV82" s="112" t="n">
        <v>20808.080078125</v>
      </c>
      <c r="BW82" s="112" t="n">
        <v>34680.1328125</v>
      </c>
      <c r="BX82" s="113" t="n">
        <v>0</v>
      </c>
      <c r="BZ82" s="110" t="n">
        <v>38384</v>
      </c>
      <c r="CA82" s="185" t="n">
        <v>53</v>
      </c>
      <c r="CB82" s="116" t="n">
        <v>36</v>
      </c>
      <c r="CC82" s="181" t="n">
        <v>35</v>
      </c>
      <c r="CD82" s="181" t="n">
        <v>34</v>
      </c>
      <c r="CE82" s="117" t="n">
        <v>1</v>
      </c>
      <c r="CG82" s="135" t="n">
        <f aca="false">BB18</f>
        <v>2009</v>
      </c>
      <c r="CH82" s="137" t="n">
        <v>0</v>
      </c>
      <c r="CI82" s="137" t="n">
        <v>0</v>
      </c>
      <c r="CJ82" s="137" t="n">
        <v>0</v>
      </c>
      <c r="CK82" s="137" t="n">
        <v>0</v>
      </c>
      <c r="CL82" s="137" t="n">
        <v>1</v>
      </c>
      <c r="CM82" s="137" t="n">
        <v>0</v>
      </c>
      <c r="CN82" s="137" t="n">
        <v>0</v>
      </c>
      <c r="CO82" s="137" t="n">
        <v>1</v>
      </c>
      <c r="CP82" s="137" t="n">
        <v>1</v>
      </c>
      <c r="CQ82" s="137" t="n">
        <v>0</v>
      </c>
      <c r="CR82" s="137" t="n">
        <v>0</v>
      </c>
      <c r="CS82" s="138" t="n">
        <v>-1</v>
      </c>
      <c r="CU82" s="135" t="n">
        <f aca="false">BB18</f>
        <v>2009</v>
      </c>
      <c r="CV82" s="136" t="n">
        <v>-5</v>
      </c>
      <c r="CW82" s="137" t="n">
        <v>-5</v>
      </c>
      <c r="CX82" s="137" t="n">
        <v>-5</v>
      </c>
      <c r="CY82" s="137" t="n">
        <v>-5</v>
      </c>
      <c r="CZ82" s="137" t="n">
        <v>-5</v>
      </c>
      <c r="DA82" s="137" t="n">
        <v>-5</v>
      </c>
      <c r="DB82" s="137" t="n">
        <v>-5</v>
      </c>
      <c r="DC82" s="137" t="n">
        <v>-5</v>
      </c>
      <c r="DD82" s="137" t="n">
        <v>-5</v>
      </c>
      <c r="DE82" s="137" t="n">
        <v>-5</v>
      </c>
      <c r="DF82" s="137" t="n">
        <v>-5</v>
      </c>
      <c r="DG82" s="138" t="n">
        <v>-5</v>
      </c>
      <c r="DI82" s="202" t="n">
        <f aca="false">BB18</f>
        <v>2009</v>
      </c>
      <c r="DJ82" s="137" t="n">
        <f aca="false">DJ59</f>
        <v>23</v>
      </c>
      <c r="DK82" s="137" t="n">
        <f aca="false">DK59</f>
        <v>23</v>
      </c>
      <c r="DL82" s="137" t="n">
        <f aca="false">DL59</f>
        <v>23</v>
      </c>
      <c r="DM82" s="137" t="n">
        <f aca="false">DM59</f>
        <v>23</v>
      </c>
      <c r="DN82" s="137" t="n">
        <f aca="false">DN59</f>
        <v>23</v>
      </c>
      <c r="DO82" s="137" t="n">
        <f aca="false">DO59</f>
        <v>23</v>
      </c>
      <c r="DP82" s="137" t="n">
        <f aca="false">DP59</f>
        <v>23</v>
      </c>
      <c r="DQ82" s="137" t="n">
        <f aca="false">DQ59</f>
        <v>23</v>
      </c>
      <c r="DR82" s="137" t="n">
        <f aca="false">DR59</f>
        <v>23</v>
      </c>
      <c r="DS82" s="137" t="n">
        <f aca="false">DS59</f>
        <v>23</v>
      </c>
      <c r="DT82" s="137" t="n">
        <f aca="false">DT59</f>
        <v>23</v>
      </c>
      <c r="DU82" s="137" t="n">
        <f aca="false">DU59</f>
        <v>23</v>
      </c>
    </row>
    <row r="83" customFormat="false" ht="12.75" hidden="false" customHeight="false" outlineLevel="0" collapsed="false">
      <c r="A83" s="0" t="n">
        <f aca="true">IF(ISERROR(MATCH(D83,iRefDt,0)),"",MATCH(D83,iRefDt,0))</f>
        <v>83</v>
      </c>
      <c r="B83" s="92" t="n">
        <f aca="false">MATCH(YEAR(D83),iSpreads)</f>
        <v>5</v>
      </c>
      <c r="C83" s="0" t="n">
        <f aca="false">MONTH(D83)</f>
        <v>3</v>
      </c>
      <c r="D83" s="93" t="n">
        <f aca="false">DATE(YEAR(D82),MONTH(D82)+1,1)</f>
        <v>38412</v>
      </c>
      <c r="E83" s="94" t="n">
        <f aca="false">VLOOKUP($D83,tblPriorPrice,2)</f>
        <v>44</v>
      </c>
      <c r="F83" s="190" t="n">
        <f aca="false">G83-E83</f>
        <v>0</v>
      </c>
      <c r="G83" s="190" t="n">
        <f aca="true">G71+OFFSET($CG$4,$B83,$C83)</f>
        <v>44</v>
      </c>
      <c r="H83" s="96" t="n">
        <f aca="true">G83+OFFSET($CU$4,$B83,$C83)</f>
        <v>39</v>
      </c>
      <c r="I83" s="96" t="n">
        <f aca="true">G83+OFFSET($DI$4,$B83,$C83)</f>
        <v>59</v>
      </c>
      <c r="J83" s="94" t="n">
        <f aca="false">VLOOKUP($D83,tblPriorPrice,3)</f>
        <v>34</v>
      </c>
      <c r="K83" s="190" t="n">
        <f aca="false">L83-J83</f>
        <v>0</v>
      </c>
      <c r="L83" s="190" t="n">
        <f aca="true">L71+OFFSET($CG$27,$B83,$C83)</f>
        <v>34</v>
      </c>
      <c r="M83" s="96" t="n">
        <f aca="true">$L83+OFFSET($CU$27,$B83,$C83)</f>
        <v>29</v>
      </c>
      <c r="N83" s="97" t="n">
        <f aca="true">$L83+OFFSET($DI$27,$B83,$C83)</f>
        <v>39</v>
      </c>
      <c r="O83" s="59" t="n">
        <f aca="true">IF($A83="",0,INDEX(tblPosn,$A83,2))</f>
        <v>157235.984375</v>
      </c>
      <c r="P83" s="59" t="n">
        <f aca="true">IF($A83="",0,INDEX(tblPosn,$A83,3))</f>
        <v>105963.375</v>
      </c>
      <c r="Q83" s="59" t="n">
        <f aca="true">IF($A83="",0,INDEX(tblPosn,$A83,4))</f>
        <v>27345.388671875</v>
      </c>
      <c r="R83" s="59" t="n">
        <f aca="true">IF($A83="",0,INDEX(tblPosn,$A83,5))</f>
        <v>27345.388671875</v>
      </c>
      <c r="S83" s="59" t="n">
        <f aca="true">IF($A83="",0,INDEX(tblPosn,$A83,6))</f>
        <v>0</v>
      </c>
      <c r="T83" s="98" t="n">
        <f aca="false">O83*F83+P83*K83+R83*AC83+S83*AH83/0.72+Q83*X83</f>
        <v>0</v>
      </c>
      <c r="V83" s="161" t="n">
        <f aca="false">D83</f>
        <v>38412</v>
      </c>
      <c r="W83" s="94" t="n">
        <f aca="false">VLOOKUP($D83,tblPriorPrice,4)</f>
        <v>33</v>
      </c>
      <c r="X83" s="95" t="n">
        <f aca="false">Y83-W83</f>
        <v>0</v>
      </c>
      <c r="Y83" s="191" t="n">
        <f aca="true">Y71+OFFSET($CG$50,$B83,$C83)</f>
        <v>33</v>
      </c>
      <c r="Z83" s="96" t="n">
        <f aca="true">Y83+OFFSET($CU$51,$B83,$C83)</f>
        <v>28</v>
      </c>
      <c r="AA83" s="177" t="n">
        <f aca="true">Y83+OFFSET($DI$51,$B83,$C83)</f>
        <v>53</v>
      </c>
      <c r="AB83" s="94" t="n">
        <f aca="false">VLOOKUP($D83,tblPriorPrice,5)</f>
        <v>32</v>
      </c>
      <c r="AC83" s="190" t="n">
        <f aca="false">AD83-AB83</f>
        <v>0</v>
      </c>
      <c r="AD83" s="191" t="n">
        <f aca="true">AD71+OFFSET($CG$73,$B83,$C83)</f>
        <v>32</v>
      </c>
      <c r="AE83" s="96" t="n">
        <f aca="true">AD83+OFFSET($CU$74,$B83,$C83)</f>
        <v>27</v>
      </c>
      <c r="AF83" s="177" t="n">
        <f aca="true">AD83+OFFSET($DI$74,$B83,$C83)</f>
        <v>52</v>
      </c>
      <c r="AG83" s="94" t="n">
        <f aca="false">VLOOKUP($D83,tblPriorPrice,6)</f>
        <v>1</v>
      </c>
      <c r="AH83" s="190" t="n">
        <f aca="false">AI83-AG83</f>
        <v>0</v>
      </c>
      <c r="AI83" s="191" t="n">
        <f aca="true">AI71+OFFSET($CG$96,$B83,$C83)</f>
        <v>1</v>
      </c>
      <c r="AJ83" s="96" t="n">
        <f aca="true">AI83+OFFSET($CU$96,$B83,$C83)</f>
        <v>1</v>
      </c>
      <c r="AK83" s="97" t="n">
        <f aca="true">AI83+OFFSET($DI$96,$B83,$C83)</f>
        <v>1</v>
      </c>
      <c r="AL83" s="178" t="n">
        <v>18</v>
      </c>
      <c r="AM83" s="165" t="n">
        <v>0.4</v>
      </c>
      <c r="AN83" s="167" t="n">
        <f aca="false">'[3]Pricing Summary'!$AM61</f>
        <v>0.275</v>
      </c>
      <c r="AO83" s="167" t="n">
        <f aca="false">0.9*AN83</f>
        <v>0.2475</v>
      </c>
      <c r="AP83" s="166" t="n">
        <f aca="false">1.5*AN83</f>
        <v>0.4125</v>
      </c>
      <c r="AQ83" s="167" t="n">
        <f aca="false">AN83</f>
        <v>0.275</v>
      </c>
      <c r="AR83" s="166" t="n">
        <f aca="false">0.8*AQ83</f>
        <v>0.22</v>
      </c>
      <c r="AS83" s="166" t="n">
        <f aca="false">1.2*AQ83</f>
        <v>0.33</v>
      </c>
      <c r="AT83" s="169" t="n">
        <f aca="false">IF(G83&lt;110,17.94063*(LN(G83/100))+6.727568*(LN(G83/100)^2)+15.06494,(-4.1*G83+2135)/100)*0.5</f>
        <v>2.43523675407511</v>
      </c>
      <c r="AU83" s="169" t="n">
        <f aca="false">(0.75*AT83-AT83)</f>
        <v>-0.608809188518778</v>
      </c>
      <c r="AV83" s="166" t="n">
        <f aca="false">AT83/0.5*1.25-AT83</f>
        <v>3.65285513111267</v>
      </c>
      <c r="AW83" s="168" t="n">
        <f aca="false">IF(L83&lt;15,(15*L83+375)/100,(-4.71*L83+670.65)/100)*0.5</f>
        <v>2.55255</v>
      </c>
      <c r="AX83" s="166" t="n">
        <f aca="false">0.75*AW83-AW83</f>
        <v>-0.6381375</v>
      </c>
      <c r="AY83" s="166" t="n">
        <f aca="false">AW83/0.5*1.25-AW83</f>
        <v>3.828825</v>
      </c>
      <c r="AZ83" s="167" t="n">
        <v>0.5</v>
      </c>
      <c r="BA83" s="74"/>
      <c r="BB83" s="208" t="n">
        <v>8</v>
      </c>
      <c r="BC83" s="209"/>
      <c r="BD83" s="210"/>
      <c r="BE83" s="211"/>
      <c r="BF83" s="212"/>
      <c r="BG83" s="210"/>
      <c r="BH83" s="211"/>
      <c r="BI83" s="209"/>
      <c r="BJ83" s="210"/>
      <c r="BK83" s="211"/>
      <c r="BL83" s="212"/>
      <c r="BM83" s="210"/>
      <c r="BN83" s="211"/>
      <c r="BQ83" s="108" t="n">
        <v>36907.7428240741</v>
      </c>
      <c r="BR83" s="109" t="n">
        <v>36907.743287037</v>
      </c>
      <c r="BS83" s="110" t="n">
        <v>38353</v>
      </c>
      <c r="BT83" s="111" t="n">
        <v>144934.4375</v>
      </c>
      <c r="BU83" s="112" t="n">
        <v>106975.40625</v>
      </c>
      <c r="BV83" s="112" t="n">
        <v>27606.55859375</v>
      </c>
      <c r="BW83" s="112" t="n">
        <v>41409.83984375</v>
      </c>
      <c r="BX83" s="113" t="n">
        <v>0</v>
      </c>
      <c r="BZ83" s="110" t="n">
        <v>38412</v>
      </c>
      <c r="CA83" s="185" t="n">
        <v>44</v>
      </c>
      <c r="CB83" s="116" t="n">
        <v>34</v>
      </c>
      <c r="CC83" s="181" t="n">
        <v>33</v>
      </c>
      <c r="CD83" s="181" t="n">
        <v>32</v>
      </c>
      <c r="CE83" s="117" t="n">
        <v>1</v>
      </c>
      <c r="CG83" s="135" t="n">
        <f aca="false">BB19</f>
        <v>2010</v>
      </c>
      <c r="CH83" s="137" t="n">
        <v>0</v>
      </c>
      <c r="CI83" s="137" t="n">
        <v>0</v>
      </c>
      <c r="CJ83" s="137" t="n">
        <v>0</v>
      </c>
      <c r="CK83" s="137" t="n">
        <v>1</v>
      </c>
      <c r="CL83" s="137" t="n">
        <v>0</v>
      </c>
      <c r="CM83" s="137" t="n">
        <v>1</v>
      </c>
      <c r="CN83" s="137" t="n">
        <v>1</v>
      </c>
      <c r="CO83" s="137" t="n">
        <v>1</v>
      </c>
      <c r="CP83" s="137" t="n">
        <v>1</v>
      </c>
      <c r="CQ83" s="137" t="n">
        <v>1</v>
      </c>
      <c r="CR83" s="137" t="n">
        <v>0</v>
      </c>
      <c r="CS83" s="138" t="n">
        <v>0</v>
      </c>
      <c r="CU83" s="135" t="n">
        <f aca="false">BB19</f>
        <v>2010</v>
      </c>
      <c r="CV83" s="136" t="n">
        <v>-5</v>
      </c>
      <c r="CW83" s="137" t="n">
        <v>-5</v>
      </c>
      <c r="CX83" s="137" t="n">
        <v>-5</v>
      </c>
      <c r="CY83" s="137" t="n">
        <v>-5</v>
      </c>
      <c r="CZ83" s="137" t="n">
        <v>-5</v>
      </c>
      <c r="DA83" s="137" t="n">
        <v>-5</v>
      </c>
      <c r="DB83" s="137" t="n">
        <v>-5</v>
      </c>
      <c r="DC83" s="137" t="n">
        <v>-5</v>
      </c>
      <c r="DD83" s="137" t="n">
        <v>-5</v>
      </c>
      <c r="DE83" s="137" t="n">
        <v>-5</v>
      </c>
      <c r="DF83" s="137" t="n">
        <v>-5</v>
      </c>
      <c r="DG83" s="138" t="n">
        <v>-5</v>
      </c>
      <c r="DI83" s="202" t="n">
        <f aca="false">BB19</f>
        <v>2010</v>
      </c>
      <c r="DJ83" s="137" t="n">
        <f aca="false">DJ60</f>
        <v>24</v>
      </c>
      <c r="DK83" s="137" t="n">
        <f aca="false">DK60</f>
        <v>24</v>
      </c>
      <c r="DL83" s="137" t="n">
        <f aca="false">DL60</f>
        <v>24</v>
      </c>
      <c r="DM83" s="137" t="n">
        <f aca="false">DM60</f>
        <v>24</v>
      </c>
      <c r="DN83" s="137" t="n">
        <f aca="false">DN60</f>
        <v>24</v>
      </c>
      <c r="DO83" s="137" t="n">
        <f aca="false">DO60</f>
        <v>24</v>
      </c>
      <c r="DP83" s="137" t="n">
        <f aca="false">DP60</f>
        <v>24</v>
      </c>
      <c r="DQ83" s="137" t="n">
        <f aca="false">DQ60</f>
        <v>24</v>
      </c>
      <c r="DR83" s="137" t="n">
        <f aca="false">DR60</f>
        <v>24</v>
      </c>
      <c r="DS83" s="137" t="n">
        <f aca="false">DS60</f>
        <v>24</v>
      </c>
      <c r="DT83" s="137" t="n">
        <f aca="false">DT60</f>
        <v>24</v>
      </c>
      <c r="DU83" s="137" t="n">
        <f aca="false">DU60</f>
        <v>24</v>
      </c>
    </row>
    <row r="84" customFormat="false" ht="12.75" hidden="false" customHeight="false" outlineLevel="0" collapsed="false">
      <c r="A84" s="0" t="n">
        <f aca="true">IF(ISERROR(MATCH(D84,iRefDt,0)),"",MATCH(D84,iRefDt,0))</f>
        <v>84</v>
      </c>
      <c r="B84" s="92" t="n">
        <f aca="false">MATCH(YEAR(D84),iSpreads)</f>
        <v>5</v>
      </c>
      <c r="C84" s="0" t="n">
        <f aca="false">MONTH(D84)</f>
        <v>4</v>
      </c>
      <c r="D84" s="93" t="n">
        <f aca="false">DATE(YEAR(D83),MONTH(D83)+1,1)</f>
        <v>38443</v>
      </c>
      <c r="E84" s="94" t="n">
        <f aca="false">VLOOKUP($D84,tblPriorPrice,2)</f>
        <v>31</v>
      </c>
      <c r="F84" s="190" t="n">
        <f aca="false">G84-E84</f>
        <v>0</v>
      </c>
      <c r="G84" s="190" t="n">
        <f aca="true">G72+OFFSET($CG$4,$B84,$C84)</f>
        <v>31</v>
      </c>
      <c r="H84" s="96" t="n">
        <f aca="true">G84+OFFSET($CU$4,$B84,$C84)</f>
        <v>26</v>
      </c>
      <c r="I84" s="96" t="n">
        <f aca="true">G84+OFFSET($DI$4,$B84,$C84)</f>
        <v>46</v>
      </c>
      <c r="J84" s="94" t="n">
        <f aca="false">VLOOKUP($D84,tblPriorPrice,3)</f>
        <v>33</v>
      </c>
      <c r="K84" s="190" t="n">
        <f aca="false">L84-J84</f>
        <v>0</v>
      </c>
      <c r="L84" s="190" t="n">
        <f aca="true">L72+OFFSET($CG$27,$B84,$C84)</f>
        <v>33</v>
      </c>
      <c r="M84" s="96" t="n">
        <f aca="true">$L84+OFFSET($CU$27,$B84,$C84)</f>
        <v>28</v>
      </c>
      <c r="N84" s="97" t="n">
        <f aca="true">$L84+OFFSET($DI$27,$B84,$C84)</f>
        <v>38</v>
      </c>
      <c r="O84" s="59" t="n">
        <f aca="true">IF($A84="",0,INDEX(tblPosn,$A84,2))</f>
        <v>142864.65625</v>
      </c>
      <c r="P84" s="59" t="n">
        <f aca="true">IF($A84="",0,INDEX(tblPosn,$A84,3))</f>
        <v>101620.984375</v>
      </c>
      <c r="Q84" s="59" t="n">
        <f aca="true">IF($A84="",0,INDEX(tblPosn,$A84,4))</f>
        <v>34015.39453125</v>
      </c>
      <c r="R84" s="59" t="n">
        <f aca="true">IF($A84="",0,INDEX(tblPosn,$A84,5))</f>
        <v>27212.314453125</v>
      </c>
      <c r="S84" s="59" t="n">
        <f aca="true">IF($A84="",0,INDEX(tblPosn,$A84,6))</f>
        <v>0</v>
      </c>
      <c r="T84" s="98" t="n">
        <f aca="false">O84*F84+P84*K84+R84*AC84+S84*AH84/0.72+Q84*X84</f>
        <v>0</v>
      </c>
      <c r="V84" s="161" t="n">
        <f aca="false">D84</f>
        <v>38443</v>
      </c>
      <c r="W84" s="94" t="n">
        <f aca="false">VLOOKUP($D84,tblPriorPrice,4)</f>
        <v>31</v>
      </c>
      <c r="X84" s="95" t="n">
        <f aca="false">Y84-W84</f>
        <v>0</v>
      </c>
      <c r="Y84" s="191" t="n">
        <f aca="true">Y72+OFFSET($CG$50,$B84,$C84)</f>
        <v>31</v>
      </c>
      <c r="Z84" s="96" t="n">
        <f aca="true">Y84+OFFSET($CU$51,$B84,$C84)</f>
        <v>26</v>
      </c>
      <c r="AA84" s="177" t="n">
        <f aca="true">Y84+OFFSET($DI$51,$B84,$C84)</f>
        <v>51</v>
      </c>
      <c r="AB84" s="94" t="n">
        <f aca="false">VLOOKUP($D84,tblPriorPrice,5)</f>
        <v>31</v>
      </c>
      <c r="AC84" s="190" t="n">
        <f aca="false">AD84-AB84</f>
        <v>0</v>
      </c>
      <c r="AD84" s="191" t="n">
        <f aca="true">AD72+OFFSET($CG$73,$B84,$C84)</f>
        <v>31</v>
      </c>
      <c r="AE84" s="96" t="n">
        <f aca="true">AD84+OFFSET($CU$74,$B84,$C84)</f>
        <v>26</v>
      </c>
      <c r="AF84" s="177" t="n">
        <f aca="true">AD84+OFFSET($DI$74,$B84,$C84)</f>
        <v>51</v>
      </c>
      <c r="AG84" s="94" t="n">
        <f aca="false">VLOOKUP($D84,tblPriorPrice,6)</f>
        <v>1</v>
      </c>
      <c r="AH84" s="190" t="n">
        <f aca="false">AI84-AG84</f>
        <v>0</v>
      </c>
      <c r="AI84" s="191" t="n">
        <f aca="true">AI72+OFFSET($CG$96,$B84,$C84)</f>
        <v>1</v>
      </c>
      <c r="AJ84" s="96" t="n">
        <f aca="true">AI84+OFFSET($CU$96,$B84,$C84)</f>
        <v>1</v>
      </c>
      <c r="AK84" s="97" t="n">
        <f aca="true">AI84+OFFSET($DI$96,$B84,$C84)</f>
        <v>1</v>
      </c>
      <c r="AL84" s="178" t="n">
        <v>18</v>
      </c>
      <c r="AM84" s="165" t="n">
        <v>0.4</v>
      </c>
      <c r="AN84" s="167" t="n">
        <f aca="false">'[3]Pricing Summary'!$AM62</f>
        <v>0.255</v>
      </c>
      <c r="AO84" s="167" t="n">
        <f aca="false">0.9*AN84</f>
        <v>0.2295</v>
      </c>
      <c r="AP84" s="166" t="n">
        <f aca="false">1.5*AN84</f>
        <v>0.3825</v>
      </c>
      <c r="AQ84" s="167" t="n">
        <f aca="false">AN84</f>
        <v>0.255</v>
      </c>
      <c r="AR84" s="166" t="n">
        <f aca="false">0.8*AQ84</f>
        <v>0.204</v>
      </c>
      <c r="AS84" s="166" t="n">
        <f aca="false">1.2*AQ84</f>
        <v>0.306</v>
      </c>
      <c r="AT84" s="169" t="n">
        <f aca="false">IF(G84&lt;110,17.94063*(LN(G84/100))+6.727568*(LN(G84/100)^2)+15.06494,(-4.1*G84+2135)/100)*0.5</f>
        <v>1.64058990686036</v>
      </c>
      <c r="AU84" s="169" t="n">
        <f aca="false">(0.75*AT84-AT84)</f>
        <v>-0.410147476715089</v>
      </c>
      <c r="AV84" s="166" t="n">
        <f aca="false">AT84/0.5*1.25-AT84</f>
        <v>2.46088486029054</v>
      </c>
      <c r="AW84" s="168" t="n">
        <f aca="false">IF(L84&lt;15,(15*L84+375)/100,(-4.71*L84+670.65)/100)*0.5</f>
        <v>2.5761</v>
      </c>
      <c r="AX84" s="166" t="n">
        <f aca="false">0.75*AW84-AW84</f>
        <v>-0.644025</v>
      </c>
      <c r="AY84" s="166" t="n">
        <f aca="false">AW84/0.5*1.25-AW84</f>
        <v>3.86415</v>
      </c>
      <c r="AZ84" s="167" t="n">
        <v>0.5</v>
      </c>
      <c r="BA84" s="74"/>
      <c r="BB84" s="208" t="n">
        <v>9</v>
      </c>
      <c r="BC84" s="209"/>
      <c r="BD84" s="210"/>
      <c r="BE84" s="211"/>
      <c r="BF84" s="212"/>
      <c r="BG84" s="210"/>
      <c r="BH84" s="211"/>
      <c r="BI84" s="209"/>
      <c r="BJ84" s="210"/>
      <c r="BK84" s="211"/>
      <c r="BL84" s="212"/>
      <c r="BM84" s="210"/>
      <c r="BN84" s="211"/>
      <c r="BQ84" s="108" t="n">
        <v>36907.7428240741</v>
      </c>
      <c r="BR84" s="109" t="n">
        <v>36907.743287037</v>
      </c>
      <c r="BS84" s="110" t="n">
        <v>38384</v>
      </c>
      <c r="BT84" s="111" t="n">
        <v>137412.5625</v>
      </c>
      <c r="BU84" s="112" t="n">
        <v>96188.796875</v>
      </c>
      <c r="BV84" s="112" t="n">
        <v>27482.51171875</v>
      </c>
      <c r="BW84" s="112" t="n">
        <v>27482.51171875</v>
      </c>
      <c r="BX84" s="113" t="n">
        <v>0</v>
      </c>
      <c r="BZ84" s="110" t="n">
        <v>38443</v>
      </c>
      <c r="CA84" s="185" t="n">
        <v>31</v>
      </c>
      <c r="CB84" s="116" t="n">
        <v>33</v>
      </c>
      <c r="CC84" s="181" t="n">
        <v>31</v>
      </c>
      <c r="CD84" s="181" t="n">
        <v>31</v>
      </c>
      <c r="CE84" s="117" t="n">
        <v>1</v>
      </c>
      <c r="CG84" s="135" t="n">
        <f aca="false">BB20</f>
        <v>2011</v>
      </c>
      <c r="CH84" s="137" t="n">
        <v>0</v>
      </c>
      <c r="CI84" s="137" t="n">
        <v>0</v>
      </c>
      <c r="CJ84" s="137" t="n">
        <v>0</v>
      </c>
      <c r="CK84" s="137" t="n">
        <v>0</v>
      </c>
      <c r="CL84" s="137" t="n">
        <v>0</v>
      </c>
      <c r="CM84" s="137" t="n">
        <v>0</v>
      </c>
      <c r="CN84" s="137" t="n">
        <v>0</v>
      </c>
      <c r="CO84" s="137" t="n">
        <v>0</v>
      </c>
      <c r="CP84" s="137" t="n">
        <v>0</v>
      </c>
      <c r="CQ84" s="137" t="n">
        <v>0</v>
      </c>
      <c r="CR84" s="137" t="n">
        <v>0</v>
      </c>
      <c r="CS84" s="138" t="n">
        <v>0</v>
      </c>
      <c r="CU84" s="135" t="n">
        <f aca="false">BB20</f>
        <v>2011</v>
      </c>
      <c r="CV84" s="136" t="n">
        <v>-5</v>
      </c>
      <c r="CW84" s="137" t="n">
        <v>-5</v>
      </c>
      <c r="CX84" s="137" t="n">
        <v>-5</v>
      </c>
      <c r="CY84" s="137" t="n">
        <v>-5</v>
      </c>
      <c r="CZ84" s="137" t="n">
        <v>-5</v>
      </c>
      <c r="DA84" s="137" t="n">
        <v>-5</v>
      </c>
      <c r="DB84" s="137" t="n">
        <v>-5</v>
      </c>
      <c r="DC84" s="137" t="n">
        <v>-5</v>
      </c>
      <c r="DD84" s="137" t="n">
        <v>-5</v>
      </c>
      <c r="DE84" s="137" t="n">
        <v>-5</v>
      </c>
      <c r="DF84" s="137" t="n">
        <v>-5</v>
      </c>
      <c r="DG84" s="138" t="n">
        <v>-5</v>
      </c>
      <c r="DI84" s="202" t="n">
        <f aca="false">BB20</f>
        <v>2011</v>
      </c>
      <c r="DJ84" s="137" t="n">
        <f aca="false">DJ61</f>
        <v>25</v>
      </c>
      <c r="DK84" s="137" t="n">
        <f aca="false">DK61</f>
        <v>25</v>
      </c>
      <c r="DL84" s="137" t="n">
        <f aca="false">DL61</f>
        <v>25</v>
      </c>
      <c r="DM84" s="137" t="n">
        <f aca="false">DM61</f>
        <v>25</v>
      </c>
      <c r="DN84" s="137" t="n">
        <f aca="false">DN61</f>
        <v>25</v>
      </c>
      <c r="DO84" s="137" t="n">
        <f aca="false">DO61</f>
        <v>25</v>
      </c>
      <c r="DP84" s="137" t="n">
        <f aca="false">DP61</f>
        <v>25</v>
      </c>
      <c r="DQ84" s="137" t="n">
        <f aca="false">DQ61</f>
        <v>25</v>
      </c>
      <c r="DR84" s="137" t="n">
        <f aca="false">DR61</f>
        <v>25</v>
      </c>
      <c r="DS84" s="137" t="n">
        <f aca="false">DS61</f>
        <v>25</v>
      </c>
      <c r="DT84" s="137" t="n">
        <f aca="false">DT61</f>
        <v>25</v>
      </c>
      <c r="DU84" s="137" t="n">
        <f aca="false">DU61</f>
        <v>25</v>
      </c>
    </row>
    <row r="85" customFormat="false" ht="12.75" hidden="false" customHeight="false" outlineLevel="0" collapsed="false">
      <c r="A85" s="0" t="n">
        <f aca="true">IF(ISERROR(MATCH(D85,iRefDt,0)),"",MATCH(D85,iRefDt,0))</f>
        <v>85</v>
      </c>
      <c r="B85" s="92" t="n">
        <f aca="false">MATCH(YEAR(D85),iSpreads)</f>
        <v>5</v>
      </c>
      <c r="C85" s="0" t="n">
        <f aca="false">MONTH(D85)</f>
        <v>5</v>
      </c>
      <c r="D85" s="93" t="n">
        <f aca="false">DATE(YEAR(D84),MONTH(D84)+1,1)</f>
        <v>38473</v>
      </c>
      <c r="E85" s="94" t="n">
        <f aca="false">VLOOKUP($D85,tblPriorPrice,2)</f>
        <v>34</v>
      </c>
      <c r="F85" s="190" t="n">
        <f aca="false">G85-E85</f>
        <v>0</v>
      </c>
      <c r="G85" s="190" t="n">
        <f aca="true">G73+OFFSET($CG$4,$B85,$C85)</f>
        <v>34</v>
      </c>
      <c r="H85" s="96" t="n">
        <f aca="true">G85+OFFSET($CU$4,$B85,$C85)</f>
        <v>29</v>
      </c>
      <c r="I85" s="96" t="n">
        <f aca="true">G85+OFFSET($DI$4,$B85,$C85)</f>
        <v>49</v>
      </c>
      <c r="J85" s="94" t="n">
        <f aca="false">VLOOKUP($D85,tblPriorPrice,3)</f>
        <v>36</v>
      </c>
      <c r="K85" s="190" t="n">
        <f aca="false">L85-J85</f>
        <v>0</v>
      </c>
      <c r="L85" s="190" t="n">
        <f aca="true">L73+OFFSET($CG$27,$B85,$C85)</f>
        <v>36</v>
      </c>
      <c r="M85" s="96" t="n">
        <f aca="true">$L85+OFFSET($CU$27,$B85,$C85)</f>
        <v>31</v>
      </c>
      <c r="N85" s="97" t="n">
        <f aca="true">$L85+OFFSET($DI$27,$B85,$C85)</f>
        <v>41</v>
      </c>
      <c r="O85" s="59" t="n">
        <f aca="true">IF($A85="",0,INDEX(tblPosn,$A85,2))</f>
        <v>142150.21875</v>
      </c>
      <c r="P85" s="59" t="n">
        <f aca="true">IF($A85="",0,INDEX(tblPosn,$A85,3))</f>
        <v>104920.40625</v>
      </c>
      <c r="Q85" s="59" t="n">
        <f aca="true">IF($A85="",0,INDEX(tblPosn,$A85,4))</f>
        <v>27076.234375</v>
      </c>
      <c r="R85" s="59" t="n">
        <f aca="true">IF($A85="",0,INDEX(tblPosn,$A85,5))</f>
        <v>40614.3515625</v>
      </c>
      <c r="S85" s="59" t="n">
        <f aca="true">IF($A85="",0,INDEX(tblPosn,$A85,6))</f>
        <v>0</v>
      </c>
      <c r="T85" s="98" t="n">
        <f aca="false">O85*F85+P85*K85+R85*AC85+S85*AH85/0.72+Q85*X85</f>
        <v>0</v>
      </c>
      <c r="V85" s="161" t="n">
        <f aca="false">D85</f>
        <v>38473</v>
      </c>
      <c r="W85" s="94" t="n">
        <f aca="false">VLOOKUP($D85,tblPriorPrice,4)</f>
        <v>34</v>
      </c>
      <c r="X85" s="95" t="n">
        <f aca="false">Y85-W85</f>
        <v>0</v>
      </c>
      <c r="Y85" s="191" t="n">
        <f aca="true">Y73+OFFSET($CG$50,$B85,$C85)</f>
        <v>34</v>
      </c>
      <c r="Z85" s="96" t="n">
        <f aca="true">Y85+OFFSET($CU$51,$B85,$C85)</f>
        <v>29</v>
      </c>
      <c r="AA85" s="177" t="n">
        <f aca="true">Y85+OFFSET($DI$51,$B85,$C85)</f>
        <v>54</v>
      </c>
      <c r="AB85" s="94" t="n">
        <f aca="false">VLOOKUP($D85,tblPriorPrice,5)</f>
        <v>34</v>
      </c>
      <c r="AC85" s="190" t="n">
        <f aca="false">AD85-AB85</f>
        <v>0</v>
      </c>
      <c r="AD85" s="191" t="n">
        <f aca="true">AD73+OFFSET($CG$73,$B85,$C85)</f>
        <v>34</v>
      </c>
      <c r="AE85" s="96" t="n">
        <f aca="true">AD85+OFFSET($CU$74,$B85,$C85)</f>
        <v>29</v>
      </c>
      <c r="AF85" s="177" t="n">
        <f aca="true">AD85+OFFSET($DI$74,$B85,$C85)</f>
        <v>54</v>
      </c>
      <c r="AG85" s="94" t="n">
        <f aca="false">VLOOKUP($D85,tblPriorPrice,6)</f>
        <v>1</v>
      </c>
      <c r="AH85" s="190" t="n">
        <f aca="false">AI85-AG85</f>
        <v>0</v>
      </c>
      <c r="AI85" s="191" t="n">
        <f aca="true">AI73+OFFSET($CG$96,$B85,$C85)</f>
        <v>1</v>
      </c>
      <c r="AJ85" s="96" t="n">
        <f aca="true">AI85+OFFSET($CU$96,$B85,$C85)</f>
        <v>1</v>
      </c>
      <c r="AK85" s="97" t="n">
        <f aca="true">AI85+OFFSET($DI$96,$B85,$C85)</f>
        <v>1</v>
      </c>
      <c r="AL85" s="178" t="n">
        <v>18</v>
      </c>
      <c r="AM85" s="165" t="n">
        <v>0.4</v>
      </c>
      <c r="AN85" s="167" t="n">
        <f aca="false">'[3]Pricing Summary'!$AM63</f>
        <v>0.25</v>
      </c>
      <c r="AO85" s="167" t="n">
        <f aca="false">0.9*AN85</f>
        <v>0.225</v>
      </c>
      <c r="AP85" s="166" t="n">
        <f aca="false">1.5*AN85</f>
        <v>0.375</v>
      </c>
      <c r="AQ85" s="167" t="n">
        <f aca="false">AN85</f>
        <v>0.25</v>
      </c>
      <c r="AR85" s="166" t="n">
        <f aca="false">0.8*AQ85</f>
        <v>0.2</v>
      </c>
      <c r="AS85" s="166" t="n">
        <f aca="false">1.2*AQ85</f>
        <v>0.3</v>
      </c>
      <c r="AT85" s="169" t="n">
        <f aca="false">IF(G85&lt;110,17.94063*(LN(G85/100))+6.727568*(LN(G85/100)^2)+15.06494,(-4.1*G85+2135)/100)*0.5</f>
        <v>1.77008120542792</v>
      </c>
      <c r="AU85" s="169" t="n">
        <f aca="false">(0.75*AT85-AT85)</f>
        <v>-0.44252030135698</v>
      </c>
      <c r="AV85" s="166" t="n">
        <f aca="false">AT85/0.5*1.25-AT85</f>
        <v>2.65512180814188</v>
      </c>
      <c r="AW85" s="168" t="n">
        <f aca="false">IF(L85&lt;15,(15*L85+375)/100,(-4.71*L85+670.65)/100)*0.5</f>
        <v>2.50545</v>
      </c>
      <c r="AX85" s="166" t="n">
        <f aca="false">0.75*AW85-AW85</f>
        <v>-0.6263625</v>
      </c>
      <c r="AY85" s="166" t="n">
        <f aca="false">AW85/0.5*1.25-AW85</f>
        <v>3.758175</v>
      </c>
      <c r="AZ85" s="167" t="n">
        <v>0.5</v>
      </c>
      <c r="BA85" s="74"/>
      <c r="BB85" s="208" t="n">
        <v>10</v>
      </c>
      <c r="BC85" s="209"/>
      <c r="BD85" s="210"/>
      <c r="BE85" s="211"/>
      <c r="BF85" s="212"/>
      <c r="BG85" s="210"/>
      <c r="BH85" s="211"/>
      <c r="BI85" s="209"/>
      <c r="BJ85" s="210"/>
      <c r="BK85" s="211"/>
      <c r="BL85" s="212"/>
      <c r="BM85" s="210"/>
      <c r="BN85" s="211"/>
      <c r="BQ85" s="108" t="n">
        <v>36907.7428240741</v>
      </c>
      <c r="BR85" s="109" t="n">
        <v>36907.743287037</v>
      </c>
      <c r="BS85" s="110" t="n">
        <v>38412</v>
      </c>
      <c r="BT85" s="111" t="n">
        <v>157235.984375</v>
      </c>
      <c r="BU85" s="112" t="n">
        <v>105963.375</v>
      </c>
      <c r="BV85" s="112" t="n">
        <v>27345.388671875</v>
      </c>
      <c r="BW85" s="112" t="n">
        <v>27345.388671875</v>
      </c>
      <c r="BX85" s="113" t="n">
        <v>0</v>
      </c>
      <c r="BZ85" s="110" t="n">
        <v>38473</v>
      </c>
      <c r="CA85" s="185" t="n">
        <v>34</v>
      </c>
      <c r="CB85" s="116" t="n">
        <v>36</v>
      </c>
      <c r="CC85" s="181" t="n">
        <v>34</v>
      </c>
      <c r="CD85" s="181" t="n">
        <v>34</v>
      </c>
      <c r="CE85" s="117" t="n">
        <v>1</v>
      </c>
      <c r="CG85" s="135" t="n">
        <f aca="false">BB21</f>
        <v>2012</v>
      </c>
      <c r="CH85" s="137" t="n">
        <v>0</v>
      </c>
      <c r="CI85" s="137" t="n">
        <v>0</v>
      </c>
      <c r="CJ85" s="137" t="n">
        <v>0</v>
      </c>
      <c r="CK85" s="137" t="n">
        <v>0</v>
      </c>
      <c r="CL85" s="137" t="n">
        <v>0</v>
      </c>
      <c r="CM85" s="137" t="n">
        <v>0</v>
      </c>
      <c r="CN85" s="137" t="n">
        <v>0</v>
      </c>
      <c r="CO85" s="137" t="n">
        <v>0</v>
      </c>
      <c r="CP85" s="137" t="n">
        <v>0</v>
      </c>
      <c r="CQ85" s="137" t="n">
        <v>0</v>
      </c>
      <c r="CR85" s="137" t="n">
        <v>0</v>
      </c>
      <c r="CS85" s="138" t="n">
        <v>0</v>
      </c>
      <c r="CU85" s="135" t="n">
        <f aca="false">BB21</f>
        <v>2012</v>
      </c>
      <c r="CV85" s="136" t="n">
        <v>-5</v>
      </c>
      <c r="CW85" s="137" t="n">
        <v>-5</v>
      </c>
      <c r="CX85" s="137" t="n">
        <v>-5</v>
      </c>
      <c r="CY85" s="137" t="n">
        <v>-5</v>
      </c>
      <c r="CZ85" s="137" t="n">
        <v>-5</v>
      </c>
      <c r="DA85" s="137" t="n">
        <v>-5</v>
      </c>
      <c r="DB85" s="137" t="n">
        <v>-5</v>
      </c>
      <c r="DC85" s="137" t="n">
        <v>-5</v>
      </c>
      <c r="DD85" s="137" t="n">
        <v>-5</v>
      </c>
      <c r="DE85" s="137" t="n">
        <v>-5</v>
      </c>
      <c r="DF85" s="137" t="n">
        <v>-5</v>
      </c>
      <c r="DG85" s="138" t="n">
        <v>-5</v>
      </c>
      <c r="DI85" s="202" t="n">
        <f aca="false">BB21</f>
        <v>2012</v>
      </c>
      <c r="DJ85" s="137" t="n">
        <f aca="false">DJ62</f>
        <v>26</v>
      </c>
      <c r="DK85" s="137" t="n">
        <f aca="false">DK62</f>
        <v>26</v>
      </c>
      <c r="DL85" s="137" t="n">
        <f aca="false">DL62</f>
        <v>26</v>
      </c>
      <c r="DM85" s="137" t="n">
        <f aca="false">DM62</f>
        <v>26</v>
      </c>
      <c r="DN85" s="137" t="n">
        <f aca="false">DN62</f>
        <v>26</v>
      </c>
      <c r="DO85" s="137" t="n">
        <f aca="false">DO62</f>
        <v>26</v>
      </c>
      <c r="DP85" s="137" t="n">
        <f aca="false">DP62</f>
        <v>26</v>
      </c>
      <c r="DQ85" s="137" t="n">
        <f aca="false">DQ62</f>
        <v>26</v>
      </c>
      <c r="DR85" s="137" t="n">
        <f aca="false">DR62</f>
        <v>26</v>
      </c>
      <c r="DS85" s="137" t="n">
        <f aca="false">DS62</f>
        <v>26</v>
      </c>
      <c r="DT85" s="137" t="n">
        <f aca="false">DT62</f>
        <v>26</v>
      </c>
      <c r="DU85" s="137" t="n">
        <f aca="false">DU62</f>
        <v>26</v>
      </c>
    </row>
    <row r="86" customFormat="false" ht="12.75" hidden="false" customHeight="false" outlineLevel="0" collapsed="false">
      <c r="A86" s="0" t="n">
        <f aca="true">IF(ISERROR(MATCH(D86,iRefDt,0)),"",MATCH(D86,iRefDt,0))</f>
        <v>86</v>
      </c>
      <c r="B86" s="92" t="n">
        <f aca="false">MATCH(YEAR(D86),iSpreads)</f>
        <v>5</v>
      </c>
      <c r="C86" s="0" t="n">
        <f aca="false">MONTH(D86)</f>
        <v>6</v>
      </c>
      <c r="D86" s="93" t="n">
        <f aca="false">DATE(YEAR(D85),MONTH(D85)+1,1)</f>
        <v>38504</v>
      </c>
      <c r="E86" s="94" t="n">
        <f aca="false">VLOOKUP($D86,tblPriorPrice,2)</f>
        <v>40</v>
      </c>
      <c r="F86" s="190" t="n">
        <f aca="false">G86-E86</f>
        <v>0</v>
      </c>
      <c r="G86" s="190" t="n">
        <f aca="true">G74+OFFSET($CG$4,$B86,$C86)</f>
        <v>40</v>
      </c>
      <c r="H86" s="96" t="n">
        <f aca="true">G86+OFFSET($CU$4,$B86,$C86)</f>
        <v>35</v>
      </c>
      <c r="I86" s="96" t="n">
        <f aca="true">G86+OFFSET($DI$4,$B86,$C86)</f>
        <v>55</v>
      </c>
      <c r="J86" s="94" t="n">
        <f aca="false">VLOOKUP($D86,tblPriorPrice,3)</f>
        <v>42</v>
      </c>
      <c r="K86" s="190" t="n">
        <f aca="false">L86-J86</f>
        <v>0</v>
      </c>
      <c r="L86" s="190" t="n">
        <f aca="true">L74+OFFSET($CG$27,$B86,$C86)</f>
        <v>42</v>
      </c>
      <c r="M86" s="96" t="n">
        <f aca="true">$L86+OFFSET($CU$27,$B86,$C86)</f>
        <v>37</v>
      </c>
      <c r="N86" s="97" t="n">
        <f aca="true">$L86+OFFSET($DI$27,$B86,$C86)</f>
        <v>47</v>
      </c>
      <c r="O86" s="59" t="n">
        <f aca="true">IF($A86="",0,INDEX(tblPosn,$A86,2))</f>
        <v>148196.3125</v>
      </c>
      <c r="P86" s="59" t="n">
        <f aca="true">IF($A86="",0,INDEX(tblPosn,$A86,3))</f>
        <v>101042.9375</v>
      </c>
      <c r="Q86" s="59" t="n">
        <f aca="true">IF($A86="",0,INDEX(tblPosn,$A86,4))</f>
        <v>26944.783203125</v>
      </c>
      <c r="R86" s="59" t="n">
        <f aca="true">IF($A86="",0,INDEX(tblPosn,$A86,5))</f>
        <v>26944.783203125</v>
      </c>
      <c r="S86" s="59" t="n">
        <f aca="true">IF($A86="",0,INDEX(tblPosn,$A86,6))</f>
        <v>0</v>
      </c>
      <c r="T86" s="98" t="n">
        <f aca="false">O86*F86+P86*K86+R86*AC86+S86*AH86/0.72+Q86*X86</f>
        <v>0</v>
      </c>
      <c r="V86" s="161" t="n">
        <f aca="false">D86</f>
        <v>38504</v>
      </c>
      <c r="W86" s="94" t="n">
        <f aca="false">VLOOKUP($D86,tblPriorPrice,4)</f>
        <v>40</v>
      </c>
      <c r="X86" s="95" t="n">
        <f aca="false">Y86-W86</f>
        <v>0</v>
      </c>
      <c r="Y86" s="191" t="n">
        <f aca="true">Y74+OFFSET($CG$50,$B86,$C86)</f>
        <v>40</v>
      </c>
      <c r="Z86" s="96" t="n">
        <f aca="true">Y86+OFFSET($CU$51,$B86,$C86)</f>
        <v>35</v>
      </c>
      <c r="AA86" s="177" t="n">
        <f aca="true">Y86+OFFSET($DI$51,$B86,$C86)</f>
        <v>60</v>
      </c>
      <c r="AB86" s="94" t="n">
        <f aca="false">VLOOKUP($D86,tblPriorPrice,5)</f>
        <v>40</v>
      </c>
      <c r="AC86" s="190" t="n">
        <f aca="false">AD86-AB86</f>
        <v>0</v>
      </c>
      <c r="AD86" s="191" t="n">
        <f aca="true">AD74+OFFSET($CG$73,$B86,$C86)</f>
        <v>40</v>
      </c>
      <c r="AE86" s="96" t="n">
        <f aca="true">AD86+OFFSET($CU$74,$B86,$C86)</f>
        <v>35</v>
      </c>
      <c r="AF86" s="177" t="n">
        <f aca="true">AD86+OFFSET($DI$74,$B86,$C86)</f>
        <v>60</v>
      </c>
      <c r="AG86" s="94" t="n">
        <f aca="false">VLOOKUP($D86,tblPriorPrice,6)</f>
        <v>1</v>
      </c>
      <c r="AH86" s="190" t="n">
        <f aca="false">AI86-AG86</f>
        <v>0</v>
      </c>
      <c r="AI86" s="191" t="n">
        <f aca="true">AI74+OFFSET($CG$96,$B86,$C86)</f>
        <v>1</v>
      </c>
      <c r="AJ86" s="96" t="n">
        <f aca="true">AI86+OFFSET($CU$96,$B86,$C86)</f>
        <v>1</v>
      </c>
      <c r="AK86" s="97" t="n">
        <f aca="true">AI86+OFFSET($DI$96,$B86,$C86)</f>
        <v>1</v>
      </c>
      <c r="AL86" s="178" t="n">
        <v>19</v>
      </c>
      <c r="AM86" s="165" t="n">
        <v>0.4</v>
      </c>
      <c r="AN86" s="167" t="n">
        <f aca="false">'[3]Pricing Summary'!$AM64</f>
        <v>0.245</v>
      </c>
      <c r="AO86" s="167" t="n">
        <f aca="false">0.9*AN86</f>
        <v>0.2205</v>
      </c>
      <c r="AP86" s="166" t="n">
        <f aca="false">1.5*AN86</f>
        <v>0.3675</v>
      </c>
      <c r="AQ86" s="167" t="n">
        <f aca="false">AN86</f>
        <v>0.245</v>
      </c>
      <c r="AR86" s="166" t="n">
        <f aca="false">0.8*AQ86</f>
        <v>0.196</v>
      </c>
      <c r="AS86" s="166" t="n">
        <f aca="false">1.2*AQ86</f>
        <v>0.294</v>
      </c>
      <c r="AT86" s="169" t="n">
        <f aca="false">IF(G86&lt;110,17.94063*(LN(G86/100))+6.727568*(LN(G86/100)^2)+15.06494,(-4.1*G86+2135)/100)*0.5</f>
        <v>2.13724855703929</v>
      </c>
      <c r="AU86" s="169" t="n">
        <f aca="false">(0.75*AT86-AT86)</f>
        <v>-0.534312139259822</v>
      </c>
      <c r="AV86" s="166" t="n">
        <f aca="false">AT86/0.5*1.25-AT86</f>
        <v>3.20587283555893</v>
      </c>
      <c r="AW86" s="168" t="n">
        <f aca="false">IF(L86&lt;15,(15*L86+375)/100,(-4.71*L86+670.65)/100)*0.5</f>
        <v>2.36415</v>
      </c>
      <c r="AX86" s="166" t="n">
        <f aca="false">0.75*AW86-AW86</f>
        <v>-0.5910375</v>
      </c>
      <c r="AY86" s="166" t="n">
        <f aca="false">AW86/0.5*1.25-AW86</f>
        <v>3.546225</v>
      </c>
      <c r="AZ86" s="167" t="n">
        <v>0.5</v>
      </c>
      <c r="BA86" s="74"/>
      <c r="BB86" s="208" t="n">
        <v>11</v>
      </c>
      <c r="BC86" s="209"/>
      <c r="BD86" s="210"/>
      <c r="BE86" s="211"/>
      <c r="BF86" s="212"/>
      <c r="BG86" s="210"/>
      <c r="BH86" s="211"/>
      <c r="BI86" s="209"/>
      <c r="BJ86" s="210"/>
      <c r="BK86" s="211"/>
      <c r="BL86" s="212"/>
      <c r="BM86" s="210"/>
      <c r="BN86" s="211"/>
      <c r="BQ86" s="108" t="n">
        <v>36907.7428240741</v>
      </c>
      <c r="BR86" s="109" t="n">
        <v>36907.743287037</v>
      </c>
      <c r="BS86" s="110" t="n">
        <v>38443</v>
      </c>
      <c r="BT86" s="111" t="n">
        <v>142864.65625</v>
      </c>
      <c r="BU86" s="112" t="n">
        <v>101620.984375</v>
      </c>
      <c r="BV86" s="112" t="n">
        <v>34015.39453125</v>
      </c>
      <c r="BW86" s="112" t="n">
        <v>27212.314453125</v>
      </c>
      <c r="BX86" s="113" t="n">
        <v>0</v>
      </c>
      <c r="BZ86" s="110" t="n">
        <v>38504</v>
      </c>
      <c r="CA86" s="185" t="n">
        <v>40</v>
      </c>
      <c r="CB86" s="116" t="n">
        <v>42</v>
      </c>
      <c r="CC86" s="181" t="n">
        <v>40</v>
      </c>
      <c r="CD86" s="181" t="n">
        <v>40</v>
      </c>
      <c r="CE86" s="117" t="n">
        <v>1</v>
      </c>
      <c r="CG86" s="135" t="n">
        <f aca="false">BB22</f>
        <v>2013</v>
      </c>
      <c r="CH86" s="137" t="n">
        <v>0</v>
      </c>
      <c r="CI86" s="137" t="n">
        <v>0</v>
      </c>
      <c r="CJ86" s="137" t="n">
        <v>0</v>
      </c>
      <c r="CK86" s="137" t="n">
        <v>0</v>
      </c>
      <c r="CL86" s="137" t="n">
        <v>0</v>
      </c>
      <c r="CM86" s="137" t="n">
        <v>0</v>
      </c>
      <c r="CN86" s="137" t="n">
        <v>0</v>
      </c>
      <c r="CO86" s="137" t="n">
        <v>0</v>
      </c>
      <c r="CP86" s="137" t="n">
        <v>0</v>
      </c>
      <c r="CQ86" s="137" t="n">
        <v>0</v>
      </c>
      <c r="CR86" s="137" t="n">
        <v>0</v>
      </c>
      <c r="CS86" s="138" t="n">
        <v>0</v>
      </c>
      <c r="CU86" s="135" t="n">
        <f aca="false">BB22</f>
        <v>2013</v>
      </c>
      <c r="CV86" s="136" t="n">
        <v>-5</v>
      </c>
      <c r="CW86" s="137" t="n">
        <v>-5</v>
      </c>
      <c r="CX86" s="137" t="n">
        <v>-5</v>
      </c>
      <c r="CY86" s="137" t="n">
        <v>-5</v>
      </c>
      <c r="CZ86" s="137" t="n">
        <v>-5</v>
      </c>
      <c r="DA86" s="137" t="n">
        <v>-5</v>
      </c>
      <c r="DB86" s="137" t="n">
        <v>-5</v>
      </c>
      <c r="DC86" s="137" t="n">
        <v>-5</v>
      </c>
      <c r="DD86" s="137" t="n">
        <v>-5</v>
      </c>
      <c r="DE86" s="137" t="n">
        <v>-5</v>
      </c>
      <c r="DF86" s="137" t="n">
        <v>-5</v>
      </c>
      <c r="DG86" s="138" t="n">
        <v>-5</v>
      </c>
      <c r="DI86" s="202" t="n">
        <f aca="false">BB22</f>
        <v>2013</v>
      </c>
      <c r="DJ86" s="137" t="n">
        <f aca="false">DJ63</f>
        <v>27</v>
      </c>
      <c r="DK86" s="137" t="n">
        <f aca="false">DK63</f>
        <v>27</v>
      </c>
      <c r="DL86" s="137" t="n">
        <f aca="false">DL63</f>
        <v>27</v>
      </c>
      <c r="DM86" s="137" t="n">
        <f aca="false">DM63</f>
        <v>27</v>
      </c>
      <c r="DN86" s="137" t="n">
        <f aca="false">DN63</f>
        <v>27</v>
      </c>
      <c r="DO86" s="137" t="n">
        <f aca="false">DO63</f>
        <v>27</v>
      </c>
      <c r="DP86" s="137" t="n">
        <f aca="false">DP63</f>
        <v>27</v>
      </c>
      <c r="DQ86" s="137" t="n">
        <f aca="false">DQ63</f>
        <v>27</v>
      </c>
      <c r="DR86" s="137" t="n">
        <f aca="false">DR63</f>
        <v>27</v>
      </c>
      <c r="DS86" s="137" t="n">
        <f aca="false">DS63</f>
        <v>27</v>
      </c>
      <c r="DT86" s="137" t="n">
        <f aca="false">DT63</f>
        <v>27</v>
      </c>
      <c r="DU86" s="137" t="n">
        <f aca="false">DU63</f>
        <v>27</v>
      </c>
    </row>
    <row r="87" customFormat="false" ht="12.75" hidden="false" customHeight="false" outlineLevel="0" collapsed="false">
      <c r="A87" s="0" t="n">
        <f aca="true">IF(ISERROR(MATCH(D87,iRefDt,0)),"",MATCH(D87,iRefDt,0))</f>
        <v>87</v>
      </c>
      <c r="B87" s="92" t="n">
        <f aca="false">MATCH(YEAR(D87),iSpreads)</f>
        <v>5</v>
      </c>
      <c r="C87" s="0" t="n">
        <f aca="false">MONTH(D87)</f>
        <v>7</v>
      </c>
      <c r="D87" s="93" t="n">
        <f aca="false">DATE(YEAR(D86),MONTH(D86)+1,1)</f>
        <v>38534</v>
      </c>
      <c r="E87" s="94" t="n">
        <f aca="false">VLOOKUP($D87,tblPriorPrice,2)</f>
        <v>51</v>
      </c>
      <c r="F87" s="190" t="n">
        <f aca="false">G87-E87</f>
        <v>0</v>
      </c>
      <c r="G87" s="190" t="n">
        <f aca="true">G75+OFFSET($CG$4,$B87,$C87)</f>
        <v>51</v>
      </c>
      <c r="H87" s="96" t="n">
        <f aca="true">G87+OFFSET($CU$4,$B87,$C87)</f>
        <v>46</v>
      </c>
      <c r="I87" s="96" t="n">
        <f aca="true">G87+OFFSET($DI$4,$B87,$C87)</f>
        <v>66</v>
      </c>
      <c r="J87" s="94" t="n">
        <f aca="false">VLOOKUP($D87,tblPriorPrice,3)</f>
        <v>43</v>
      </c>
      <c r="K87" s="190" t="n">
        <f aca="false">L87-J87</f>
        <v>0</v>
      </c>
      <c r="L87" s="190" t="n">
        <f aca="true">L75+OFFSET($CG$27,$B87,$C87)</f>
        <v>43</v>
      </c>
      <c r="M87" s="96" t="n">
        <f aca="true">$L87+OFFSET($CU$27,$B87,$C87)</f>
        <v>38</v>
      </c>
      <c r="N87" s="97" t="n">
        <f aca="true">$L87+OFFSET($DI$27,$B87,$C87)</f>
        <v>48</v>
      </c>
      <c r="O87" s="59" t="n">
        <f aca="true">IF($A87="",0,INDEX(tblPosn,$A87,2))</f>
        <v>134034.0625</v>
      </c>
      <c r="P87" s="59" t="n">
        <f aca="true">IF($A87="",0,INDEX(tblPosn,$A87,3))</f>
        <v>103876.390625</v>
      </c>
      <c r="Q87" s="59" t="n">
        <f aca="true">IF($A87="",0,INDEX(tblPosn,$A87,4))</f>
        <v>33508.515625</v>
      </c>
      <c r="R87" s="59" t="n">
        <f aca="true">IF($A87="",0,INDEX(tblPosn,$A87,5))</f>
        <v>40210.21484375</v>
      </c>
      <c r="S87" s="59" t="n">
        <f aca="true">IF($A87="",0,INDEX(tblPosn,$A87,6))</f>
        <v>0</v>
      </c>
      <c r="T87" s="98" t="n">
        <f aca="false">O87*F87+P87*K87+R87*AC87+S87*AH87/0.72+Q87*X87</f>
        <v>0</v>
      </c>
      <c r="V87" s="161" t="n">
        <f aca="false">D87</f>
        <v>38534</v>
      </c>
      <c r="W87" s="94" t="n">
        <f aca="false">VLOOKUP($D87,tblPriorPrice,4)</f>
        <v>41</v>
      </c>
      <c r="X87" s="95" t="n">
        <f aca="false">Y87-W87</f>
        <v>0</v>
      </c>
      <c r="Y87" s="191" t="n">
        <f aca="true">Y75+OFFSET($CG$50,$B87,$C87)</f>
        <v>41</v>
      </c>
      <c r="Z87" s="96" t="n">
        <f aca="true">Y87+OFFSET($CU$51,$B87,$C87)</f>
        <v>36</v>
      </c>
      <c r="AA87" s="177" t="n">
        <f aca="true">Y87+OFFSET($DI$51,$B87,$C87)</f>
        <v>61</v>
      </c>
      <c r="AB87" s="94" t="n">
        <f aca="false">VLOOKUP($D87,tblPriorPrice,5)</f>
        <v>41</v>
      </c>
      <c r="AC87" s="190" t="n">
        <f aca="false">AD87-AB87</f>
        <v>0</v>
      </c>
      <c r="AD87" s="191" t="n">
        <f aca="true">AD75+OFFSET($CG$73,$B87,$C87)</f>
        <v>41</v>
      </c>
      <c r="AE87" s="96" t="n">
        <f aca="true">AD87+OFFSET($CU$74,$B87,$C87)</f>
        <v>36</v>
      </c>
      <c r="AF87" s="177" t="n">
        <f aca="true">AD87+OFFSET($DI$74,$B87,$C87)</f>
        <v>61</v>
      </c>
      <c r="AG87" s="94" t="n">
        <f aca="false">VLOOKUP($D87,tblPriorPrice,6)</f>
        <v>1</v>
      </c>
      <c r="AH87" s="190" t="n">
        <f aca="false">AI87-AG87</f>
        <v>0</v>
      </c>
      <c r="AI87" s="191" t="n">
        <f aca="true">AI75+OFFSET($CG$96,$B87,$C87)</f>
        <v>1</v>
      </c>
      <c r="AJ87" s="96" t="n">
        <f aca="true">AI87+OFFSET($CU$96,$B87,$C87)</f>
        <v>1</v>
      </c>
      <c r="AK87" s="97" t="n">
        <f aca="true">AI87+OFFSET($DI$96,$B87,$C87)</f>
        <v>1</v>
      </c>
      <c r="AL87" s="178" t="n">
        <v>19</v>
      </c>
      <c r="AM87" s="165" t="n">
        <v>0.4</v>
      </c>
      <c r="AN87" s="167" t="n">
        <f aca="false">'[3]Pricing Summary'!$AM65</f>
        <v>0.245</v>
      </c>
      <c r="AO87" s="167" t="n">
        <f aca="false">0.9*AN87</f>
        <v>0.2205</v>
      </c>
      <c r="AP87" s="166" t="n">
        <f aca="false">1.5*AN87</f>
        <v>0.3675</v>
      </c>
      <c r="AQ87" s="167" t="n">
        <f aca="false">AN87</f>
        <v>0.245</v>
      </c>
      <c r="AR87" s="166" t="n">
        <f aca="false">0.8*AQ87</f>
        <v>0.196</v>
      </c>
      <c r="AS87" s="166" t="n">
        <f aca="false">1.2*AQ87</f>
        <v>0.294</v>
      </c>
      <c r="AT87" s="169" t="n">
        <f aca="false">IF(G87&lt;110,17.94063*(LN(G87/100))+6.727568*(LN(G87/100)^2)+15.06494,(-4.1*G87+2135)/100)*0.5</f>
        <v>3.01747299407324</v>
      </c>
      <c r="AU87" s="169" t="n">
        <f aca="false">(0.75*AT87-AT87)</f>
        <v>-0.754368248518309</v>
      </c>
      <c r="AV87" s="166" t="n">
        <f aca="false">AT87/0.5*1.25-AT87</f>
        <v>4.52620949110986</v>
      </c>
      <c r="AW87" s="168" t="n">
        <f aca="false">IF(L87&lt;15,(15*L87+375)/100,(-4.71*L87+670.65)/100)*0.5</f>
        <v>2.3406</v>
      </c>
      <c r="AX87" s="166" t="n">
        <f aca="false">0.75*AW87-AW87</f>
        <v>-0.58515</v>
      </c>
      <c r="AY87" s="166" t="n">
        <f aca="false">AW87/0.5*1.25-AW87</f>
        <v>3.5109</v>
      </c>
      <c r="AZ87" s="167" t="n">
        <v>0.5</v>
      </c>
      <c r="BA87" s="74"/>
      <c r="BB87" s="213" t="n">
        <v>12</v>
      </c>
      <c r="BC87" s="214"/>
      <c r="BD87" s="215"/>
      <c r="BE87" s="216"/>
      <c r="BF87" s="217"/>
      <c r="BG87" s="215"/>
      <c r="BH87" s="216"/>
      <c r="BI87" s="214"/>
      <c r="BJ87" s="215"/>
      <c r="BK87" s="216"/>
      <c r="BL87" s="217"/>
      <c r="BM87" s="215"/>
      <c r="BN87" s="216"/>
      <c r="BQ87" s="108" t="n">
        <v>36907.7428240741</v>
      </c>
      <c r="BR87" s="109" t="n">
        <v>36907.743287037</v>
      </c>
      <c r="BS87" s="110" t="n">
        <v>38473</v>
      </c>
      <c r="BT87" s="111" t="n">
        <v>142150.21875</v>
      </c>
      <c r="BU87" s="112" t="n">
        <v>104920.40625</v>
      </c>
      <c r="BV87" s="112" t="n">
        <v>27076.234375</v>
      </c>
      <c r="BW87" s="112" t="n">
        <v>40614.3515625</v>
      </c>
      <c r="BX87" s="113" t="n">
        <v>0</v>
      </c>
      <c r="BZ87" s="110" t="n">
        <v>38534</v>
      </c>
      <c r="CA87" s="185" t="n">
        <v>51</v>
      </c>
      <c r="CB87" s="116" t="n">
        <v>43</v>
      </c>
      <c r="CC87" s="181" t="n">
        <v>41</v>
      </c>
      <c r="CD87" s="181" t="n">
        <v>41</v>
      </c>
      <c r="CE87" s="117" t="n">
        <v>1</v>
      </c>
      <c r="CG87" s="135" t="n">
        <f aca="false">BB23</f>
        <v>2014</v>
      </c>
      <c r="CH87" s="137" t="n">
        <v>0</v>
      </c>
      <c r="CI87" s="137" t="n">
        <v>0</v>
      </c>
      <c r="CJ87" s="137" t="n">
        <v>0</v>
      </c>
      <c r="CK87" s="137" t="n">
        <v>0</v>
      </c>
      <c r="CL87" s="137" t="n">
        <v>0</v>
      </c>
      <c r="CM87" s="137" t="n">
        <v>0</v>
      </c>
      <c r="CN87" s="137" t="n">
        <v>0</v>
      </c>
      <c r="CO87" s="137" t="n">
        <v>0</v>
      </c>
      <c r="CP87" s="137" t="n">
        <v>0</v>
      </c>
      <c r="CQ87" s="137" t="n">
        <v>0</v>
      </c>
      <c r="CR87" s="137" t="n">
        <v>0</v>
      </c>
      <c r="CS87" s="138" t="n">
        <v>0</v>
      </c>
      <c r="CU87" s="135" t="n">
        <f aca="false">BB23</f>
        <v>2014</v>
      </c>
      <c r="CV87" s="136" t="n">
        <v>-5</v>
      </c>
      <c r="CW87" s="137" t="n">
        <v>-5</v>
      </c>
      <c r="CX87" s="137" t="n">
        <v>-5</v>
      </c>
      <c r="CY87" s="137" t="n">
        <v>-5</v>
      </c>
      <c r="CZ87" s="137" t="n">
        <v>-5</v>
      </c>
      <c r="DA87" s="137" t="n">
        <v>-5</v>
      </c>
      <c r="DB87" s="137" t="n">
        <v>-5</v>
      </c>
      <c r="DC87" s="137" t="n">
        <v>-5</v>
      </c>
      <c r="DD87" s="137" t="n">
        <v>-5</v>
      </c>
      <c r="DE87" s="137" t="n">
        <v>-5</v>
      </c>
      <c r="DF87" s="137" t="n">
        <v>-5</v>
      </c>
      <c r="DG87" s="138" t="n">
        <v>-5</v>
      </c>
      <c r="DI87" s="202" t="n">
        <f aca="false">BB23</f>
        <v>2014</v>
      </c>
      <c r="DJ87" s="137" t="n">
        <f aca="false">DJ64</f>
        <v>28</v>
      </c>
      <c r="DK87" s="137" t="n">
        <f aca="false">DK64</f>
        <v>28</v>
      </c>
      <c r="DL87" s="137" t="n">
        <f aca="false">DL64</f>
        <v>28</v>
      </c>
      <c r="DM87" s="137" t="n">
        <f aca="false">DM64</f>
        <v>28</v>
      </c>
      <c r="DN87" s="137" t="n">
        <f aca="false">DN64</f>
        <v>28</v>
      </c>
      <c r="DO87" s="137" t="n">
        <f aca="false">DO64</f>
        <v>28</v>
      </c>
      <c r="DP87" s="137" t="n">
        <f aca="false">DP64</f>
        <v>28</v>
      </c>
      <c r="DQ87" s="137" t="n">
        <f aca="false">DQ64</f>
        <v>28</v>
      </c>
      <c r="DR87" s="137" t="n">
        <f aca="false">DR64</f>
        <v>28</v>
      </c>
      <c r="DS87" s="137" t="n">
        <f aca="false">DS64</f>
        <v>28</v>
      </c>
      <c r="DT87" s="137" t="n">
        <f aca="false">DT64</f>
        <v>28</v>
      </c>
      <c r="DU87" s="137" t="n">
        <f aca="false">DU64</f>
        <v>28</v>
      </c>
    </row>
    <row r="88" customFormat="false" ht="12.75" hidden="false" customHeight="false" outlineLevel="0" collapsed="false">
      <c r="A88" s="0" t="n">
        <f aca="true">IF(ISERROR(MATCH(D88,iRefDt,0)),"",MATCH(D88,iRefDt,0))</f>
        <v>88</v>
      </c>
      <c r="B88" s="92" t="n">
        <f aca="false">MATCH(YEAR(D88),iSpreads)</f>
        <v>5</v>
      </c>
      <c r="C88" s="0" t="n">
        <f aca="false">MONTH(D88)</f>
        <v>8</v>
      </c>
      <c r="D88" s="93" t="n">
        <f aca="false">DATE(YEAR(D87),MONTH(D87)+1,1)</f>
        <v>38565</v>
      </c>
      <c r="E88" s="94" t="n">
        <f aca="false">VLOOKUP($D88,tblPriorPrice,2)</f>
        <v>72</v>
      </c>
      <c r="F88" s="190" t="n">
        <f aca="false">G88-E88</f>
        <v>0</v>
      </c>
      <c r="G88" s="190" t="n">
        <f aca="true">G76+OFFSET($CG$4,$B88,$C88)</f>
        <v>72</v>
      </c>
      <c r="H88" s="96" t="n">
        <f aca="true">G88+OFFSET($CU$4,$B88,$C88)</f>
        <v>67</v>
      </c>
      <c r="I88" s="96" t="n">
        <f aca="true">G88+OFFSET($DI$4,$B88,$C88)</f>
        <v>87</v>
      </c>
      <c r="J88" s="94" t="n">
        <f aca="false">VLOOKUP($D88,tblPriorPrice,3)</f>
        <v>44</v>
      </c>
      <c r="K88" s="190" t="n">
        <f aca="false">L88-J88</f>
        <v>0</v>
      </c>
      <c r="L88" s="190" t="n">
        <f aca="true">L76+OFFSET($CG$27,$B88,$C88)</f>
        <v>44</v>
      </c>
      <c r="M88" s="96" t="n">
        <f aca="true">$L88+OFFSET($CU$27,$B88,$C88)</f>
        <v>39</v>
      </c>
      <c r="N88" s="97" t="n">
        <f aca="true">$L88+OFFSET($DI$27,$B88,$C88)</f>
        <v>49</v>
      </c>
      <c r="O88" s="59" t="n">
        <f aca="true">IF($A88="",0,INDEX(tblPosn,$A88,2))</f>
        <v>153367.5</v>
      </c>
      <c r="P88" s="59" t="n">
        <f aca="true">IF($A88="",0,INDEX(tblPosn,$A88,3))</f>
        <v>103356.359375</v>
      </c>
      <c r="Q88" s="59" t="n">
        <f aca="true">IF($A88="",0,INDEX(tblPosn,$A88,4))</f>
        <v>26672.609375</v>
      </c>
      <c r="R88" s="59" t="n">
        <f aca="true">IF($A88="",0,INDEX(tblPosn,$A88,5))</f>
        <v>26672.609375</v>
      </c>
      <c r="S88" s="59" t="n">
        <f aca="true">IF($A88="",0,INDEX(tblPosn,$A88,6))</f>
        <v>0</v>
      </c>
      <c r="T88" s="98" t="n">
        <f aca="false">O88*F88+P88*K88+R88*AC88+S88*AH88/0.72+Q88*X88</f>
        <v>0</v>
      </c>
      <c r="V88" s="161" t="n">
        <f aca="false">D88</f>
        <v>38565</v>
      </c>
      <c r="W88" s="94" t="n">
        <f aca="false">VLOOKUP($D88,tblPriorPrice,4)</f>
        <v>54</v>
      </c>
      <c r="X88" s="95" t="n">
        <f aca="false">Y88-W88</f>
        <v>0</v>
      </c>
      <c r="Y88" s="191" t="n">
        <f aca="true">Y76+OFFSET($CG$50,$B88,$C88)</f>
        <v>54</v>
      </c>
      <c r="Z88" s="96" t="n">
        <f aca="true">Y88+OFFSET($CU$51,$B88,$C88)</f>
        <v>49</v>
      </c>
      <c r="AA88" s="177" t="n">
        <f aca="true">Y88+OFFSET($DI$51,$B88,$C88)</f>
        <v>74</v>
      </c>
      <c r="AB88" s="94" t="n">
        <f aca="false">VLOOKUP($D88,tblPriorPrice,5)</f>
        <v>49</v>
      </c>
      <c r="AC88" s="190" t="n">
        <f aca="false">AD88-AB88</f>
        <v>0</v>
      </c>
      <c r="AD88" s="191" t="n">
        <f aca="true">AD76+OFFSET($CG$73,$B88,$C88)</f>
        <v>49</v>
      </c>
      <c r="AE88" s="96" t="n">
        <f aca="true">AD88+OFFSET($CU$74,$B88,$C88)</f>
        <v>44</v>
      </c>
      <c r="AF88" s="177" t="n">
        <f aca="true">AD88+OFFSET($DI$74,$B88,$C88)</f>
        <v>69</v>
      </c>
      <c r="AG88" s="94" t="n">
        <f aca="false">VLOOKUP($D88,tblPriorPrice,6)</f>
        <v>1</v>
      </c>
      <c r="AH88" s="190" t="n">
        <f aca="false">AI88-AG88</f>
        <v>0</v>
      </c>
      <c r="AI88" s="191" t="n">
        <f aca="true">AI76+OFFSET($CG$96,$B88,$C88)</f>
        <v>1</v>
      </c>
      <c r="AJ88" s="96" t="n">
        <f aca="true">AI88+OFFSET($CU$96,$B88,$C88)</f>
        <v>1</v>
      </c>
      <c r="AK88" s="97" t="n">
        <f aca="true">AI88+OFFSET($DI$96,$B88,$C88)</f>
        <v>1</v>
      </c>
      <c r="AL88" s="178" t="n">
        <v>19</v>
      </c>
      <c r="AM88" s="165" t="n">
        <v>0.4</v>
      </c>
      <c r="AN88" s="167" t="n">
        <f aca="false">'[3]Pricing Summary'!$AM66</f>
        <v>0.245</v>
      </c>
      <c r="AO88" s="167" t="n">
        <f aca="false">0.9*AN88</f>
        <v>0.2205</v>
      </c>
      <c r="AP88" s="166" t="n">
        <f aca="false">1.5*AN88</f>
        <v>0.3675</v>
      </c>
      <c r="AQ88" s="167" t="n">
        <f aca="false">AN88</f>
        <v>0.245</v>
      </c>
      <c r="AR88" s="166" t="n">
        <f aca="false">0.8*AQ88</f>
        <v>0.196</v>
      </c>
      <c r="AS88" s="166" t="n">
        <f aca="false">1.2*AQ88</f>
        <v>0.294</v>
      </c>
      <c r="AT88" s="169" t="n">
        <f aca="false">IF(G88&lt;110,17.94063*(LN(G88/100))+6.727568*(LN(G88/100)^2)+15.06494,(-4.1*G88+2135)/100)*0.5</f>
        <v>4.94868752852234</v>
      </c>
      <c r="AU88" s="169" t="n">
        <f aca="false">(0.75*AT88-AT88)</f>
        <v>-1.23717188213058</v>
      </c>
      <c r="AV88" s="166" t="n">
        <f aca="false">AT88/0.5*1.25-AT88</f>
        <v>7.42303129278351</v>
      </c>
      <c r="AW88" s="168" t="n">
        <f aca="false">IF(L88&lt;15,(15*L88+375)/100,(-4.71*L88+670.65)/100)*0.5</f>
        <v>2.31705</v>
      </c>
      <c r="AX88" s="166" t="n">
        <f aca="false">0.75*AW88-AW88</f>
        <v>-0.5792625</v>
      </c>
      <c r="AY88" s="166" t="n">
        <f aca="false">AW88/0.5*1.25-AW88</f>
        <v>3.475575</v>
      </c>
      <c r="AZ88" s="167" t="n">
        <v>0.5</v>
      </c>
      <c r="BA88" s="74"/>
      <c r="BQ88" s="108" t="n">
        <v>36907.7428240741</v>
      </c>
      <c r="BR88" s="109" t="n">
        <v>36907.743287037</v>
      </c>
      <c r="BS88" s="110" t="n">
        <v>38504</v>
      </c>
      <c r="BT88" s="111" t="n">
        <v>148196.3125</v>
      </c>
      <c r="BU88" s="112" t="n">
        <v>101042.9375</v>
      </c>
      <c r="BV88" s="112" t="n">
        <v>26944.783203125</v>
      </c>
      <c r="BW88" s="112" t="n">
        <v>26944.783203125</v>
      </c>
      <c r="BX88" s="113" t="n">
        <v>0</v>
      </c>
      <c r="BZ88" s="110" t="n">
        <v>38565</v>
      </c>
      <c r="CA88" s="185" t="n">
        <v>72</v>
      </c>
      <c r="CB88" s="116" t="n">
        <v>44</v>
      </c>
      <c r="CC88" s="181" t="n">
        <v>54</v>
      </c>
      <c r="CD88" s="181" t="n">
        <v>49</v>
      </c>
      <c r="CE88" s="117" t="n">
        <v>1</v>
      </c>
      <c r="CG88" s="135" t="n">
        <f aca="false">BB24</f>
        <v>2015</v>
      </c>
      <c r="CH88" s="137" t="n">
        <v>0</v>
      </c>
      <c r="CI88" s="137" t="n">
        <v>0</v>
      </c>
      <c r="CJ88" s="137" t="n">
        <v>0</v>
      </c>
      <c r="CK88" s="137" t="n">
        <v>0</v>
      </c>
      <c r="CL88" s="137" t="n">
        <v>0</v>
      </c>
      <c r="CM88" s="137" t="n">
        <v>0</v>
      </c>
      <c r="CN88" s="137" t="n">
        <v>0</v>
      </c>
      <c r="CO88" s="137" t="n">
        <v>0</v>
      </c>
      <c r="CP88" s="137" t="n">
        <v>0</v>
      </c>
      <c r="CQ88" s="137" t="n">
        <v>0</v>
      </c>
      <c r="CR88" s="137" t="n">
        <v>0</v>
      </c>
      <c r="CS88" s="138" t="n">
        <v>0</v>
      </c>
      <c r="CU88" s="135" t="n">
        <f aca="false">BB24</f>
        <v>2015</v>
      </c>
      <c r="CV88" s="136" t="n">
        <v>-5</v>
      </c>
      <c r="CW88" s="137" t="n">
        <v>-5</v>
      </c>
      <c r="CX88" s="137" t="n">
        <v>-5</v>
      </c>
      <c r="CY88" s="137" t="n">
        <v>-5</v>
      </c>
      <c r="CZ88" s="137" t="n">
        <v>-5</v>
      </c>
      <c r="DA88" s="137" t="n">
        <v>-5</v>
      </c>
      <c r="DB88" s="137" t="n">
        <v>-5</v>
      </c>
      <c r="DC88" s="137" t="n">
        <v>-5</v>
      </c>
      <c r="DD88" s="137" t="n">
        <v>-5</v>
      </c>
      <c r="DE88" s="137" t="n">
        <v>-5</v>
      </c>
      <c r="DF88" s="137" t="n">
        <v>-5</v>
      </c>
      <c r="DG88" s="138" t="n">
        <v>-5</v>
      </c>
      <c r="DI88" s="202" t="n">
        <f aca="false">BB24</f>
        <v>2015</v>
      </c>
      <c r="DJ88" s="137" t="n">
        <f aca="false">DJ65</f>
        <v>29</v>
      </c>
      <c r="DK88" s="137" t="n">
        <f aca="false">DK65</f>
        <v>29</v>
      </c>
      <c r="DL88" s="137" t="n">
        <f aca="false">DL65</f>
        <v>29</v>
      </c>
      <c r="DM88" s="137" t="n">
        <f aca="false">DM65</f>
        <v>29</v>
      </c>
      <c r="DN88" s="137" t="n">
        <f aca="false">DN65</f>
        <v>29</v>
      </c>
      <c r="DO88" s="137" t="n">
        <f aca="false">DO65</f>
        <v>29</v>
      </c>
      <c r="DP88" s="137" t="n">
        <f aca="false">DP65</f>
        <v>29</v>
      </c>
      <c r="DQ88" s="137" t="n">
        <f aca="false">DQ65</f>
        <v>29</v>
      </c>
      <c r="DR88" s="137" t="n">
        <f aca="false">DR65</f>
        <v>29</v>
      </c>
      <c r="DS88" s="137" t="n">
        <f aca="false">DS65</f>
        <v>29</v>
      </c>
      <c r="DT88" s="137" t="n">
        <f aca="false">DT65</f>
        <v>29</v>
      </c>
      <c r="DU88" s="137" t="n">
        <f aca="false">DU65</f>
        <v>29</v>
      </c>
    </row>
    <row r="89" customFormat="false" ht="12.75" hidden="false" customHeight="false" outlineLevel="0" collapsed="false">
      <c r="A89" s="0" t="n">
        <f aca="true">IF(ISERROR(MATCH(D89,iRefDt,0)),"",MATCH(D89,iRefDt,0))</f>
        <v>89</v>
      </c>
      <c r="B89" s="92" t="n">
        <f aca="false">MATCH(YEAR(D89),iSpreads)</f>
        <v>5</v>
      </c>
      <c r="C89" s="0" t="n">
        <f aca="false">MONTH(D89)</f>
        <v>9</v>
      </c>
      <c r="D89" s="93" t="n">
        <f aca="false">DATE(YEAR(D88),MONTH(D88)+1,1)</f>
        <v>38596</v>
      </c>
      <c r="E89" s="94" t="n">
        <f aca="false">VLOOKUP($D89,tblPriorPrice,2)</f>
        <v>55</v>
      </c>
      <c r="F89" s="190" t="n">
        <f aca="false">G89-E89</f>
        <v>0</v>
      </c>
      <c r="G89" s="190" t="n">
        <f aca="true">G77+OFFSET($CG$4,$B89,$C89)</f>
        <v>55</v>
      </c>
      <c r="H89" s="96" t="n">
        <f aca="true">G89+OFFSET($CU$4,$B89,$C89)</f>
        <v>50</v>
      </c>
      <c r="I89" s="96" t="n">
        <f aca="true">G89+OFFSET($DI$4,$B89,$C89)</f>
        <v>70</v>
      </c>
      <c r="J89" s="94" t="n">
        <f aca="false">VLOOKUP($D89,tblPriorPrice,3)</f>
        <v>38</v>
      </c>
      <c r="K89" s="190" t="n">
        <f aca="false">L89-J89</f>
        <v>0</v>
      </c>
      <c r="L89" s="190" t="n">
        <f aca="true">L77+OFFSET($CG$27,$B89,$C89)</f>
        <v>38</v>
      </c>
      <c r="M89" s="96" t="n">
        <f aca="true">$L89+OFFSET($CU$27,$B89,$C89)</f>
        <v>33</v>
      </c>
      <c r="N89" s="97" t="n">
        <f aca="true">$L89+OFFSET($DI$27,$B89,$C89)</f>
        <v>43</v>
      </c>
      <c r="O89" s="59" t="n">
        <f aca="true">IF($A89="",0,INDEX(tblPosn,$A89,2))</f>
        <v>139338.546875</v>
      </c>
      <c r="P89" s="59" t="n">
        <f aca="true">IF($A89="",0,INDEX(tblPosn,$A89,3))</f>
        <v>99527.53125</v>
      </c>
      <c r="Q89" s="59" t="n">
        <f aca="true">IF($A89="",0,INDEX(tblPosn,$A89,4))</f>
        <v>26540.67578125</v>
      </c>
      <c r="R89" s="59" t="n">
        <f aca="true">IF($A89="",0,INDEX(tblPosn,$A89,5))</f>
        <v>33175.84375</v>
      </c>
      <c r="S89" s="59" t="n">
        <f aca="true">IF($A89="",0,INDEX(tblPosn,$A89,6))</f>
        <v>0</v>
      </c>
      <c r="T89" s="98" t="n">
        <f aca="false">O89*F89+P89*K89+R89*AC89+S89*AH89/0.72+Q89*X89</f>
        <v>0</v>
      </c>
      <c r="V89" s="161" t="n">
        <f aca="false">D89</f>
        <v>38596</v>
      </c>
      <c r="W89" s="94" t="n">
        <f aca="false">VLOOKUP($D89,tblPriorPrice,4)</f>
        <v>38</v>
      </c>
      <c r="X89" s="95" t="n">
        <f aca="false">Y89-W89</f>
        <v>0</v>
      </c>
      <c r="Y89" s="191" t="n">
        <f aca="true">Y77+OFFSET($CG$50,$B89,$C89)</f>
        <v>38</v>
      </c>
      <c r="Z89" s="96" t="n">
        <f aca="true">Y89+OFFSET($CU$51,$B89,$C89)</f>
        <v>33</v>
      </c>
      <c r="AA89" s="177" t="n">
        <f aca="true">Y89+OFFSET($DI$51,$B89,$C89)</f>
        <v>58</v>
      </c>
      <c r="AB89" s="94" t="n">
        <f aca="false">VLOOKUP($D89,tblPriorPrice,5)</f>
        <v>36</v>
      </c>
      <c r="AC89" s="190" t="n">
        <f aca="false">AD89-AB89</f>
        <v>0</v>
      </c>
      <c r="AD89" s="191" t="n">
        <f aca="true">AD77+OFFSET($CG$73,$B89,$C89)</f>
        <v>36</v>
      </c>
      <c r="AE89" s="96" t="n">
        <f aca="true">AD89+OFFSET($CU$74,$B89,$C89)</f>
        <v>31</v>
      </c>
      <c r="AF89" s="177" t="n">
        <f aca="true">AD89+OFFSET($DI$74,$B89,$C89)</f>
        <v>56</v>
      </c>
      <c r="AG89" s="94" t="n">
        <f aca="false">VLOOKUP($D89,tblPriorPrice,6)</f>
        <v>1</v>
      </c>
      <c r="AH89" s="190" t="n">
        <f aca="false">AI89-AG89</f>
        <v>0</v>
      </c>
      <c r="AI89" s="191" t="n">
        <f aca="true">AI77+OFFSET($CG$96,$B89,$C89)</f>
        <v>1</v>
      </c>
      <c r="AJ89" s="96" t="n">
        <f aca="true">AI89+OFFSET($CU$96,$B89,$C89)</f>
        <v>1</v>
      </c>
      <c r="AK89" s="97" t="n">
        <f aca="true">AI89+OFFSET($DI$96,$B89,$C89)</f>
        <v>1</v>
      </c>
      <c r="AL89" s="178" t="n">
        <v>20</v>
      </c>
      <c r="AM89" s="165" t="n">
        <v>0.4</v>
      </c>
      <c r="AN89" s="167" t="n">
        <f aca="false">'[3]Pricing Summary'!$AM67</f>
        <v>0.245</v>
      </c>
      <c r="AO89" s="167" t="n">
        <f aca="false">0.9*AN89</f>
        <v>0.2205</v>
      </c>
      <c r="AP89" s="166" t="n">
        <f aca="false">1.5*AN89</f>
        <v>0.3675</v>
      </c>
      <c r="AQ89" s="167" t="n">
        <f aca="false">AN89</f>
        <v>0.245</v>
      </c>
      <c r="AR89" s="166" t="n">
        <f aca="false">0.8*AQ89</f>
        <v>0.196</v>
      </c>
      <c r="AS89" s="166" t="n">
        <f aca="false">1.2*AQ89</f>
        <v>0.294</v>
      </c>
      <c r="AT89" s="169" t="n">
        <f aca="false">IF(G89&lt;110,17.94063*(LN(G89/100))+6.727568*(LN(G89/100)^2)+15.06494,(-4.1*G89+2135)/100)*0.5</f>
        <v>3.37193072755109</v>
      </c>
      <c r="AU89" s="169" t="n">
        <f aca="false">(0.75*AT89-AT89)</f>
        <v>-0.842982681887772</v>
      </c>
      <c r="AV89" s="166" t="n">
        <f aca="false">AT89/0.5*1.25-AT89</f>
        <v>5.05789609132663</v>
      </c>
      <c r="AW89" s="168" t="n">
        <f aca="false">IF(L89&lt;15,(15*L89+375)/100,(-4.71*L89+670.65)/100)*0.5</f>
        <v>2.45835</v>
      </c>
      <c r="AX89" s="166" t="n">
        <f aca="false">0.75*AW89-AW89</f>
        <v>-0.6145875</v>
      </c>
      <c r="AY89" s="166" t="n">
        <f aca="false">AW89/0.5*1.25-AW89</f>
        <v>3.687525</v>
      </c>
      <c r="AZ89" s="167" t="n">
        <v>0.5</v>
      </c>
      <c r="BA89" s="74"/>
      <c r="BC89" s="218" t="s">
        <v>126</v>
      </c>
      <c r="BD89" s="218"/>
      <c r="BF89" s="218" t="s">
        <v>127</v>
      </c>
      <c r="BQ89" s="108" t="n">
        <v>36907.7428240741</v>
      </c>
      <c r="BR89" s="109" t="n">
        <v>36907.743287037</v>
      </c>
      <c r="BS89" s="110" t="n">
        <v>38534</v>
      </c>
      <c r="BT89" s="111" t="n">
        <v>134034.0625</v>
      </c>
      <c r="BU89" s="112" t="n">
        <v>103876.390625</v>
      </c>
      <c r="BV89" s="112" t="n">
        <v>33508.515625</v>
      </c>
      <c r="BW89" s="112" t="n">
        <v>40210.21484375</v>
      </c>
      <c r="BX89" s="113" t="n">
        <v>0</v>
      </c>
      <c r="BZ89" s="110" t="n">
        <v>38596</v>
      </c>
      <c r="CA89" s="185" t="n">
        <v>55</v>
      </c>
      <c r="CB89" s="116" t="n">
        <v>38</v>
      </c>
      <c r="CC89" s="181" t="n">
        <v>38</v>
      </c>
      <c r="CD89" s="181" t="n">
        <v>36</v>
      </c>
      <c r="CE89" s="117" t="n">
        <v>1</v>
      </c>
      <c r="CG89" s="135" t="n">
        <f aca="false">BB25</f>
        <v>2016</v>
      </c>
      <c r="CH89" s="137" t="n">
        <v>0</v>
      </c>
      <c r="CI89" s="137" t="n">
        <v>0</v>
      </c>
      <c r="CJ89" s="137" t="n">
        <v>0</v>
      </c>
      <c r="CK89" s="137" t="n">
        <v>0</v>
      </c>
      <c r="CL89" s="137" t="n">
        <v>0</v>
      </c>
      <c r="CM89" s="137" t="n">
        <v>0</v>
      </c>
      <c r="CN89" s="137" t="n">
        <v>0</v>
      </c>
      <c r="CO89" s="137" t="n">
        <v>0</v>
      </c>
      <c r="CP89" s="137" t="n">
        <v>0</v>
      </c>
      <c r="CQ89" s="137" t="n">
        <v>0</v>
      </c>
      <c r="CR89" s="137" t="n">
        <v>0</v>
      </c>
      <c r="CS89" s="138" t="n">
        <v>0</v>
      </c>
      <c r="CU89" s="135" t="n">
        <f aca="false">BB25</f>
        <v>2016</v>
      </c>
      <c r="CV89" s="136" t="n">
        <v>-5</v>
      </c>
      <c r="CW89" s="137" t="n">
        <v>-5</v>
      </c>
      <c r="CX89" s="137" t="n">
        <v>-5</v>
      </c>
      <c r="CY89" s="137" t="n">
        <v>-5</v>
      </c>
      <c r="CZ89" s="137" t="n">
        <v>-5</v>
      </c>
      <c r="DA89" s="137" t="n">
        <v>-5</v>
      </c>
      <c r="DB89" s="137" t="n">
        <v>-5</v>
      </c>
      <c r="DC89" s="137" t="n">
        <v>-5</v>
      </c>
      <c r="DD89" s="137" t="n">
        <v>-5</v>
      </c>
      <c r="DE89" s="137" t="n">
        <v>-5</v>
      </c>
      <c r="DF89" s="137" t="n">
        <v>-5</v>
      </c>
      <c r="DG89" s="138" t="n">
        <v>-5</v>
      </c>
      <c r="DI89" s="202" t="n">
        <f aca="false">BB25</f>
        <v>2016</v>
      </c>
      <c r="DJ89" s="137" t="n">
        <f aca="false">DJ66</f>
        <v>30</v>
      </c>
      <c r="DK89" s="137" t="n">
        <f aca="false">DK66</f>
        <v>30</v>
      </c>
      <c r="DL89" s="137" t="n">
        <f aca="false">DL66</f>
        <v>30</v>
      </c>
      <c r="DM89" s="137" t="n">
        <f aca="false">DM66</f>
        <v>30</v>
      </c>
      <c r="DN89" s="137" t="n">
        <f aca="false">DN66</f>
        <v>30</v>
      </c>
      <c r="DO89" s="137" t="n">
        <f aca="false">DO66</f>
        <v>30</v>
      </c>
      <c r="DP89" s="137" t="n">
        <f aca="false">DP66</f>
        <v>30</v>
      </c>
      <c r="DQ89" s="137" t="n">
        <f aca="false">DQ66</f>
        <v>30</v>
      </c>
      <c r="DR89" s="137" t="n">
        <f aca="false">DR66</f>
        <v>30</v>
      </c>
      <c r="DS89" s="137" t="n">
        <f aca="false">DS66</f>
        <v>30</v>
      </c>
      <c r="DT89" s="137" t="n">
        <f aca="false">DT66</f>
        <v>30</v>
      </c>
      <c r="DU89" s="137" t="n">
        <f aca="false">DU66</f>
        <v>30</v>
      </c>
    </row>
    <row r="90" customFormat="false" ht="12.75" hidden="false" customHeight="false" outlineLevel="0" collapsed="false">
      <c r="A90" s="0" t="n">
        <f aca="true">IF(ISERROR(MATCH(D90,iRefDt,0)),"",MATCH(D90,iRefDt,0))</f>
        <v>90</v>
      </c>
      <c r="B90" s="92" t="n">
        <f aca="false">MATCH(YEAR(D90),iSpreads)</f>
        <v>5</v>
      </c>
      <c r="C90" s="0" t="n">
        <f aca="false">MONTH(D90)</f>
        <v>10</v>
      </c>
      <c r="D90" s="93" t="n">
        <f aca="false">DATE(YEAR(D89),MONTH(D89)+1,1)</f>
        <v>38626</v>
      </c>
      <c r="E90" s="94" t="n">
        <f aca="false">VLOOKUP($D90,tblPriorPrice,2)</f>
        <v>38</v>
      </c>
      <c r="F90" s="190" t="n">
        <f aca="false">G90-E90</f>
        <v>0</v>
      </c>
      <c r="G90" s="190" t="n">
        <f aca="true">G78+OFFSET($CG$4,$B90,$C90)</f>
        <v>38</v>
      </c>
      <c r="H90" s="96" t="n">
        <f aca="true">G90+OFFSET($CU$4,$B90,$C90)</f>
        <v>33</v>
      </c>
      <c r="I90" s="96" t="n">
        <f aca="true">G90+OFFSET($DI$4,$B90,$C90)</f>
        <v>53</v>
      </c>
      <c r="J90" s="94" t="n">
        <f aca="false">VLOOKUP($D90,tblPriorPrice,3)</f>
        <v>40</v>
      </c>
      <c r="K90" s="190" t="n">
        <f aca="false">L90-J90</f>
        <v>0</v>
      </c>
      <c r="L90" s="190" t="n">
        <f aca="true">L78+OFFSET($CG$27,$B90,$C90)</f>
        <v>40</v>
      </c>
      <c r="M90" s="96" t="n">
        <f aca="true">$L90+OFFSET($CU$27,$B90,$C90)</f>
        <v>35</v>
      </c>
      <c r="N90" s="97" t="n">
        <f aca="true">$L90+OFFSET($DI$27,$B90,$C90)</f>
        <v>45</v>
      </c>
      <c r="O90" s="59" t="n">
        <f aca="true">IF($A90="",0,INDEX(tblPosn,$A90,2))</f>
        <v>138369.53125</v>
      </c>
      <c r="P90" s="59" t="n">
        <f aca="true">IF($A90="",0,INDEX(tblPosn,$A90,3))</f>
        <v>102541.703125</v>
      </c>
      <c r="Q90" s="59" t="n">
        <f aca="true">IF($A90="",0,INDEX(tblPosn,$A90,4))</f>
        <v>32945.125</v>
      </c>
      <c r="R90" s="59" t="n">
        <f aca="true">IF($A90="",0,INDEX(tblPosn,$A90,5))</f>
        <v>32945.125</v>
      </c>
      <c r="S90" s="59" t="n">
        <f aca="true">IF($A90="",0,INDEX(tblPosn,$A90,6))</f>
        <v>0</v>
      </c>
      <c r="T90" s="98" t="n">
        <f aca="false">O90*F90+P90*K90+R90*AC90+S90*AH90/0.72+Q90*X90</f>
        <v>0</v>
      </c>
      <c r="V90" s="161" t="n">
        <f aca="false">D90</f>
        <v>38626</v>
      </c>
      <c r="W90" s="94" t="n">
        <f aca="false">VLOOKUP($D90,tblPriorPrice,4)</f>
        <v>38</v>
      </c>
      <c r="X90" s="95" t="n">
        <f aca="false">Y90-W90</f>
        <v>0</v>
      </c>
      <c r="Y90" s="191" t="n">
        <f aca="true">Y78+OFFSET($CG$50,$B90,$C90)</f>
        <v>38</v>
      </c>
      <c r="Z90" s="96" t="n">
        <f aca="true">Y90+OFFSET($CU$51,$B90,$C90)</f>
        <v>33</v>
      </c>
      <c r="AA90" s="177" t="n">
        <f aca="true">Y90+OFFSET($DI$51,$B90,$C90)</f>
        <v>58</v>
      </c>
      <c r="AB90" s="94" t="n">
        <f aca="false">VLOOKUP($D90,tblPriorPrice,5)</f>
        <v>38</v>
      </c>
      <c r="AC90" s="190" t="n">
        <f aca="false">AD90-AB90</f>
        <v>0</v>
      </c>
      <c r="AD90" s="191" t="n">
        <f aca="true">AD78+OFFSET($CG$73,$B90,$C90)</f>
        <v>38</v>
      </c>
      <c r="AE90" s="96" t="n">
        <f aca="true">AD90+OFFSET($CU$74,$B90,$C90)</f>
        <v>33</v>
      </c>
      <c r="AF90" s="177" t="n">
        <f aca="true">AD90+OFFSET($DI$74,$B90,$C90)</f>
        <v>58</v>
      </c>
      <c r="AG90" s="94" t="n">
        <f aca="false">VLOOKUP($D90,tblPriorPrice,6)</f>
        <v>1</v>
      </c>
      <c r="AH90" s="190" t="n">
        <f aca="false">AI90-AG90</f>
        <v>0</v>
      </c>
      <c r="AI90" s="191" t="n">
        <f aca="true">AI78+OFFSET($CG$96,$B90,$C90)</f>
        <v>1</v>
      </c>
      <c r="AJ90" s="96" t="n">
        <f aca="true">AI90+OFFSET($CU$96,$B90,$C90)</f>
        <v>1</v>
      </c>
      <c r="AK90" s="97" t="n">
        <f aca="true">AI90+OFFSET($DI$96,$B90,$C90)</f>
        <v>1</v>
      </c>
      <c r="AL90" s="178" t="n">
        <v>20</v>
      </c>
      <c r="AM90" s="165" t="n">
        <v>0.4</v>
      </c>
      <c r="AN90" s="167" t="n">
        <f aca="false">'[3]Pricing Summary'!$AM68</f>
        <v>0.245</v>
      </c>
      <c r="AO90" s="167" t="n">
        <f aca="false">0.9*AN90</f>
        <v>0.2205</v>
      </c>
      <c r="AP90" s="166" t="n">
        <f aca="false">1.5*AN90</f>
        <v>0.3675</v>
      </c>
      <c r="AQ90" s="167" t="n">
        <f aca="false">AN90</f>
        <v>0.245</v>
      </c>
      <c r="AR90" s="166" t="n">
        <f aca="false">0.8*AQ90</f>
        <v>0.196</v>
      </c>
      <c r="AS90" s="166" t="n">
        <f aca="false">1.2*AQ90</f>
        <v>0.294</v>
      </c>
      <c r="AT90" s="169" t="n">
        <f aca="false">IF(G90&lt;110,17.94063*(LN(G90/100))+6.727568*(LN(G90/100)^2)+15.06494,(-4.1*G90+2135)/100)*0.5</f>
        <v>2.00217447645069</v>
      </c>
      <c r="AU90" s="169" t="n">
        <f aca="false">(0.75*AT90-AT90)</f>
        <v>-0.500543619112672</v>
      </c>
      <c r="AV90" s="166" t="n">
        <f aca="false">AT90/0.5*1.25-AT90</f>
        <v>3.00326171467603</v>
      </c>
      <c r="AW90" s="168" t="n">
        <f aca="false">IF(L90&lt;15,(15*L90+375)/100,(-4.71*L90+670.65)/100)*0.5</f>
        <v>2.41125</v>
      </c>
      <c r="AX90" s="166" t="n">
        <f aca="false">0.75*AW90-AW90</f>
        <v>-0.6028125</v>
      </c>
      <c r="AY90" s="166" t="n">
        <f aca="false">AW90/0.5*1.25-AW90</f>
        <v>3.616875</v>
      </c>
      <c r="AZ90" s="167" t="n">
        <v>0.5</v>
      </c>
      <c r="BA90" s="74"/>
      <c r="BC90" s="219" t="n">
        <v>-5</v>
      </c>
      <c r="BD90" s="220" t="n">
        <v>0.015</v>
      </c>
      <c r="BF90" s="221" t="n">
        <v>1</v>
      </c>
      <c r="BQ90" s="108" t="n">
        <v>36907.7428240741</v>
      </c>
      <c r="BR90" s="109" t="n">
        <v>36907.743287037</v>
      </c>
      <c r="BS90" s="110" t="n">
        <v>38565</v>
      </c>
      <c r="BT90" s="111" t="n">
        <v>153367.5</v>
      </c>
      <c r="BU90" s="112" t="n">
        <v>103356.359375</v>
      </c>
      <c r="BV90" s="112" t="n">
        <v>26672.609375</v>
      </c>
      <c r="BW90" s="112" t="n">
        <v>26672.609375</v>
      </c>
      <c r="BX90" s="113" t="n">
        <v>0</v>
      </c>
      <c r="BZ90" s="110" t="n">
        <v>38626</v>
      </c>
      <c r="CA90" s="185" t="n">
        <v>38</v>
      </c>
      <c r="CB90" s="116" t="n">
        <v>40</v>
      </c>
      <c r="CC90" s="181" t="n">
        <v>38</v>
      </c>
      <c r="CD90" s="181" t="n">
        <v>38</v>
      </c>
      <c r="CE90" s="117" t="n">
        <v>1</v>
      </c>
      <c r="CG90" s="135" t="n">
        <f aca="false">BB26</f>
        <v>2017</v>
      </c>
      <c r="CH90" s="137" t="n">
        <v>0</v>
      </c>
      <c r="CI90" s="137" t="n">
        <v>0</v>
      </c>
      <c r="CJ90" s="137" t="n">
        <v>0</v>
      </c>
      <c r="CK90" s="137" t="n">
        <v>0</v>
      </c>
      <c r="CL90" s="137" t="n">
        <v>0</v>
      </c>
      <c r="CM90" s="137" t="n">
        <v>0</v>
      </c>
      <c r="CN90" s="137" t="n">
        <v>0</v>
      </c>
      <c r="CO90" s="137" t="n">
        <v>0</v>
      </c>
      <c r="CP90" s="137" t="n">
        <v>0</v>
      </c>
      <c r="CQ90" s="137" t="n">
        <v>0</v>
      </c>
      <c r="CR90" s="137" t="n">
        <v>0</v>
      </c>
      <c r="CS90" s="138" t="n">
        <v>0</v>
      </c>
      <c r="CU90" s="135" t="n">
        <f aca="false">BB26</f>
        <v>2017</v>
      </c>
      <c r="CV90" s="136" t="n">
        <v>-5</v>
      </c>
      <c r="CW90" s="137" t="n">
        <v>-5</v>
      </c>
      <c r="CX90" s="137" t="n">
        <v>-5</v>
      </c>
      <c r="CY90" s="137" t="n">
        <v>-5</v>
      </c>
      <c r="CZ90" s="137" t="n">
        <v>-5</v>
      </c>
      <c r="DA90" s="137" t="n">
        <v>-5</v>
      </c>
      <c r="DB90" s="137" t="n">
        <v>-5</v>
      </c>
      <c r="DC90" s="137" t="n">
        <v>-5</v>
      </c>
      <c r="DD90" s="137" t="n">
        <v>-5</v>
      </c>
      <c r="DE90" s="137" t="n">
        <v>-5</v>
      </c>
      <c r="DF90" s="137" t="n">
        <v>-5</v>
      </c>
      <c r="DG90" s="138" t="n">
        <v>-5</v>
      </c>
      <c r="DI90" s="202" t="n">
        <f aca="false">BB26</f>
        <v>2017</v>
      </c>
      <c r="DJ90" s="137" t="n">
        <f aca="false">DJ67</f>
        <v>31</v>
      </c>
      <c r="DK90" s="137" t="n">
        <f aca="false">DK67</f>
        <v>31</v>
      </c>
      <c r="DL90" s="137" t="n">
        <f aca="false">DL67</f>
        <v>31</v>
      </c>
      <c r="DM90" s="137" t="n">
        <f aca="false">DM67</f>
        <v>31</v>
      </c>
      <c r="DN90" s="137" t="n">
        <f aca="false">DN67</f>
        <v>31</v>
      </c>
      <c r="DO90" s="137" t="n">
        <f aca="false">DO67</f>
        <v>31</v>
      </c>
      <c r="DP90" s="137" t="n">
        <f aca="false">DP67</f>
        <v>31</v>
      </c>
      <c r="DQ90" s="137" t="n">
        <f aca="false">DQ67</f>
        <v>31</v>
      </c>
      <c r="DR90" s="137" t="n">
        <f aca="false">DR67</f>
        <v>31</v>
      </c>
      <c r="DS90" s="137" t="n">
        <f aca="false">DS67</f>
        <v>31</v>
      </c>
      <c r="DT90" s="137" t="n">
        <f aca="false">DT67</f>
        <v>31</v>
      </c>
      <c r="DU90" s="137" t="n">
        <f aca="false">DU67</f>
        <v>31</v>
      </c>
    </row>
    <row r="91" customFormat="false" ht="12.75" hidden="false" customHeight="false" outlineLevel="0" collapsed="false">
      <c r="A91" s="0" t="n">
        <f aca="true">IF(ISERROR(MATCH(D91,iRefDt,0)),"",MATCH(D91,iRefDt,0))</f>
        <v>91</v>
      </c>
      <c r="B91" s="92" t="n">
        <f aca="false">MATCH(YEAR(D91),iSpreads)</f>
        <v>5</v>
      </c>
      <c r="C91" s="0" t="n">
        <f aca="false">MONTH(D91)</f>
        <v>11</v>
      </c>
      <c r="D91" s="93" t="n">
        <f aca="false">DATE(YEAR(D90),MONTH(D90)+1,1)</f>
        <v>38657</v>
      </c>
      <c r="E91" s="94" t="n">
        <f aca="false">VLOOKUP($D91,tblPriorPrice,2)</f>
        <v>40</v>
      </c>
      <c r="F91" s="190" t="n">
        <f aca="false">G91-E91</f>
        <v>0</v>
      </c>
      <c r="G91" s="190" t="n">
        <f aca="true">G79+OFFSET($CG$4,$B91,$C91)</f>
        <v>40</v>
      </c>
      <c r="H91" s="96" t="n">
        <f aca="true">G91+OFFSET($CU$4,$B91,$C91)</f>
        <v>35</v>
      </c>
      <c r="I91" s="96" t="n">
        <f aca="true">G91+OFFSET($DI$4,$B91,$C91)</f>
        <v>55</v>
      </c>
      <c r="J91" s="94" t="n">
        <f aca="false">VLOOKUP($D91,tblPriorPrice,3)</f>
        <v>36</v>
      </c>
      <c r="K91" s="190" t="n">
        <f aca="false">L91-J91</f>
        <v>0</v>
      </c>
      <c r="L91" s="190" t="n">
        <f aca="true">L79+OFFSET($CG$27,$B91,$C91)</f>
        <v>36</v>
      </c>
      <c r="M91" s="96" t="n">
        <f aca="true">$L91+OFFSET($CU$27,$B91,$C91)</f>
        <v>31</v>
      </c>
      <c r="N91" s="97" t="n">
        <f aca="true">$L91+OFFSET($DI$27,$B91,$C91)</f>
        <v>41</v>
      </c>
      <c r="O91" s="59" t="n">
        <f aca="true">IF($A91="",0,INDEX(tblPosn,$A91,2))</f>
        <v>137940.203125</v>
      </c>
      <c r="P91" s="59" t="n">
        <f aca="true">IF($A91="",0,INDEX(tblPosn,$A91,3))</f>
        <v>98528.71875</v>
      </c>
      <c r="Q91" s="59" t="n">
        <f aca="true">IF($A91="",0,INDEX(tblPosn,$A91,4))</f>
        <v>26274.32421875</v>
      </c>
      <c r="R91" s="59" t="n">
        <f aca="true">IF($A91="",0,INDEX(tblPosn,$A91,5))</f>
        <v>32842.90625</v>
      </c>
      <c r="S91" s="59" t="n">
        <f aca="true">IF($A91="",0,INDEX(tblPosn,$A91,6))</f>
        <v>0</v>
      </c>
      <c r="T91" s="98" t="n">
        <f aca="false">O91*F91+P91*K91+R91*AC91+S91*AH91/0.72+Q91*X91</f>
        <v>0</v>
      </c>
      <c r="V91" s="161" t="n">
        <f aca="false">D91</f>
        <v>38657</v>
      </c>
      <c r="W91" s="94" t="n">
        <f aca="false">VLOOKUP($D91,tblPriorPrice,4)</f>
        <v>34</v>
      </c>
      <c r="X91" s="95" t="n">
        <f aca="false">Y91-W91</f>
        <v>0</v>
      </c>
      <c r="Y91" s="191" t="n">
        <f aca="true">Y79+OFFSET($CG$50,$B91,$C91)</f>
        <v>34</v>
      </c>
      <c r="Z91" s="96" t="n">
        <f aca="true">Y91+OFFSET($CU$51,$B91,$C91)</f>
        <v>29</v>
      </c>
      <c r="AA91" s="177" t="n">
        <f aca="true">Y91+OFFSET($DI$51,$B91,$C91)</f>
        <v>54</v>
      </c>
      <c r="AB91" s="94" t="n">
        <f aca="false">VLOOKUP($D91,tblPriorPrice,5)</f>
        <v>34</v>
      </c>
      <c r="AC91" s="190" t="n">
        <f aca="false">AD91-AB91</f>
        <v>0</v>
      </c>
      <c r="AD91" s="191" t="n">
        <f aca="true">AD79+OFFSET($CG$73,$B91,$C91)</f>
        <v>34</v>
      </c>
      <c r="AE91" s="96" t="n">
        <f aca="true">AD91+OFFSET($CU$74,$B91,$C91)</f>
        <v>29</v>
      </c>
      <c r="AF91" s="177" t="n">
        <f aca="true">AD91+OFFSET($DI$74,$B91,$C91)</f>
        <v>54</v>
      </c>
      <c r="AG91" s="94" t="n">
        <f aca="false">VLOOKUP($D91,tblPriorPrice,6)</f>
        <v>1</v>
      </c>
      <c r="AH91" s="190" t="n">
        <f aca="false">AI91-AG91</f>
        <v>0</v>
      </c>
      <c r="AI91" s="191" t="n">
        <f aca="true">AI79+OFFSET($CG$96,$B91,$C91)</f>
        <v>1</v>
      </c>
      <c r="AJ91" s="96" t="n">
        <f aca="true">AI91+OFFSET($CU$96,$B91,$C91)</f>
        <v>1</v>
      </c>
      <c r="AK91" s="97" t="n">
        <f aca="true">AI91+OFFSET($DI$96,$B91,$C91)</f>
        <v>1</v>
      </c>
      <c r="AL91" s="178" t="n">
        <v>20</v>
      </c>
      <c r="AM91" s="165" t="n">
        <v>0.4</v>
      </c>
      <c r="AN91" s="167" t="n">
        <f aca="false">'[3]Pricing Summary'!$AM69</f>
        <v>0.245</v>
      </c>
      <c r="AO91" s="167" t="n">
        <f aca="false">0.9*AN91</f>
        <v>0.2205</v>
      </c>
      <c r="AP91" s="166" t="n">
        <f aca="false">1.5*AN91</f>
        <v>0.3675</v>
      </c>
      <c r="AQ91" s="167" t="n">
        <f aca="false">AN91</f>
        <v>0.245</v>
      </c>
      <c r="AR91" s="166" t="n">
        <f aca="false">0.8*AQ91</f>
        <v>0.196</v>
      </c>
      <c r="AS91" s="166" t="n">
        <f aca="false">1.2*AQ91</f>
        <v>0.294</v>
      </c>
      <c r="AT91" s="169" t="n">
        <f aca="false">IF(G91&lt;110,17.94063*(LN(G91/100))+6.727568*(LN(G91/100)^2)+15.06494,(-4.1*G91+2135)/100)*0.5</f>
        <v>2.13724855703929</v>
      </c>
      <c r="AU91" s="169" t="n">
        <f aca="false">(0.75*AT91-AT91)</f>
        <v>-0.534312139259822</v>
      </c>
      <c r="AV91" s="166" t="n">
        <f aca="false">AT91/0.5*1.25-AT91</f>
        <v>3.20587283555893</v>
      </c>
      <c r="AW91" s="168" t="n">
        <f aca="false">IF(L91&lt;15,(15*L91+375)/100,(-4.71*L91+670.65)/100)*0.5</f>
        <v>2.50545</v>
      </c>
      <c r="AX91" s="166" t="n">
        <f aca="false">0.75*AW91-AW91</f>
        <v>-0.6263625</v>
      </c>
      <c r="AY91" s="166" t="n">
        <f aca="false">AW91/0.5*1.25-AW91</f>
        <v>3.758175</v>
      </c>
      <c r="AZ91" s="167" t="n">
        <v>0.5</v>
      </c>
      <c r="BA91" s="74"/>
      <c r="BC91" s="222" t="n">
        <v>-4.5</v>
      </c>
      <c r="BD91" s="223" t="n">
        <v>0.015</v>
      </c>
      <c r="BF91" s="224" t="n">
        <v>2</v>
      </c>
      <c r="BQ91" s="108" t="n">
        <v>36907.7428240741</v>
      </c>
      <c r="BR91" s="109" t="n">
        <v>36907.743287037</v>
      </c>
      <c r="BS91" s="110" t="n">
        <v>38596</v>
      </c>
      <c r="BT91" s="111" t="n">
        <v>139338.546875</v>
      </c>
      <c r="BU91" s="112" t="n">
        <v>99527.53125</v>
      </c>
      <c r="BV91" s="112" t="n">
        <v>26540.67578125</v>
      </c>
      <c r="BW91" s="112" t="n">
        <v>33175.84375</v>
      </c>
      <c r="BX91" s="113" t="n">
        <v>0</v>
      </c>
      <c r="BZ91" s="110" t="n">
        <v>38657</v>
      </c>
      <c r="CA91" s="185" t="n">
        <v>40</v>
      </c>
      <c r="CB91" s="116" t="n">
        <v>36</v>
      </c>
      <c r="CC91" s="181" t="n">
        <v>34</v>
      </c>
      <c r="CD91" s="181" t="n">
        <v>34</v>
      </c>
      <c r="CE91" s="117" t="n">
        <v>1</v>
      </c>
      <c r="CG91" s="135" t="n">
        <f aca="false">BB27</f>
        <v>2018</v>
      </c>
      <c r="CH91" s="137" t="n">
        <v>0</v>
      </c>
      <c r="CI91" s="137" t="n">
        <v>0</v>
      </c>
      <c r="CJ91" s="137" t="n">
        <v>0</v>
      </c>
      <c r="CK91" s="137" t="n">
        <v>0</v>
      </c>
      <c r="CL91" s="137" t="n">
        <v>0</v>
      </c>
      <c r="CM91" s="137" t="n">
        <v>0</v>
      </c>
      <c r="CN91" s="137" t="n">
        <v>0</v>
      </c>
      <c r="CO91" s="137" t="n">
        <v>0</v>
      </c>
      <c r="CP91" s="137" t="n">
        <v>0</v>
      </c>
      <c r="CQ91" s="137" t="n">
        <v>0</v>
      </c>
      <c r="CR91" s="137" t="n">
        <v>0</v>
      </c>
      <c r="CS91" s="138" t="n">
        <v>0</v>
      </c>
      <c r="CU91" s="135" t="n">
        <f aca="false">BB27</f>
        <v>2018</v>
      </c>
      <c r="CV91" s="136" t="n">
        <v>-5</v>
      </c>
      <c r="CW91" s="137" t="n">
        <v>-5</v>
      </c>
      <c r="CX91" s="137" t="n">
        <v>-5</v>
      </c>
      <c r="CY91" s="137" t="n">
        <v>-5</v>
      </c>
      <c r="CZ91" s="137" t="n">
        <v>-5</v>
      </c>
      <c r="DA91" s="137" t="n">
        <v>-5</v>
      </c>
      <c r="DB91" s="137" t="n">
        <v>-5</v>
      </c>
      <c r="DC91" s="137" t="n">
        <v>-5</v>
      </c>
      <c r="DD91" s="137" t="n">
        <v>-5</v>
      </c>
      <c r="DE91" s="137" t="n">
        <v>-5</v>
      </c>
      <c r="DF91" s="137" t="n">
        <v>-5</v>
      </c>
      <c r="DG91" s="138" t="n">
        <v>-5</v>
      </c>
      <c r="DI91" s="202" t="n">
        <f aca="false">BB27</f>
        <v>2018</v>
      </c>
      <c r="DJ91" s="137" t="n">
        <f aca="false">DJ68</f>
        <v>32</v>
      </c>
      <c r="DK91" s="137" t="n">
        <f aca="false">DK68</f>
        <v>32</v>
      </c>
      <c r="DL91" s="137" t="n">
        <f aca="false">DL68</f>
        <v>32</v>
      </c>
      <c r="DM91" s="137" t="n">
        <f aca="false">DM68</f>
        <v>32</v>
      </c>
      <c r="DN91" s="137" t="n">
        <f aca="false">DN68</f>
        <v>32</v>
      </c>
      <c r="DO91" s="137" t="n">
        <f aca="false">DO68</f>
        <v>32</v>
      </c>
      <c r="DP91" s="137" t="n">
        <f aca="false">DP68</f>
        <v>32</v>
      </c>
      <c r="DQ91" s="137" t="n">
        <f aca="false">DQ68</f>
        <v>32</v>
      </c>
      <c r="DR91" s="137" t="n">
        <f aca="false">DR68</f>
        <v>32</v>
      </c>
      <c r="DS91" s="137" t="n">
        <f aca="false">DS68</f>
        <v>32</v>
      </c>
      <c r="DT91" s="137" t="n">
        <f aca="false">DT68</f>
        <v>32</v>
      </c>
      <c r="DU91" s="137" t="n">
        <f aca="false">DU68</f>
        <v>32</v>
      </c>
    </row>
    <row r="92" customFormat="false" ht="12.75" hidden="false" customHeight="false" outlineLevel="0" collapsed="false">
      <c r="A92" s="0" t="n">
        <f aca="true">IF(ISERROR(MATCH(D92,iRefDt,0)),"",MATCH(D92,iRefDt,0))</f>
        <v>92</v>
      </c>
      <c r="B92" s="92" t="n">
        <f aca="false">MATCH(YEAR(D92),iSpreads)</f>
        <v>5</v>
      </c>
      <c r="C92" s="0" t="n">
        <f aca="false">MONTH(D92)</f>
        <v>12</v>
      </c>
      <c r="D92" s="93" t="n">
        <f aca="false">DATE(YEAR(D91),MONTH(D91)+1,1)</f>
        <v>38687</v>
      </c>
      <c r="E92" s="94" t="n">
        <f aca="false">VLOOKUP($D92,tblPriorPrice,2)</f>
        <v>56</v>
      </c>
      <c r="F92" s="190" t="n">
        <f aca="false">G92-E92</f>
        <v>0</v>
      </c>
      <c r="G92" s="190" t="n">
        <f aca="true">G80+OFFSET($CG$4,$B92,$C92)</f>
        <v>56</v>
      </c>
      <c r="H92" s="96" t="n">
        <f aca="true">G92+OFFSET($CU$4,$B92,$C92)</f>
        <v>51</v>
      </c>
      <c r="I92" s="96" t="n">
        <f aca="true">G92+OFFSET($DI$4,$B92,$C92)</f>
        <v>71</v>
      </c>
      <c r="J92" s="94" t="n">
        <f aca="false">VLOOKUP($D92,tblPriorPrice,3)</f>
        <v>35</v>
      </c>
      <c r="K92" s="190" t="n">
        <f aca="false">L92-J92</f>
        <v>0</v>
      </c>
      <c r="L92" s="190" t="n">
        <f aca="true">L80+OFFSET($CG$27,$B92,$C92)</f>
        <v>35</v>
      </c>
      <c r="M92" s="96" t="n">
        <f aca="true">$L92+OFFSET($CU$27,$B92,$C92)</f>
        <v>30</v>
      </c>
      <c r="N92" s="97" t="n">
        <f aca="true">$L92+OFFSET($DI$27,$B92,$C92)</f>
        <v>40</v>
      </c>
      <c r="O92" s="59" t="n">
        <f aca="true">IF($A92="",0,INDEX(tblPosn,$A92,2))</f>
        <v>137243.015625</v>
      </c>
      <c r="P92" s="59" t="n">
        <f aca="true">IF($A92="",0,INDEX(tblPosn,$A92,3))</f>
        <v>101298.421875</v>
      </c>
      <c r="Q92" s="59" t="n">
        <f aca="true">IF($A92="",0,INDEX(tblPosn,$A92,4))</f>
        <v>32676.908203125</v>
      </c>
      <c r="R92" s="59" t="n">
        <f aca="true">IF($A92="",0,INDEX(tblPosn,$A92,5))</f>
        <v>32676.908203125</v>
      </c>
      <c r="S92" s="59" t="n">
        <f aca="true">IF($A92="",0,INDEX(tblPosn,$A92,6))</f>
        <v>0</v>
      </c>
      <c r="T92" s="98" t="n">
        <f aca="false">O92*F92+P92*K92+R92*AC92+S92*AH92/0.72+Q92*X92</f>
        <v>0</v>
      </c>
      <c r="V92" s="161" t="n">
        <f aca="false">D92</f>
        <v>38687</v>
      </c>
      <c r="W92" s="94" t="n">
        <f aca="false">VLOOKUP($D92,tblPriorPrice,4)</f>
        <v>43</v>
      </c>
      <c r="X92" s="95" t="n">
        <f aca="false">Y92-W92</f>
        <v>0</v>
      </c>
      <c r="Y92" s="191" t="n">
        <f aca="true">Y80+OFFSET($CG$50,$B92,$C92)</f>
        <v>43</v>
      </c>
      <c r="Z92" s="96" t="n">
        <f aca="true">Y92+OFFSET($CU$51,$B92,$C92)</f>
        <v>38</v>
      </c>
      <c r="AA92" s="177" t="n">
        <f aca="true">Y92+OFFSET($DI$51,$B92,$C92)</f>
        <v>63</v>
      </c>
      <c r="AB92" s="94" t="n">
        <f aca="false">VLOOKUP($D92,tblPriorPrice,5)</f>
        <v>38</v>
      </c>
      <c r="AC92" s="190" t="n">
        <f aca="false">AD92-AB92</f>
        <v>0</v>
      </c>
      <c r="AD92" s="191" t="n">
        <f aca="true">AD80+OFFSET($CG$73,$B92,$C92)</f>
        <v>38</v>
      </c>
      <c r="AE92" s="96" t="n">
        <f aca="true">AD92+OFFSET($CU$74,$B92,$C92)</f>
        <v>33</v>
      </c>
      <c r="AF92" s="177" t="n">
        <f aca="true">AD92+OFFSET($DI$74,$B92,$C92)</f>
        <v>58</v>
      </c>
      <c r="AG92" s="94" t="n">
        <f aca="false">VLOOKUP($D92,tblPriorPrice,6)</f>
        <v>1</v>
      </c>
      <c r="AH92" s="190" t="n">
        <f aca="false">AI92-AG92</f>
        <v>0</v>
      </c>
      <c r="AI92" s="191" t="n">
        <f aca="true">AI80+OFFSET($CG$96,$B92,$C92)</f>
        <v>1</v>
      </c>
      <c r="AJ92" s="96" t="n">
        <f aca="true">AI92+OFFSET($CU$96,$B92,$C92)</f>
        <v>1</v>
      </c>
      <c r="AK92" s="97" t="n">
        <f aca="true">AI92+OFFSET($DI$96,$B92,$C92)</f>
        <v>1</v>
      </c>
      <c r="AL92" s="178" t="n">
        <v>21</v>
      </c>
      <c r="AM92" s="165" t="n">
        <v>0.4</v>
      </c>
      <c r="AN92" s="167" t="n">
        <f aca="false">'[3]Pricing Summary'!$AM70</f>
        <v>0.2475</v>
      </c>
      <c r="AO92" s="167" t="n">
        <f aca="false">0.9*AN92</f>
        <v>0.22275</v>
      </c>
      <c r="AP92" s="166" t="n">
        <f aca="false">1.5*AN92</f>
        <v>0.37125</v>
      </c>
      <c r="AQ92" s="167" t="n">
        <f aca="false">AN92</f>
        <v>0.2475</v>
      </c>
      <c r="AR92" s="166" t="n">
        <f aca="false">0.8*AQ92</f>
        <v>0.198</v>
      </c>
      <c r="AS92" s="166" t="n">
        <f aca="false">1.2*AQ92</f>
        <v>0.297</v>
      </c>
      <c r="AT92" s="169" t="n">
        <f aca="false">IF(G92&lt;110,17.94063*(LN(G92/100))+6.727568*(LN(G92/100)^2)+15.06494,(-4.1*G92+2135)/100)*0.5</f>
        <v>3.46218427356519</v>
      </c>
      <c r="AU92" s="169" t="n">
        <f aca="false">(0.75*AT92-AT92)</f>
        <v>-0.865546068391296</v>
      </c>
      <c r="AV92" s="166" t="n">
        <f aca="false">AT92/0.5*1.25-AT92</f>
        <v>5.19327641034778</v>
      </c>
      <c r="AW92" s="168" t="n">
        <f aca="false">IF(L92&lt;15,(15*L92+375)/100,(-4.71*L92+670.65)/100)*0.5</f>
        <v>2.529</v>
      </c>
      <c r="AX92" s="166" t="n">
        <f aca="false">0.75*AW92-AW92</f>
        <v>-0.63225</v>
      </c>
      <c r="AY92" s="166" t="n">
        <f aca="false">AW92/0.5*1.25-AW92</f>
        <v>3.7935</v>
      </c>
      <c r="AZ92" s="167" t="n">
        <v>0.5</v>
      </c>
      <c r="BA92" s="74"/>
      <c r="BC92" s="222" t="n">
        <v>-4</v>
      </c>
      <c r="BD92" s="223" t="n">
        <v>0.0125</v>
      </c>
      <c r="BF92" s="224" t="n">
        <v>3</v>
      </c>
      <c r="BQ92" s="108" t="n">
        <v>36907.7428240741</v>
      </c>
      <c r="BR92" s="109" t="n">
        <v>36907.743287037</v>
      </c>
      <c r="BS92" s="110" t="n">
        <v>38626</v>
      </c>
      <c r="BT92" s="111" t="n">
        <v>138369.53125</v>
      </c>
      <c r="BU92" s="112" t="n">
        <v>102541.703125</v>
      </c>
      <c r="BV92" s="112" t="n">
        <v>32945.125</v>
      </c>
      <c r="BW92" s="112" t="n">
        <v>32945.125</v>
      </c>
      <c r="BX92" s="113" t="n">
        <v>0</v>
      </c>
      <c r="BZ92" s="110" t="n">
        <v>38687</v>
      </c>
      <c r="CA92" s="185" t="n">
        <v>56</v>
      </c>
      <c r="CB92" s="116" t="n">
        <v>35</v>
      </c>
      <c r="CC92" s="181" t="n">
        <v>43</v>
      </c>
      <c r="CD92" s="181" t="n">
        <v>38</v>
      </c>
      <c r="CE92" s="117" t="n">
        <v>1</v>
      </c>
      <c r="CG92" s="135" t="n">
        <f aca="false">BB28</f>
        <v>2019</v>
      </c>
      <c r="CH92" s="137" t="n">
        <v>0</v>
      </c>
      <c r="CI92" s="137" t="n">
        <v>0</v>
      </c>
      <c r="CJ92" s="137" t="n">
        <v>0</v>
      </c>
      <c r="CK92" s="137" t="n">
        <v>0</v>
      </c>
      <c r="CL92" s="137" t="n">
        <v>0</v>
      </c>
      <c r="CM92" s="137" t="n">
        <v>0</v>
      </c>
      <c r="CN92" s="137" t="n">
        <v>0</v>
      </c>
      <c r="CO92" s="137" t="n">
        <v>0</v>
      </c>
      <c r="CP92" s="137" t="n">
        <v>0</v>
      </c>
      <c r="CQ92" s="137" t="n">
        <v>0</v>
      </c>
      <c r="CR92" s="137" t="n">
        <v>0</v>
      </c>
      <c r="CS92" s="138" t="n">
        <v>0</v>
      </c>
      <c r="CU92" s="135" t="n">
        <f aca="false">BB28</f>
        <v>2019</v>
      </c>
      <c r="CV92" s="136" t="n">
        <v>-5</v>
      </c>
      <c r="CW92" s="137" t="n">
        <v>-5</v>
      </c>
      <c r="CX92" s="137" t="n">
        <v>-5</v>
      </c>
      <c r="CY92" s="137" t="n">
        <v>-5</v>
      </c>
      <c r="CZ92" s="137" t="n">
        <v>-5</v>
      </c>
      <c r="DA92" s="137" t="n">
        <v>-5</v>
      </c>
      <c r="DB92" s="137" t="n">
        <v>-5</v>
      </c>
      <c r="DC92" s="137" t="n">
        <v>-5</v>
      </c>
      <c r="DD92" s="137" t="n">
        <v>-5</v>
      </c>
      <c r="DE92" s="137" t="n">
        <v>-5</v>
      </c>
      <c r="DF92" s="137" t="n">
        <v>-5</v>
      </c>
      <c r="DG92" s="138" t="n">
        <v>-5</v>
      </c>
      <c r="DI92" s="202" t="n">
        <f aca="false">BB28</f>
        <v>2019</v>
      </c>
      <c r="DJ92" s="137" t="n">
        <f aca="false">DJ69</f>
        <v>33</v>
      </c>
      <c r="DK92" s="137" t="n">
        <f aca="false">DK69</f>
        <v>33</v>
      </c>
      <c r="DL92" s="137" t="n">
        <f aca="false">DL69</f>
        <v>33</v>
      </c>
      <c r="DM92" s="137" t="n">
        <f aca="false">DM69</f>
        <v>33</v>
      </c>
      <c r="DN92" s="137" t="n">
        <f aca="false">DN69</f>
        <v>33</v>
      </c>
      <c r="DO92" s="137" t="n">
        <f aca="false">DO69</f>
        <v>33</v>
      </c>
      <c r="DP92" s="137" t="n">
        <f aca="false">DP69</f>
        <v>33</v>
      </c>
      <c r="DQ92" s="137" t="n">
        <f aca="false">DQ69</f>
        <v>33</v>
      </c>
      <c r="DR92" s="137" t="n">
        <f aca="false">DR69</f>
        <v>33</v>
      </c>
      <c r="DS92" s="137" t="n">
        <f aca="false">DS69</f>
        <v>33</v>
      </c>
      <c r="DT92" s="137" t="n">
        <f aca="false">DT69</f>
        <v>33</v>
      </c>
      <c r="DU92" s="137" t="n">
        <f aca="false">DU69</f>
        <v>33</v>
      </c>
    </row>
    <row r="93" customFormat="false" ht="12.75" hidden="false" customHeight="false" outlineLevel="0" collapsed="false">
      <c r="A93" s="0" t="n">
        <f aca="true">IF(ISERROR(MATCH(D93,iRefDt,0)),"",MATCH(D93,iRefDt,0))</f>
        <v>93</v>
      </c>
      <c r="B93" s="92" t="n">
        <f aca="false">MATCH(YEAR(D93),iSpreads)</f>
        <v>6</v>
      </c>
      <c r="C93" s="0" t="n">
        <f aca="false">MONTH(D93)</f>
        <v>1</v>
      </c>
      <c r="D93" s="93" t="n">
        <f aca="false">DATE(YEAR(D92),MONTH(D92)+1,1)</f>
        <v>38718</v>
      </c>
      <c r="E93" s="94" t="n">
        <f aca="false">VLOOKUP($D93,tblPriorPrice,2)</f>
        <v>36</v>
      </c>
      <c r="F93" s="190" t="n">
        <f aca="false">G93-E93</f>
        <v>0</v>
      </c>
      <c r="G93" s="190" t="n">
        <f aca="true">G81+OFFSET($CG$4,$B93,$C93)</f>
        <v>36</v>
      </c>
      <c r="H93" s="96" t="n">
        <f aca="true">G93+OFFSET($CU$4,$B93,$C93)</f>
        <v>31</v>
      </c>
      <c r="I93" s="96" t="n">
        <f aca="true">G93+OFFSET($DI$4,$B93,$C93)</f>
        <v>56</v>
      </c>
      <c r="J93" s="94" t="n">
        <f aca="false">VLOOKUP($D93,tblPriorPrice,3)</f>
        <v>33</v>
      </c>
      <c r="K93" s="190" t="n">
        <f aca="false">L93-J93</f>
        <v>0</v>
      </c>
      <c r="L93" s="190" t="n">
        <f aca="true">L81+OFFSET($CG$27,$B93,$C93)</f>
        <v>33</v>
      </c>
      <c r="M93" s="96" t="n">
        <f aca="true">$L93+OFFSET($CU$27,$B93,$C93)</f>
        <v>28</v>
      </c>
      <c r="N93" s="97" t="n">
        <f aca="true">$L93+OFFSET($DI$27,$B93,$C93)</f>
        <v>43</v>
      </c>
      <c r="O93" s="59" t="n">
        <f aca="true">IF($A93="",0,INDEX(tblPosn,$A93,2))</f>
        <v>137560.71875</v>
      </c>
      <c r="P93" s="59" t="n">
        <f aca="true">IF($A93="",0,INDEX(tblPosn,$A93,3))</f>
        <v>101532.9140625</v>
      </c>
      <c r="Q93" s="59" t="n">
        <f aca="true">IF($A93="",0,INDEX(tblPosn,$A93,4))</f>
        <v>26202.041015625</v>
      </c>
      <c r="R93" s="59" t="n">
        <f aca="true">IF($A93="",0,INDEX(tblPosn,$A93,5))</f>
        <v>39303.0625</v>
      </c>
      <c r="S93" s="59" t="n">
        <f aca="true">IF($A93="",0,INDEX(tblPosn,$A93,6))</f>
        <v>0</v>
      </c>
      <c r="T93" s="98" t="n">
        <f aca="false">O93*F93+P93*K93+R93*AC93+S93*AH93/0.72+Q93*X93</f>
        <v>0</v>
      </c>
      <c r="V93" s="161" t="n">
        <f aca="false">D93</f>
        <v>38718</v>
      </c>
      <c r="W93" s="94" t="n">
        <f aca="false">VLOOKUP($D93,tblPriorPrice,4)</f>
        <v>33</v>
      </c>
      <c r="X93" s="95" t="n">
        <f aca="false">Y93-W93</f>
        <v>0</v>
      </c>
      <c r="Y93" s="191" t="n">
        <f aca="true">Y81+OFFSET($CG$50,$B93,$C93)</f>
        <v>33</v>
      </c>
      <c r="Z93" s="96" t="n">
        <f aca="true">Y93+OFFSET($CU$51,$B93,$C93)</f>
        <v>28</v>
      </c>
      <c r="AA93" s="177" t="n">
        <f aca="true">Y93+OFFSET($DI$51,$B93,$C93)</f>
        <v>54</v>
      </c>
      <c r="AB93" s="94" t="n">
        <f aca="false">VLOOKUP($D93,tblPriorPrice,5)</f>
        <v>33</v>
      </c>
      <c r="AC93" s="190" t="n">
        <f aca="false">AD93-AB93</f>
        <v>0</v>
      </c>
      <c r="AD93" s="191" t="n">
        <f aca="true">AD81+OFFSET($CG$73,$B93,$C93)</f>
        <v>33</v>
      </c>
      <c r="AE93" s="96" t="n">
        <f aca="true">AD93+OFFSET($CU$74,$B93,$C93)</f>
        <v>28</v>
      </c>
      <c r="AF93" s="177" t="n">
        <f aca="true">AD93+OFFSET($DI$74,$B93,$C93)</f>
        <v>54</v>
      </c>
      <c r="AG93" s="94" t="n">
        <f aca="false">VLOOKUP($D93,tblPriorPrice,6)</f>
        <v>1</v>
      </c>
      <c r="AH93" s="190" t="n">
        <f aca="false">AI93-AG93</f>
        <v>0</v>
      </c>
      <c r="AI93" s="191" t="n">
        <f aca="true">AI81+OFFSET($CG$96,$B93,$C93)</f>
        <v>1</v>
      </c>
      <c r="AJ93" s="96" t="n">
        <f aca="true">AI93+OFFSET($CU$96,$B93,$C93)</f>
        <v>1</v>
      </c>
      <c r="AK93" s="97" t="n">
        <f aca="true">AI93+OFFSET($DI$96,$B93,$C93)</f>
        <v>1</v>
      </c>
      <c r="AL93" s="178" t="n">
        <v>21</v>
      </c>
      <c r="AM93" s="165" t="n">
        <v>0.4</v>
      </c>
      <c r="AN93" s="167" t="n">
        <f aca="false">'[3]Pricing Summary'!$AM71</f>
        <v>0.2475</v>
      </c>
      <c r="AO93" s="167" t="n">
        <f aca="false">0.9*AN93</f>
        <v>0.22275</v>
      </c>
      <c r="AP93" s="166" t="n">
        <f aca="false">1.5*AN93</f>
        <v>0.37125</v>
      </c>
      <c r="AQ93" s="167" t="n">
        <f aca="false">AN93</f>
        <v>0.2475</v>
      </c>
      <c r="AR93" s="166" t="n">
        <f aca="false">0.8*AQ93</f>
        <v>0.198</v>
      </c>
      <c r="AS93" s="166" t="n">
        <f aca="false">1.2*AQ93</f>
        <v>0.297</v>
      </c>
      <c r="AT93" s="169" t="n">
        <f aca="false">IF(G93&lt;110,17.94063*(LN(G93/100))+6.727568*(LN(G93/100)^2)+15.06494,(-4.1*G93+2135)/100)*0.5</f>
        <v>1.8789575925079</v>
      </c>
      <c r="AU93" s="169" t="n">
        <f aca="false">(0.75*AT93-AT93)</f>
        <v>-0.469739398126976</v>
      </c>
      <c r="AV93" s="166" t="n">
        <f aca="false">AT93/0.5*1.25-AT93</f>
        <v>2.81843638876186</v>
      </c>
      <c r="AW93" s="168" t="n">
        <f aca="false">IF(L93&lt;15,(15*L93+375)/100,(-4.71*L93+670.65)/100)*0.5</f>
        <v>2.5761</v>
      </c>
      <c r="AX93" s="166" t="n">
        <f aca="false">0.75*AW93-AW93</f>
        <v>-0.644025</v>
      </c>
      <c r="AY93" s="166" t="n">
        <f aca="false">AW93/0.5*1.25-AW93</f>
        <v>3.86415</v>
      </c>
      <c r="AZ93" s="167" t="n">
        <v>0.5</v>
      </c>
      <c r="BA93" s="74"/>
      <c r="BC93" s="222" t="n">
        <v>-3.5</v>
      </c>
      <c r="BD93" s="223" t="n">
        <v>0.0125</v>
      </c>
      <c r="BF93" s="224" t="n">
        <v>4</v>
      </c>
      <c r="BQ93" s="108" t="n">
        <v>36907.7428240741</v>
      </c>
      <c r="BR93" s="109" t="n">
        <v>36907.743287037</v>
      </c>
      <c r="BS93" s="110" t="n">
        <v>38657</v>
      </c>
      <c r="BT93" s="111" t="n">
        <v>137940.203125</v>
      </c>
      <c r="BU93" s="112" t="n">
        <v>98528.71875</v>
      </c>
      <c r="BV93" s="112" t="n">
        <v>26274.32421875</v>
      </c>
      <c r="BW93" s="112" t="n">
        <v>32842.90625</v>
      </c>
      <c r="BX93" s="113" t="n">
        <v>0</v>
      </c>
      <c r="BZ93" s="110" t="n">
        <v>38718</v>
      </c>
      <c r="CA93" s="185" t="n">
        <v>36</v>
      </c>
      <c r="CB93" s="116" t="n">
        <v>33</v>
      </c>
      <c r="CC93" s="181" t="n">
        <v>33</v>
      </c>
      <c r="CD93" s="181" t="n">
        <v>33</v>
      </c>
      <c r="CE93" s="117" t="n">
        <v>1</v>
      </c>
      <c r="CG93" s="152" t="n">
        <f aca="false">BB29</f>
        <v>2020</v>
      </c>
      <c r="CH93" s="153" t="n">
        <v>0</v>
      </c>
      <c r="CI93" s="153" t="n">
        <v>0</v>
      </c>
      <c r="CJ93" s="137" t="n">
        <v>0</v>
      </c>
      <c r="CK93" s="137" t="n">
        <v>0</v>
      </c>
      <c r="CL93" s="137" t="n">
        <v>0</v>
      </c>
      <c r="CM93" s="137" t="n">
        <v>0</v>
      </c>
      <c r="CN93" s="137" t="n">
        <v>0</v>
      </c>
      <c r="CO93" s="137" t="n">
        <v>0</v>
      </c>
      <c r="CP93" s="137" t="n">
        <v>0</v>
      </c>
      <c r="CQ93" s="137" t="n">
        <v>0</v>
      </c>
      <c r="CR93" s="137" t="n">
        <v>0</v>
      </c>
      <c r="CS93" s="138" t="n">
        <v>0</v>
      </c>
      <c r="CU93" s="152" t="n">
        <f aca="false">BB29</f>
        <v>2020</v>
      </c>
      <c r="CV93" s="136" t="n">
        <v>-5</v>
      </c>
      <c r="CW93" s="137" t="n">
        <v>-5</v>
      </c>
      <c r="CX93" s="137" t="n">
        <v>-5</v>
      </c>
      <c r="CY93" s="137" t="n">
        <v>-5</v>
      </c>
      <c r="CZ93" s="137" t="n">
        <v>-5</v>
      </c>
      <c r="DA93" s="137" t="n">
        <v>-5</v>
      </c>
      <c r="DB93" s="137" t="n">
        <v>-5</v>
      </c>
      <c r="DC93" s="137" t="n">
        <v>-5</v>
      </c>
      <c r="DD93" s="137" t="n">
        <v>-5</v>
      </c>
      <c r="DE93" s="137" t="n">
        <v>-5</v>
      </c>
      <c r="DF93" s="137" t="n">
        <v>-5</v>
      </c>
      <c r="DG93" s="138" t="n">
        <v>-5</v>
      </c>
      <c r="DI93" s="225" t="n">
        <f aca="false">BB29</f>
        <v>2020</v>
      </c>
      <c r="DJ93" s="137" t="n">
        <f aca="false">DJ70</f>
        <v>34</v>
      </c>
      <c r="DK93" s="137" t="n">
        <f aca="false">DK70</f>
        <v>34</v>
      </c>
      <c r="DL93" s="137" t="n">
        <f aca="false">DL70</f>
        <v>34</v>
      </c>
      <c r="DM93" s="137" t="n">
        <f aca="false">DM70</f>
        <v>34</v>
      </c>
      <c r="DN93" s="137" t="n">
        <f aca="false">DN70</f>
        <v>34</v>
      </c>
      <c r="DO93" s="137" t="n">
        <f aca="false">DO70</f>
        <v>34</v>
      </c>
      <c r="DP93" s="137" t="n">
        <f aca="false">DP70</f>
        <v>34</v>
      </c>
      <c r="DQ93" s="137" t="n">
        <f aca="false">DQ70</f>
        <v>34</v>
      </c>
      <c r="DR93" s="137" t="n">
        <f aca="false">DR70</f>
        <v>34</v>
      </c>
      <c r="DS93" s="137" t="n">
        <f aca="false">DS70</f>
        <v>34</v>
      </c>
      <c r="DT93" s="137" t="n">
        <f aca="false">DT70</f>
        <v>34</v>
      </c>
      <c r="DU93" s="137" t="n">
        <f aca="false">DU70</f>
        <v>34</v>
      </c>
    </row>
    <row r="94" customFormat="false" ht="12.75" hidden="false" customHeight="false" outlineLevel="0" collapsed="false">
      <c r="A94" s="0" t="n">
        <f aca="true">IF(ISERROR(MATCH(D94,iRefDt,0)),"",MATCH(D94,iRefDt,0))</f>
        <v>94</v>
      </c>
      <c r="B94" s="92" t="n">
        <f aca="false">MATCH(YEAR(D94),iSpreads)</f>
        <v>6</v>
      </c>
      <c r="C94" s="0" t="n">
        <f aca="false">MONTH(D94)</f>
        <v>2</v>
      </c>
      <c r="D94" s="93" t="n">
        <f aca="false">DATE(YEAR(D93),MONTH(D93)+1,1)</f>
        <v>38749</v>
      </c>
      <c r="E94" s="94" t="n">
        <f aca="false">VLOOKUP($D94,tblPriorPrice,2)</f>
        <v>32</v>
      </c>
      <c r="F94" s="190" t="n">
        <f aca="false">G94-E94</f>
        <v>0</v>
      </c>
      <c r="G94" s="190" t="n">
        <f aca="true">G82+OFFSET($CG$4,$B94,$C94)</f>
        <v>32</v>
      </c>
      <c r="H94" s="96" t="n">
        <f aca="true">G94+OFFSET($CU$4,$B94,$C94)</f>
        <v>27</v>
      </c>
      <c r="I94" s="96" t="n">
        <f aca="true">G94+OFFSET($DI$4,$B94,$C94)</f>
        <v>52</v>
      </c>
      <c r="J94" s="94" t="n">
        <f aca="false">VLOOKUP($D94,tblPriorPrice,3)</f>
        <v>32</v>
      </c>
      <c r="K94" s="190" t="n">
        <f aca="false">L94-J94</f>
        <v>0</v>
      </c>
      <c r="L94" s="190" t="n">
        <f aca="true">L82+OFFSET($CG$27,$B94,$C94)</f>
        <v>32</v>
      </c>
      <c r="M94" s="96" t="n">
        <f aca="true">$L94+OFFSET($CU$27,$B94,$C94)</f>
        <v>27</v>
      </c>
      <c r="N94" s="97" t="n">
        <f aca="true">$L94+OFFSET($DI$27,$B94,$C94)</f>
        <v>42</v>
      </c>
      <c r="O94" s="59" t="n">
        <f aca="true">IF($A94="",0,INDEX(tblPosn,$A94,2))</f>
        <v>130412.4921875</v>
      </c>
      <c r="P94" s="59" t="n">
        <f aca="true">IF($A94="",0,INDEX(tblPosn,$A94,3))</f>
        <v>91288.7421875</v>
      </c>
      <c r="Q94" s="59" t="n">
        <f aca="true">IF($A94="",0,INDEX(tblPosn,$A94,4))</f>
        <v>26082.498046875</v>
      </c>
      <c r="R94" s="59" t="n">
        <f aca="true">IF($A94="",0,INDEX(tblPosn,$A94,5))</f>
        <v>26082.498046875</v>
      </c>
      <c r="S94" s="59" t="n">
        <f aca="true">IF($A94="",0,INDEX(tblPosn,$A94,6))</f>
        <v>0</v>
      </c>
      <c r="T94" s="98" t="n">
        <f aca="false">O94*F94+P94*K94+R94*AC94+S94*AH94/0.72+Q94*X94</f>
        <v>0</v>
      </c>
      <c r="V94" s="161" t="n">
        <f aca="false">D94</f>
        <v>38749</v>
      </c>
      <c r="W94" s="94" t="n">
        <f aca="false">VLOOKUP($D94,tblPriorPrice,4)</f>
        <v>33</v>
      </c>
      <c r="X94" s="95" t="n">
        <f aca="false">Y94-W94</f>
        <v>0</v>
      </c>
      <c r="Y94" s="191" t="n">
        <f aca="true">Y82+OFFSET($CG$50,$B94,$C94)</f>
        <v>33</v>
      </c>
      <c r="Z94" s="96" t="n">
        <f aca="true">Y94+OFFSET($CU$51,$B94,$C94)</f>
        <v>28</v>
      </c>
      <c r="AA94" s="177" t="n">
        <f aca="true">Y94+OFFSET($DI$51,$B94,$C94)</f>
        <v>54</v>
      </c>
      <c r="AB94" s="94" t="n">
        <f aca="false">VLOOKUP($D94,tblPriorPrice,5)</f>
        <v>32</v>
      </c>
      <c r="AC94" s="190" t="n">
        <f aca="false">AD94-AB94</f>
        <v>0</v>
      </c>
      <c r="AD94" s="191" t="n">
        <f aca="true">AD82+OFFSET($CG$73,$B94,$C94)</f>
        <v>32</v>
      </c>
      <c r="AE94" s="96" t="n">
        <f aca="true">AD94+OFFSET($CU$74,$B94,$C94)</f>
        <v>27</v>
      </c>
      <c r="AF94" s="177" t="n">
        <f aca="true">AD94+OFFSET($DI$74,$B94,$C94)</f>
        <v>53</v>
      </c>
      <c r="AG94" s="94" t="n">
        <f aca="false">VLOOKUP($D94,tblPriorPrice,6)</f>
        <v>1</v>
      </c>
      <c r="AH94" s="190" t="n">
        <f aca="false">AI94-AG94</f>
        <v>0</v>
      </c>
      <c r="AI94" s="191" t="n">
        <f aca="true">AI82+OFFSET($CG$96,$B94,$C94)</f>
        <v>1</v>
      </c>
      <c r="AJ94" s="96" t="n">
        <f aca="true">AI94+OFFSET($CU$96,$B94,$C94)</f>
        <v>1</v>
      </c>
      <c r="AK94" s="97" t="n">
        <f aca="true">AI94+OFFSET($DI$96,$B94,$C94)</f>
        <v>1</v>
      </c>
      <c r="AL94" s="178" t="n">
        <v>21</v>
      </c>
      <c r="AM94" s="165" t="n">
        <v>0.4</v>
      </c>
      <c r="AN94" s="167" t="n">
        <f aca="false">'[3]Pricing Summary'!$AM72</f>
        <v>0.245</v>
      </c>
      <c r="AO94" s="167" t="n">
        <f aca="false">0.9*AN94</f>
        <v>0.2205</v>
      </c>
      <c r="AP94" s="166" t="n">
        <f aca="false">1.5*AN94</f>
        <v>0.3675</v>
      </c>
      <c r="AQ94" s="167" t="n">
        <f aca="false">AN94</f>
        <v>0.245</v>
      </c>
      <c r="AR94" s="166" t="n">
        <f aca="false">0.8*AQ94</f>
        <v>0.196</v>
      </c>
      <c r="AS94" s="166" t="n">
        <f aca="false">1.2*AQ94</f>
        <v>0.294</v>
      </c>
      <c r="AT94" s="169" t="n">
        <f aca="false">IF(G94&lt;110,17.94063*(LN(G94/100))+6.727568*(LN(G94/100)^2)+15.06494,(-4.1*G94+2135)/100)*0.5</f>
        <v>1.67862159684781</v>
      </c>
      <c r="AU94" s="169" t="n">
        <f aca="false">(0.75*AT94-AT94)</f>
        <v>-0.419655399211954</v>
      </c>
      <c r="AV94" s="166" t="n">
        <f aca="false">AT94/0.5*1.25-AT94</f>
        <v>2.51793239527172</v>
      </c>
      <c r="AW94" s="168" t="n">
        <f aca="false">IF(L94&lt;15,(15*L94+375)/100,(-4.71*L94+670.65)/100)*0.5</f>
        <v>2.59965</v>
      </c>
      <c r="AX94" s="166" t="n">
        <f aca="false">0.75*AW94-AW94</f>
        <v>-0.6499125</v>
      </c>
      <c r="AY94" s="166" t="n">
        <f aca="false">AW94/0.5*1.25-AW94</f>
        <v>3.899475</v>
      </c>
      <c r="AZ94" s="167" t="n">
        <v>0.5</v>
      </c>
      <c r="BA94" s="74"/>
      <c r="BC94" s="222" t="n">
        <v>-3</v>
      </c>
      <c r="BD94" s="223" t="n">
        <v>0.01</v>
      </c>
      <c r="BF94" s="224" t="n">
        <v>10</v>
      </c>
      <c r="BQ94" s="108" t="n">
        <v>36907.7428240741</v>
      </c>
      <c r="BR94" s="109" t="n">
        <v>36907.743287037</v>
      </c>
      <c r="BS94" s="110" t="n">
        <v>38687</v>
      </c>
      <c r="BT94" s="111" t="n">
        <v>137243.015625</v>
      </c>
      <c r="BU94" s="112" t="n">
        <v>101298.421875</v>
      </c>
      <c r="BV94" s="112" t="n">
        <v>32676.908203125</v>
      </c>
      <c r="BW94" s="112" t="n">
        <v>32676.908203125</v>
      </c>
      <c r="BX94" s="113" t="n">
        <v>0</v>
      </c>
      <c r="BZ94" s="110" t="n">
        <v>38749</v>
      </c>
      <c r="CA94" s="185" t="n">
        <v>32</v>
      </c>
      <c r="CB94" s="116" t="n">
        <v>32</v>
      </c>
      <c r="CC94" s="181" t="n">
        <v>33</v>
      </c>
      <c r="CD94" s="181" t="n">
        <v>32</v>
      </c>
      <c r="CE94" s="117" t="n">
        <v>1</v>
      </c>
    </row>
    <row r="95" customFormat="false" ht="12.75" hidden="false" customHeight="false" outlineLevel="0" collapsed="false">
      <c r="A95" s="0" t="n">
        <f aca="true">IF(ISERROR(MATCH(D95,iRefDt,0)),"",MATCH(D95,iRefDt,0))</f>
        <v>95</v>
      </c>
      <c r="B95" s="92" t="n">
        <f aca="false">MATCH(YEAR(D95),iSpreads)</f>
        <v>6</v>
      </c>
      <c r="C95" s="0" t="n">
        <f aca="false">MONTH(D95)</f>
        <v>3</v>
      </c>
      <c r="D95" s="93" t="n">
        <f aca="false">DATE(YEAR(D94),MONTH(D94)+1,1)</f>
        <v>38777</v>
      </c>
      <c r="E95" s="94" t="n">
        <f aca="false">VLOOKUP($D95,tblPriorPrice,2)</f>
        <v>31</v>
      </c>
      <c r="F95" s="190" t="n">
        <f aca="false">G95-E95</f>
        <v>0</v>
      </c>
      <c r="G95" s="190" t="n">
        <f aca="true">G83+OFFSET($CG$4,$B95,$C95)</f>
        <v>31</v>
      </c>
      <c r="H95" s="96" t="n">
        <f aca="true">G95+OFFSET($CU$4,$B95,$C95)</f>
        <v>26</v>
      </c>
      <c r="I95" s="96" t="n">
        <f aca="true">G95+OFFSET($DI$4,$B95,$C95)</f>
        <v>51</v>
      </c>
      <c r="J95" s="94" t="n">
        <f aca="false">VLOOKUP($D95,tblPriorPrice,3)</f>
        <v>31</v>
      </c>
      <c r="K95" s="190" t="n">
        <f aca="false">L95-J95</f>
        <v>0</v>
      </c>
      <c r="L95" s="190" t="n">
        <f aca="true">L83+OFFSET($CG$27,$B95,$C95)</f>
        <v>31</v>
      </c>
      <c r="M95" s="96" t="n">
        <f aca="true">$L95+OFFSET($CU$27,$B95,$C95)</f>
        <v>26</v>
      </c>
      <c r="N95" s="97" t="n">
        <f aca="true">$L95+OFFSET($DI$27,$B95,$C95)</f>
        <v>41</v>
      </c>
      <c r="O95" s="59" t="n">
        <f aca="true">IF($A95="",0,INDEX(tblPosn,$A95,2))</f>
        <v>149215.171875</v>
      </c>
      <c r="P95" s="59" t="n">
        <f aca="true">IF($A95="",0,INDEX(tblPosn,$A95,3))</f>
        <v>100558.046875</v>
      </c>
      <c r="Q95" s="59" t="n">
        <f aca="true">IF($A95="",0,INDEX(tblPosn,$A95,4))</f>
        <v>25950.46484375</v>
      </c>
      <c r="R95" s="59" t="n">
        <f aca="true">IF($A95="",0,INDEX(tblPosn,$A95,5))</f>
        <v>25950.46484375</v>
      </c>
      <c r="S95" s="59" t="n">
        <f aca="true">IF($A95="",0,INDEX(tblPosn,$A95,6))</f>
        <v>0</v>
      </c>
      <c r="T95" s="98" t="n">
        <f aca="false">O95*F95+P95*K95+R95*AC95+S95*AH95/0.72+Q95*X95</f>
        <v>0</v>
      </c>
      <c r="V95" s="161" t="n">
        <f aca="false">D95</f>
        <v>38777</v>
      </c>
      <c r="W95" s="94" t="n">
        <f aca="false">VLOOKUP($D95,tblPriorPrice,4)</f>
        <v>31</v>
      </c>
      <c r="X95" s="95" t="n">
        <f aca="false">Y95-W95</f>
        <v>0</v>
      </c>
      <c r="Y95" s="191" t="n">
        <f aca="true">Y83+OFFSET($CG$50,$B95,$C95)</f>
        <v>31</v>
      </c>
      <c r="Z95" s="96" t="n">
        <f aca="true">Y95+OFFSET($CU$51,$B95,$C95)</f>
        <v>26</v>
      </c>
      <c r="AA95" s="177" t="n">
        <f aca="true">Y95+OFFSET($DI$51,$B95,$C95)</f>
        <v>52</v>
      </c>
      <c r="AB95" s="94" t="n">
        <f aca="false">VLOOKUP($D95,tblPriorPrice,5)</f>
        <v>31</v>
      </c>
      <c r="AC95" s="190" t="n">
        <f aca="false">AD95-AB95</f>
        <v>0</v>
      </c>
      <c r="AD95" s="191" t="n">
        <f aca="true">AD83+OFFSET($CG$73,$B95,$C95)</f>
        <v>31</v>
      </c>
      <c r="AE95" s="96" t="n">
        <f aca="true">AD95+OFFSET($CU$74,$B95,$C95)</f>
        <v>26</v>
      </c>
      <c r="AF95" s="177" t="n">
        <f aca="true">AD95+OFFSET($DI$74,$B95,$C95)</f>
        <v>52</v>
      </c>
      <c r="AG95" s="94" t="n">
        <f aca="false">VLOOKUP($D95,tblPriorPrice,6)</f>
        <v>1</v>
      </c>
      <c r="AH95" s="190" t="n">
        <f aca="false">AI95-AG95</f>
        <v>0</v>
      </c>
      <c r="AI95" s="191" t="n">
        <f aca="true">AI83+OFFSET($CG$96,$B95,$C95)</f>
        <v>1</v>
      </c>
      <c r="AJ95" s="96" t="n">
        <f aca="true">AI95+OFFSET($CU$96,$B95,$C95)</f>
        <v>1</v>
      </c>
      <c r="AK95" s="97" t="n">
        <f aca="true">AI95+OFFSET($DI$96,$B95,$C95)</f>
        <v>1</v>
      </c>
      <c r="AL95" s="178" t="n">
        <v>22</v>
      </c>
      <c r="AM95" s="165" t="n">
        <v>0.4</v>
      </c>
      <c r="AN95" s="167" t="n">
        <f aca="false">'[3]Pricing Summary'!$AM73</f>
        <v>0.2375</v>
      </c>
      <c r="AO95" s="167" t="n">
        <f aca="false">0.9*AN95</f>
        <v>0.21375</v>
      </c>
      <c r="AP95" s="166" t="n">
        <f aca="false">1.5*AN95</f>
        <v>0.35625</v>
      </c>
      <c r="AQ95" s="167" t="n">
        <f aca="false">AN95</f>
        <v>0.2375</v>
      </c>
      <c r="AR95" s="166" t="n">
        <f aca="false">0.8*AQ95</f>
        <v>0.19</v>
      </c>
      <c r="AS95" s="166" t="n">
        <f aca="false">1.2*AQ95</f>
        <v>0.285</v>
      </c>
      <c r="AT95" s="169" t="n">
        <f aca="false">IF(G95&lt;110,17.94063*(LN(G95/100))+6.727568*(LN(G95/100)^2)+15.06494,(-4.1*G95+2135)/100)*0.5</f>
        <v>1.64058990686036</v>
      </c>
      <c r="AU95" s="169" t="n">
        <f aca="false">(0.75*AT95-AT95)</f>
        <v>-0.410147476715089</v>
      </c>
      <c r="AV95" s="166" t="n">
        <f aca="false">AT95/0.5*1.25-AT95</f>
        <v>2.46088486029054</v>
      </c>
      <c r="AW95" s="168" t="n">
        <f aca="false">IF(L95&lt;15,(15*L95+375)/100,(-4.71*L95+670.65)/100)*0.5</f>
        <v>2.6232</v>
      </c>
      <c r="AX95" s="166" t="n">
        <f aca="false">0.75*AW95-AW95</f>
        <v>-0.6558</v>
      </c>
      <c r="AY95" s="166" t="n">
        <f aca="false">AW95/0.5*1.25-AW95</f>
        <v>3.9348</v>
      </c>
      <c r="AZ95" s="167" t="n">
        <v>0.5</v>
      </c>
      <c r="BA95" s="74"/>
      <c r="BC95" s="222" t="n">
        <v>-2.5</v>
      </c>
      <c r="BD95" s="223" t="n">
        <v>0.005</v>
      </c>
      <c r="BF95" s="224"/>
      <c r="BQ95" s="108" t="n">
        <v>36907.7428240741</v>
      </c>
      <c r="BR95" s="109" t="n">
        <v>36907.743287037</v>
      </c>
      <c r="BS95" s="110" t="n">
        <v>38718</v>
      </c>
      <c r="BT95" s="111" t="n">
        <v>137560.71875</v>
      </c>
      <c r="BU95" s="112" t="n">
        <v>101532.9140625</v>
      </c>
      <c r="BV95" s="112" t="n">
        <v>26202.041015625</v>
      </c>
      <c r="BW95" s="112" t="n">
        <v>39303.0625</v>
      </c>
      <c r="BX95" s="113" t="n">
        <v>0</v>
      </c>
      <c r="BZ95" s="110" t="n">
        <v>38777</v>
      </c>
      <c r="CA95" s="185" t="n">
        <v>31</v>
      </c>
      <c r="CB95" s="116" t="n">
        <v>31</v>
      </c>
      <c r="CC95" s="181" t="n">
        <v>31</v>
      </c>
      <c r="CD95" s="181" t="n">
        <v>31</v>
      </c>
      <c r="CE95" s="117" t="n">
        <v>1</v>
      </c>
      <c r="CG95" s="105" t="s">
        <v>85</v>
      </c>
      <c r="CH95" s="118"/>
      <c r="CI95" s="118"/>
      <c r="CJ95" s="119"/>
      <c r="CU95" s="105" t="s">
        <v>85</v>
      </c>
      <c r="CV95" s="118"/>
      <c r="CW95" s="118"/>
      <c r="CX95" s="119"/>
      <c r="DI95" s="105" t="s">
        <v>85</v>
      </c>
      <c r="DJ95" s="118"/>
      <c r="DK95" s="118"/>
      <c r="DL95" s="119"/>
    </row>
    <row r="96" customFormat="false" ht="12.75" hidden="false" customHeight="false" outlineLevel="0" collapsed="false">
      <c r="A96" s="0" t="n">
        <f aca="true">IF(ISERROR(MATCH(D96,iRefDt,0)),"",MATCH(D96,iRefDt,0))</f>
        <v>96</v>
      </c>
      <c r="B96" s="92" t="n">
        <f aca="false">MATCH(YEAR(D96),iSpreads)</f>
        <v>6</v>
      </c>
      <c r="C96" s="0" t="n">
        <f aca="false">MONTH(D96)</f>
        <v>4</v>
      </c>
      <c r="D96" s="93" t="n">
        <f aca="false">DATE(YEAR(D95),MONTH(D95)+1,1)</f>
        <v>38808</v>
      </c>
      <c r="E96" s="94" t="n">
        <f aca="false">VLOOKUP($D96,tblPriorPrice,2)</f>
        <v>30</v>
      </c>
      <c r="F96" s="190" t="n">
        <f aca="false">G96-E96</f>
        <v>0</v>
      </c>
      <c r="G96" s="190" t="n">
        <f aca="true">G84+OFFSET($CG$4,$B96,$C96)</f>
        <v>30</v>
      </c>
      <c r="H96" s="96" t="n">
        <f aca="true">G96+OFFSET($CU$4,$B96,$C96)</f>
        <v>25</v>
      </c>
      <c r="I96" s="96" t="n">
        <f aca="true">G96+OFFSET($DI$4,$B96,$C96)</f>
        <v>50</v>
      </c>
      <c r="J96" s="94" t="n">
        <f aca="false">VLOOKUP($D96,tblPriorPrice,3)</f>
        <v>30</v>
      </c>
      <c r="K96" s="190" t="n">
        <f aca="false">L96-J96</f>
        <v>0</v>
      </c>
      <c r="L96" s="190" t="n">
        <f aca="true">L84+OFFSET($CG$27,$B96,$C96)</f>
        <v>30</v>
      </c>
      <c r="M96" s="96" t="n">
        <f aca="true">$L96+OFFSET($CU$27,$B96,$C96)</f>
        <v>25</v>
      </c>
      <c r="N96" s="97" t="n">
        <f aca="true">$L96+OFFSET($DI$27,$B96,$C96)</f>
        <v>40</v>
      </c>
      <c r="O96" s="59" t="n">
        <f aca="true">IF($A96="",0,INDEX(tblPosn,$A96,2))</f>
        <v>129109.71875</v>
      </c>
      <c r="P96" s="59" t="n">
        <f aca="true">IF($A96="",0,INDEX(tblPosn,$A96,3))</f>
        <v>96428.8203125</v>
      </c>
      <c r="Q96" s="59" t="n">
        <f aca="true">IF($A96="",0,INDEX(tblPosn,$A96,4))</f>
        <v>32277.4296875</v>
      </c>
      <c r="R96" s="59" t="n">
        <f aca="true">IF($A96="",0,INDEX(tblPosn,$A96,5))</f>
        <v>32277.4296875</v>
      </c>
      <c r="S96" s="59" t="n">
        <f aca="true">IF($A96="",0,INDEX(tblPosn,$A96,6))</f>
        <v>0</v>
      </c>
      <c r="T96" s="98" t="n">
        <f aca="false">O96*F96+P96*K96+R96*AC96+S96*AH96/0.72+Q96*X96</f>
        <v>0</v>
      </c>
      <c r="V96" s="161" t="n">
        <f aca="false">D96</f>
        <v>38808</v>
      </c>
      <c r="W96" s="94" t="n">
        <f aca="false">VLOOKUP($D96,tblPriorPrice,4)</f>
        <v>30</v>
      </c>
      <c r="X96" s="95" t="n">
        <f aca="false">Y96-W96</f>
        <v>0</v>
      </c>
      <c r="Y96" s="191" t="n">
        <f aca="true">Y84+OFFSET($CG$50,$B96,$C96)</f>
        <v>30</v>
      </c>
      <c r="Z96" s="96" t="n">
        <f aca="true">Y96+OFFSET($CU$51,$B96,$C96)</f>
        <v>25</v>
      </c>
      <c r="AA96" s="177" t="n">
        <f aca="true">Y96+OFFSET($DI$51,$B96,$C96)</f>
        <v>51</v>
      </c>
      <c r="AB96" s="94" t="n">
        <f aca="false">VLOOKUP($D96,tblPriorPrice,5)</f>
        <v>30</v>
      </c>
      <c r="AC96" s="190" t="n">
        <f aca="false">AD96-AB96</f>
        <v>0</v>
      </c>
      <c r="AD96" s="191" t="n">
        <f aca="true">AD84+OFFSET($CG$73,$B96,$C96)</f>
        <v>30</v>
      </c>
      <c r="AE96" s="96" t="n">
        <f aca="true">AD96+OFFSET($CU$74,$B96,$C96)</f>
        <v>25</v>
      </c>
      <c r="AF96" s="177" t="n">
        <f aca="true">AD96+OFFSET($DI$74,$B96,$C96)</f>
        <v>51</v>
      </c>
      <c r="AG96" s="94" t="n">
        <f aca="false">VLOOKUP($D96,tblPriorPrice,6)</f>
        <v>1</v>
      </c>
      <c r="AH96" s="190" t="n">
        <f aca="false">AI96-AG96</f>
        <v>0</v>
      </c>
      <c r="AI96" s="191" t="n">
        <f aca="true">AI84+OFFSET($CG$96,$B96,$C96)</f>
        <v>1</v>
      </c>
      <c r="AJ96" s="96" t="n">
        <f aca="true">AI96+OFFSET($CU$96,$B96,$C96)</f>
        <v>1</v>
      </c>
      <c r="AK96" s="97" t="n">
        <f aca="true">AI96+OFFSET($DI$96,$B96,$C96)</f>
        <v>1</v>
      </c>
      <c r="AL96" s="178" t="n">
        <v>22</v>
      </c>
      <c r="AM96" s="165" t="n">
        <v>0.4</v>
      </c>
      <c r="AN96" s="167" t="n">
        <f aca="false">'[3]Pricing Summary'!$AM74</f>
        <v>0.2375</v>
      </c>
      <c r="AO96" s="167" t="n">
        <f aca="false">0.9*AN96</f>
        <v>0.21375</v>
      </c>
      <c r="AP96" s="166" t="n">
        <f aca="false">1.5*AN96</f>
        <v>0.35625</v>
      </c>
      <c r="AQ96" s="167" t="n">
        <f aca="false">AN96</f>
        <v>0.2375</v>
      </c>
      <c r="AR96" s="166" t="n">
        <f aca="false">0.8*AQ96</f>
        <v>0.19</v>
      </c>
      <c r="AS96" s="166" t="n">
        <f aca="false">1.2*AQ96</f>
        <v>0.285</v>
      </c>
      <c r="AT96" s="169" t="n">
        <f aca="false">IF(G96&lt;110,17.94063*(LN(G96/100))+6.727568*(LN(G96/100)^2)+15.06494,(-4.1*G96+2135)/100)*0.5</f>
        <v>1.60842951845599</v>
      </c>
      <c r="AU96" s="169" t="n">
        <f aca="false">(0.75*AT96-AT96)</f>
        <v>-0.402107379613998</v>
      </c>
      <c r="AV96" s="166" t="n">
        <f aca="false">AT96/0.5*1.25-AT96</f>
        <v>2.41264427768399</v>
      </c>
      <c r="AW96" s="168" t="n">
        <f aca="false">IF(L96&lt;15,(15*L96+375)/100,(-4.71*L96+670.65)/100)*0.5</f>
        <v>2.64675</v>
      </c>
      <c r="AX96" s="166" t="n">
        <f aca="false">0.75*AW96-AW96</f>
        <v>-0.6616875</v>
      </c>
      <c r="AY96" s="166" t="n">
        <f aca="false">AW96/0.5*1.25-AW96</f>
        <v>3.970125</v>
      </c>
      <c r="AZ96" s="167" t="n">
        <v>0.5</v>
      </c>
      <c r="BA96" s="74"/>
      <c r="BC96" s="222" t="n">
        <v>-2</v>
      </c>
      <c r="BD96" s="223" t="n">
        <v>0.0025</v>
      </c>
      <c r="BF96" s="224"/>
      <c r="BQ96" s="108" t="n">
        <v>36907.7428240741</v>
      </c>
      <c r="BR96" s="109" t="n">
        <v>36907.743287037</v>
      </c>
      <c r="BS96" s="110" t="n">
        <v>38749</v>
      </c>
      <c r="BT96" s="111" t="n">
        <v>130412.4921875</v>
      </c>
      <c r="BU96" s="112" t="n">
        <v>91288.7421875</v>
      </c>
      <c r="BV96" s="112" t="n">
        <v>26082.498046875</v>
      </c>
      <c r="BW96" s="112" t="n">
        <v>26082.498046875</v>
      </c>
      <c r="BX96" s="113" t="n">
        <v>0</v>
      </c>
      <c r="BZ96" s="110" t="n">
        <v>38808</v>
      </c>
      <c r="CA96" s="185" t="n">
        <v>30</v>
      </c>
      <c r="CB96" s="116" t="n">
        <v>30</v>
      </c>
      <c r="CC96" s="181" t="n">
        <v>30</v>
      </c>
      <c r="CD96" s="181" t="n">
        <v>30</v>
      </c>
      <c r="CE96" s="117" t="n">
        <v>1</v>
      </c>
      <c r="CG96" s="125" t="s">
        <v>99</v>
      </c>
      <c r="CH96" s="126" t="s">
        <v>100</v>
      </c>
      <c r="CI96" s="126" t="s">
        <v>101</v>
      </c>
      <c r="CJ96" s="126" t="s">
        <v>102</v>
      </c>
      <c r="CK96" s="126" t="s">
        <v>103</v>
      </c>
      <c r="CL96" s="126" t="s">
        <v>104</v>
      </c>
      <c r="CM96" s="126" t="s">
        <v>105</v>
      </c>
      <c r="CN96" s="126" t="s">
        <v>106</v>
      </c>
      <c r="CO96" s="126" t="s">
        <v>107</v>
      </c>
      <c r="CP96" s="126" t="s">
        <v>108</v>
      </c>
      <c r="CQ96" s="126" t="s">
        <v>109</v>
      </c>
      <c r="CR96" s="126" t="s">
        <v>110</v>
      </c>
      <c r="CS96" s="126" t="s">
        <v>111</v>
      </c>
      <c r="CU96" s="125" t="s">
        <v>99</v>
      </c>
      <c r="CV96" s="126" t="s">
        <v>100</v>
      </c>
      <c r="CW96" s="126" t="s">
        <v>101</v>
      </c>
      <c r="CX96" s="126" t="s">
        <v>102</v>
      </c>
      <c r="CY96" s="126" t="s">
        <v>103</v>
      </c>
      <c r="CZ96" s="126" t="s">
        <v>104</v>
      </c>
      <c r="DA96" s="126" t="s">
        <v>105</v>
      </c>
      <c r="DB96" s="126" t="s">
        <v>106</v>
      </c>
      <c r="DC96" s="126" t="s">
        <v>107</v>
      </c>
      <c r="DD96" s="126" t="s">
        <v>108</v>
      </c>
      <c r="DE96" s="126" t="s">
        <v>109</v>
      </c>
      <c r="DF96" s="126" t="s">
        <v>110</v>
      </c>
      <c r="DG96" s="126" t="s">
        <v>111</v>
      </c>
      <c r="DI96" s="125" t="s">
        <v>99</v>
      </c>
      <c r="DJ96" s="126" t="s">
        <v>100</v>
      </c>
      <c r="DK96" s="126" t="s">
        <v>101</v>
      </c>
      <c r="DL96" s="126" t="s">
        <v>102</v>
      </c>
      <c r="DM96" s="126" t="s">
        <v>103</v>
      </c>
      <c r="DN96" s="126" t="s">
        <v>104</v>
      </c>
      <c r="DO96" s="126" t="s">
        <v>105</v>
      </c>
      <c r="DP96" s="126" t="s">
        <v>106</v>
      </c>
      <c r="DQ96" s="126" t="s">
        <v>107</v>
      </c>
      <c r="DR96" s="126" t="s">
        <v>108</v>
      </c>
      <c r="DS96" s="126" t="s">
        <v>109</v>
      </c>
      <c r="DT96" s="126" t="s">
        <v>110</v>
      </c>
      <c r="DU96" s="126" t="s">
        <v>111</v>
      </c>
    </row>
    <row r="97" customFormat="false" ht="12.75" hidden="false" customHeight="false" outlineLevel="0" collapsed="false">
      <c r="A97" s="0" t="n">
        <f aca="true">IF(ISERROR(MATCH(D97,iRefDt,0)),"",MATCH(D97,iRefDt,0))</f>
        <v>97</v>
      </c>
      <c r="B97" s="92" t="n">
        <f aca="false">MATCH(YEAR(D97),iSpreads)</f>
        <v>6</v>
      </c>
      <c r="C97" s="0" t="n">
        <f aca="false">MONTH(D97)</f>
        <v>5</v>
      </c>
      <c r="D97" s="93" t="n">
        <f aca="false">DATE(YEAR(D96),MONTH(D96)+1,1)</f>
        <v>38838</v>
      </c>
      <c r="E97" s="94" t="n">
        <f aca="false">VLOOKUP($D97,tblPriorPrice,2)</f>
        <v>33</v>
      </c>
      <c r="F97" s="190" t="n">
        <f aca="false">G97-E97</f>
        <v>0</v>
      </c>
      <c r="G97" s="190" t="n">
        <f aca="true">G85+OFFSET($CG$4,$B97,$C97)</f>
        <v>33</v>
      </c>
      <c r="H97" s="96" t="n">
        <f aca="true">G97+OFFSET($CU$4,$B97,$C97)</f>
        <v>28</v>
      </c>
      <c r="I97" s="96" t="n">
        <f aca="true">G97+OFFSET($DI$4,$B97,$C97)</f>
        <v>53</v>
      </c>
      <c r="J97" s="94" t="n">
        <f aca="false">VLOOKUP($D97,tblPriorPrice,3)</f>
        <v>33</v>
      </c>
      <c r="K97" s="190" t="n">
        <f aca="false">L97-J97</f>
        <v>0</v>
      </c>
      <c r="L97" s="190" t="n">
        <f aca="true">L85+OFFSET($CG$27,$B97,$C97)</f>
        <v>33</v>
      </c>
      <c r="M97" s="96" t="n">
        <f aca="true">$L97+OFFSET($CU$27,$B97,$C97)</f>
        <v>28</v>
      </c>
      <c r="N97" s="97" t="n">
        <f aca="true">$L97+OFFSET($DI$27,$B97,$C97)</f>
        <v>43</v>
      </c>
      <c r="O97" s="59" t="n">
        <f aca="true">IF($A97="",0,INDEX(tblPosn,$A97,2))</f>
        <v>141304</v>
      </c>
      <c r="P97" s="59" t="n">
        <f aca="true">IF($A97="",0,INDEX(tblPosn,$A97,3))</f>
        <v>99555.09375</v>
      </c>
      <c r="Q97" s="59" t="n">
        <f aca="true">IF($A97="",0,INDEX(tblPosn,$A97,4))</f>
        <v>25691.63671875</v>
      </c>
      <c r="R97" s="59" t="n">
        <f aca="true">IF($A97="",0,INDEX(tblPosn,$A97,5))</f>
        <v>32114.546875</v>
      </c>
      <c r="S97" s="59" t="n">
        <f aca="true">IF($A97="",0,INDEX(tblPosn,$A97,6))</f>
        <v>0</v>
      </c>
      <c r="T97" s="98" t="n">
        <f aca="false">O97*F97+P97*K97+R97*AC97+S97*AH97/0.72+Q97*X97</f>
        <v>0</v>
      </c>
      <c r="V97" s="161" t="n">
        <f aca="false">D97</f>
        <v>38838</v>
      </c>
      <c r="W97" s="94" t="n">
        <f aca="false">VLOOKUP($D97,tblPriorPrice,4)</f>
        <v>33</v>
      </c>
      <c r="X97" s="95" t="n">
        <f aca="false">Y97-W97</f>
        <v>0</v>
      </c>
      <c r="Y97" s="191" t="n">
        <f aca="true">Y85+OFFSET($CG$50,$B97,$C97)</f>
        <v>33</v>
      </c>
      <c r="Z97" s="96" t="n">
        <f aca="true">Y97+OFFSET($CU$51,$B97,$C97)</f>
        <v>28</v>
      </c>
      <c r="AA97" s="177" t="n">
        <f aca="true">Y97+OFFSET($DI$51,$B97,$C97)</f>
        <v>54</v>
      </c>
      <c r="AB97" s="94" t="n">
        <f aca="false">VLOOKUP($D97,tblPriorPrice,5)</f>
        <v>33</v>
      </c>
      <c r="AC97" s="190" t="n">
        <f aca="false">AD97-AB97</f>
        <v>0</v>
      </c>
      <c r="AD97" s="191" t="n">
        <f aca="true">AD85+OFFSET($CG$73,$B97,$C97)</f>
        <v>33</v>
      </c>
      <c r="AE97" s="96" t="n">
        <f aca="true">AD97+OFFSET($CU$74,$B97,$C97)</f>
        <v>28</v>
      </c>
      <c r="AF97" s="177" t="n">
        <f aca="true">AD97+OFFSET($DI$74,$B97,$C97)</f>
        <v>54</v>
      </c>
      <c r="AG97" s="94" t="n">
        <f aca="false">VLOOKUP($D97,tblPriorPrice,6)</f>
        <v>1</v>
      </c>
      <c r="AH97" s="190" t="n">
        <f aca="false">AI97-AG97</f>
        <v>0</v>
      </c>
      <c r="AI97" s="191" t="n">
        <f aca="true">AI85+OFFSET($CG$96,$B97,$C97)</f>
        <v>1</v>
      </c>
      <c r="AJ97" s="96" t="n">
        <f aca="true">AI97+OFFSET($CU$96,$B97,$C97)</f>
        <v>1</v>
      </c>
      <c r="AK97" s="97" t="n">
        <f aca="true">AI97+OFFSET($DI$96,$B97,$C97)</f>
        <v>1</v>
      </c>
      <c r="AL97" s="178" t="n">
        <v>22</v>
      </c>
      <c r="AM97" s="165" t="n">
        <v>0.4</v>
      </c>
      <c r="AN97" s="167" t="n">
        <f aca="false">'[3]Pricing Summary'!$AM75</f>
        <v>0.235</v>
      </c>
      <c r="AO97" s="167" t="n">
        <f aca="false">0.9*AN97</f>
        <v>0.2115</v>
      </c>
      <c r="AP97" s="166" t="n">
        <f aca="false">1.5*AN97</f>
        <v>0.3525</v>
      </c>
      <c r="AQ97" s="167" t="n">
        <f aca="false">AN97</f>
        <v>0.235</v>
      </c>
      <c r="AR97" s="166" t="n">
        <f aca="false">0.8*AQ97</f>
        <v>0.188</v>
      </c>
      <c r="AS97" s="166" t="n">
        <f aca="false">1.2*AQ97</f>
        <v>0.282</v>
      </c>
      <c r="AT97" s="169" t="n">
        <f aca="false">IF(G97&lt;110,17.94063*(LN(G97/100))+6.727568*(LN(G97/100)^2)+15.06494,(-4.1*G97+2135)/100)*0.5</f>
        <v>1.72195432632388</v>
      </c>
      <c r="AU97" s="169" t="n">
        <f aca="false">(0.75*AT97-AT97)</f>
        <v>-0.43048858158097</v>
      </c>
      <c r="AV97" s="166" t="n">
        <f aca="false">AT97/0.5*1.25-AT97</f>
        <v>2.58293148948582</v>
      </c>
      <c r="AW97" s="168" t="n">
        <f aca="false">IF(L97&lt;15,(15*L97+375)/100,(-4.71*L97+670.65)/100)*0.5</f>
        <v>2.5761</v>
      </c>
      <c r="AX97" s="166" t="n">
        <f aca="false">0.75*AW97-AW97</f>
        <v>-0.644025</v>
      </c>
      <c r="AY97" s="166" t="n">
        <f aca="false">AW97/0.5*1.25-AW97</f>
        <v>3.86415</v>
      </c>
      <c r="AZ97" s="167" t="n">
        <v>0.5</v>
      </c>
      <c r="BA97" s="74"/>
      <c r="BC97" s="222" t="n">
        <v>-1.5</v>
      </c>
      <c r="BD97" s="223" t="n">
        <v>0</v>
      </c>
      <c r="BF97" s="224"/>
      <c r="BQ97" s="108" t="n">
        <v>36907.7428240741</v>
      </c>
      <c r="BR97" s="109" t="n">
        <v>36907.743287037</v>
      </c>
      <c r="BS97" s="110" t="n">
        <v>38777</v>
      </c>
      <c r="BT97" s="111" t="n">
        <v>149215.171875</v>
      </c>
      <c r="BU97" s="112" t="n">
        <v>100558.046875</v>
      </c>
      <c r="BV97" s="112" t="n">
        <v>25950.46484375</v>
      </c>
      <c r="BW97" s="112" t="n">
        <v>25950.46484375</v>
      </c>
      <c r="BX97" s="113" t="n">
        <v>0</v>
      </c>
      <c r="BZ97" s="110" t="n">
        <v>38838</v>
      </c>
      <c r="CA97" s="185" t="n">
        <v>33</v>
      </c>
      <c r="CB97" s="116" t="n">
        <v>33</v>
      </c>
      <c r="CC97" s="181" t="n">
        <v>33</v>
      </c>
      <c r="CD97" s="181" t="n">
        <v>33</v>
      </c>
      <c r="CE97" s="117" t="n">
        <v>1</v>
      </c>
      <c r="CG97" s="128" t="n">
        <f aca="false">BB10</f>
        <v>2001</v>
      </c>
      <c r="CH97" s="129" t="n">
        <v>0</v>
      </c>
      <c r="CI97" s="130" t="n">
        <v>0</v>
      </c>
      <c r="CJ97" s="130" t="n">
        <v>0</v>
      </c>
      <c r="CK97" s="130" t="n">
        <v>0</v>
      </c>
      <c r="CL97" s="130" t="n">
        <v>0</v>
      </c>
      <c r="CM97" s="130" t="n">
        <v>0</v>
      </c>
      <c r="CN97" s="130" t="n">
        <v>0</v>
      </c>
      <c r="CO97" s="130" t="n">
        <v>0</v>
      </c>
      <c r="CP97" s="130" t="n">
        <v>0</v>
      </c>
      <c r="CQ97" s="130" t="n">
        <v>0</v>
      </c>
      <c r="CR97" s="130" t="n">
        <v>0</v>
      </c>
      <c r="CS97" s="131" t="n">
        <v>0</v>
      </c>
      <c r="CU97" s="128" t="n">
        <f aca="false">BB10</f>
        <v>2001</v>
      </c>
      <c r="CV97" s="129" t="n">
        <v>0</v>
      </c>
      <c r="CW97" s="130" t="n">
        <v>0</v>
      </c>
      <c r="CX97" s="130" t="n">
        <v>0</v>
      </c>
      <c r="CY97" s="130" t="n">
        <v>0</v>
      </c>
      <c r="CZ97" s="130" t="n">
        <v>0</v>
      </c>
      <c r="DA97" s="130" t="n">
        <v>0</v>
      </c>
      <c r="DB97" s="130" t="n">
        <v>0</v>
      </c>
      <c r="DC97" s="130" t="n">
        <v>0</v>
      </c>
      <c r="DD97" s="130" t="n">
        <v>0</v>
      </c>
      <c r="DE97" s="130" t="n">
        <v>0</v>
      </c>
      <c r="DF97" s="130" t="n">
        <v>0</v>
      </c>
      <c r="DG97" s="131" t="n">
        <v>0</v>
      </c>
      <c r="DI97" s="128" t="n">
        <f aca="false">BB10</f>
        <v>2001</v>
      </c>
      <c r="DJ97" s="129" t="n">
        <v>0</v>
      </c>
      <c r="DK97" s="130" t="n">
        <v>0</v>
      </c>
      <c r="DL97" s="130" t="n">
        <v>0</v>
      </c>
      <c r="DM97" s="130" t="n">
        <v>0</v>
      </c>
      <c r="DN97" s="130" t="n">
        <v>0</v>
      </c>
      <c r="DO97" s="130" t="n">
        <v>0</v>
      </c>
      <c r="DP97" s="130" t="n">
        <v>0</v>
      </c>
      <c r="DQ97" s="130" t="n">
        <v>0</v>
      </c>
      <c r="DR97" s="130" t="n">
        <v>0</v>
      </c>
      <c r="DS97" s="130" t="n">
        <v>0</v>
      </c>
      <c r="DT97" s="130" t="n">
        <v>0</v>
      </c>
      <c r="DU97" s="131" t="n">
        <v>0</v>
      </c>
    </row>
    <row r="98" customFormat="false" ht="12.75" hidden="false" customHeight="false" outlineLevel="0" collapsed="false">
      <c r="A98" s="0" t="n">
        <f aca="true">IF(ISERROR(MATCH(D98,iRefDt,0)),"",MATCH(D98,iRefDt,0))</f>
        <v>98</v>
      </c>
      <c r="B98" s="92" t="n">
        <f aca="false">MATCH(YEAR(D98),iSpreads)</f>
        <v>6</v>
      </c>
      <c r="C98" s="0" t="n">
        <f aca="false">MONTH(D98)</f>
        <v>6</v>
      </c>
      <c r="D98" s="93" t="n">
        <f aca="false">DATE(YEAR(D97),MONTH(D97)+1,1)</f>
        <v>38869</v>
      </c>
      <c r="E98" s="94" t="n">
        <f aca="false">VLOOKUP($D98,tblPriorPrice,2)</f>
        <v>39</v>
      </c>
      <c r="F98" s="190" t="n">
        <f aca="false">G98-E98</f>
        <v>0</v>
      </c>
      <c r="G98" s="190" t="n">
        <f aca="true">G86+OFFSET($CG$4,$B98,$C98)</f>
        <v>39</v>
      </c>
      <c r="H98" s="96" t="n">
        <f aca="true">G98+OFFSET($CU$4,$B98,$C98)</f>
        <v>34</v>
      </c>
      <c r="I98" s="96" t="n">
        <f aca="true">G98+OFFSET($DI$4,$B98,$C98)</f>
        <v>59</v>
      </c>
      <c r="J98" s="94" t="n">
        <f aca="false">VLOOKUP($D98,tblPriorPrice,3)</f>
        <v>39</v>
      </c>
      <c r="K98" s="190" t="n">
        <f aca="false">L98-J98</f>
        <v>0</v>
      </c>
      <c r="L98" s="190" t="n">
        <f aca="true">L86+OFFSET($CG$27,$B98,$C98)</f>
        <v>39</v>
      </c>
      <c r="M98" s="96" t="n">
        <f aca="true">$L98+OFFSET($CU$27,$B98,$C98)</f>
        <v>34</v>
      </c>
      <c r="N98" s="97" t="n">
        <f aca="true">$L98+OFFSET($DI$27,$B98,$C98)</f>
        <v>49</v>
      </c>
      <c r="O98" s="59" t="n">
        <f aca="true">IF($A98="",0,INDEX(tblPosn,$A98,2))</f>
        <v>140615.296875</v>
      </c>
      <c r="P98" s="59" t="n">
        <f aca="true">IF($A98="",0,INDEX(tblPosn,$A98,3))</f>
        <v>95874.0625</v>
      </c>
      <c r="Q98" s="59" t="n">
        <f aca="true">IF($A98="",0,INDEX(tblPosn,$A98,4))</f>
        <v>25566.41796875</v>
      </c>
      <c r="R98" s="59" t="n">
        <f aca="true">IF($A98="",0,INDEX(tblPosn,$A98,5))</f>
        <v>25566.41796875</v>
      </c>
      <c r="S98" s="59" t="n">
        <f aca="true">IF($A98="",0,INDEX(tblPosn,$A98,6))</f>
        <v>0</v>
      </c>
      <c r="T98" s="98" t="n">
        <f aca="false">O98*F98+P98*K98+R98*AC98+S98*AH98/0.72+Q98*X98</f>
        <v>0</v>
      </c>
      <c r="V98" s="161" t="n">
        <f aca="false">D98</f>
        <v>38869</v>
      </c>
      <c r="W98" s="94" t="n">
        <f aca="false">VLOOKUP($D98,tblPriorPrice,4)</f>
        <v>39</v>
      </c>
      <c r="X98" s="95" t="n">
        <f aca="false">Y98-W98</f>
        <v>0</v>
      </c>
      <c r="Y98" s="191" t="n">
        <f aca="true">Y86+OFFSET($CG$50,$B98,$C98)</f>
        <v>39</v>
      </c>
      <c r="Z98" s="96" t="n">
        <f aca="true">Y98+OFFSET($CU$51,$B98,$C98)</f>
        <v>34</v>
      </c>
      <c r="AA98" s="177" t="n">
        <f aca="true">Y98+OFFSET($DI$51,$B98,$C98)</f>
        <v>60</v>
      </c>
      <c r="AB98" s="94" t="n">
        <f aca="false">VLOOKUP($D98,tblPriorPrice,5)</f>
        <v>39</v>
      </c>
      <c r="AC98" s="190" t="n">
        <f aca="false">AD98-AB98</f>
        <v>0</v>
      </c>
      <c r="AD98" s="191" t="n">
        <f aca="true">AD86+OFFSET($CG$73,$B98,$C98)</f>
        <v>39</v>
      </c>
      <c r="AE98" s="96" t="n">
        <f aca="true">AD98+OFFSET($CU$74,$B98,$C98)</f>
        <v>34</v>
      </c>
      <c r="AF98" s="177" t="n">
        <f aca="true">AD98+OFFSET($DI$74,$B98,$C98)</f>
        <v>60</v>
      </c>
      <c r="AG98" s="94" t="n">
        <f aca="false">VLOOKUP($D98,tblPriorPrice,6)</f>
        <v>1</v>
      </c>
      <c r="AH98" s="190" t="n">
        <f aca="false">AI98-AG98</f>
        <v>0</v>
      </c>
      <c r="AI98" s="191" t="n">
        <f aca="true">AI86+OFFSET($CG$96,$B98,$C98)</f>
        <v>1</v>
      </c>
      <c r="AJ98" s="96" t="n">
        <f aca="true">AI98+OFFSET($CU$96,$B98,$C98)</f>
        <v>1</v>
      </c>
      <c r="AK98" s="97" t="n">
        <f aca="true">AI98+OFFSET($DI$96,$B98,$C98)</f>
        <v>1</v>
      </c>
      <c r="AL98" s="178" t="n">
        <v>23</v>
      </c>
      <c r="AM98" s="165" t="n">
        <v>0.4</v>
      </c>
      <c r="AN98" s="167" t="n">
        <f aca="false">'[3]Pricing Summary'!$AM76</f>
        <v>0.235</v>
      </c>
      <c r="AO98" s="167" t="n">
        <f aca="false">0.9*AN98</f>
        <v>0.2115</v>
      </c>
      <c r="AP98" s="166" t="n">
        <f aca="false">1.5*AN98</f>
        <v>0.3525</v>
      </c>
      <c r="AQ98" s="167" t="n">
        <f aca="false">AN98</f>
        <v>0.235</v>
      </c>
      <c r="AR98" s="166" t="n">
        <f aca="false">0.8*AQ98</f>
        <v>0.188</v>
      </c>
      <c r="AS98" s="166" t="n">
        <f aca="false">1.2*AQ98</f>
        <v>0.282</v>
      </c>
      <c r="AT98" s="169" t="n">
        <f aca="false">IF(G98&lt;110,17.94063*(LN(G98/100))+6.727568*(LN(G98/100)^2)+15.06494,(-4.1*G98+2135)/100)*0.5</f>
        <v>2.06836530423771</v>
      </c>
      <c r="AU98" s="169" t="n">
        <f aca="false">(0.75*AT98-AT98)</f>
        <v>-0.517091326059428</v>
      </c>
      <c r="AV98" s="166" t="n">
        <f aca="false">AT98/0.5*1.25-AT98</f>
        <v>3.10254795635657</v>
      </c>
      <c r="AW98" s="168" t="n">
        <f aca="false">IF(L98&lt;15,(15*L98+375)/100,(-4.71*L98+670.65)/100)*0.5</f>
        <v>2.4348</v>
      </c>
      <c r="AX98" s="166" t="n">
        <f aca="false">0.75*AW98-AW98</f>
        <v>-0.6087</v>
      </c>
      <c r="AY98" s="166" t="n">
        <f aca="false">AW98/0.5*1.25-AW98</f>
        <v>3.6522</v>
      </c>
      <c r="AZ98" s="167" t="n">
        <v>0.5</v>
      </c>
      <c r="BA98" s="74"/>
      <c r="BC98" s="222" t="n">
        <v>-1</v>
      </c>
      <c r="BD98" s="223" t="n">
        <v>0</v>
      </c>
      <c r="BF98" s="224"/>
      <c r="BQ98" s="108" t="n">
        <v>36907.7428240741</v>
      </c>
      <c r="BR98" s="109" t="n">
        <v>36907.743287037</v>
      </c>
      <c r="BS98" s="110" t="n">
        <v>38808</v>
      </c>
      <c r="BT98" s="111" t="n">
        <v>129109.71875</v>
      </c>
      <c r="BU98" s="112" t="n">
        <v>96428.8203125</v>
      </c>
      <c r="BV98" s="112" t="n">
        <v>32277.4296875</v>
      </c>
      <c r="BW98" s="112" t="n">
        <v>32277.4296875</v>
      </c>
      <c r="BX98" s="113" t="n">
        <v>0</v>
      </c>
      <c r="BZ98" s="110" t="n">
        <v>38869</v>
      </c>
      <c r="CA98" s="185" t="n">
        <v>39</v>
      </c>
      <c r="CB98" s="116" t="n">
        <v>39</v>
      </c>
      <c r="CC98" s="181" t="n">
        <v>39</v>
      </c>
      <c r="CD98" s="181" t="n">
        <v>39</v>
      </c>
      <c r="CE98" s="117" t="n">
        <v>1</v>
      </c>
      <c r="CG98" s="135" t="n">
        <f aca="false">BB11</f>
        <v>2002</v>
      </c>
      <c r="CH98" s="136" t="n">
        <v>0</v>
      </c>
      <c r="CI98" s="137" t="n">
        <v>0</v>
      </c>
      <c r="CJ98" s="137" t="n">
        <v>0</v>
      </c>
      <c r="CK98" s="137" t="n">
        <v>0</v>
      </c>
      <c r="CL98" s="137" t="n">
        <v>0</v>
      </c>
      <c r="CM98" s="137" t="n">
        <v>0</v>
      </c>
      <c r="CN98" s="137" t="n">
        <v>0</v>
      </c>
      <c r="CO98" s="137" t="n">
        <v>0</v>
      </c>
      <c r="CP98" s="137" t="n">
        <v>0</v>
      </c>
      <c r="CQ98" s="137" t="n">
        <v>0</v>
      </c>
      <c r="CR98" s="137" t="n">
        <v>0</v>
      </c>
      <c r="CS98" s="138" t="n">
        <v>0</v>
      </c>
      <c r="CU98" s="135" t="n">
        <f aca="false">BB11</f>
        <v>2002</v>
      </c>
      <c r="CV98" s="136" t="n">
        <v>0</v>
      </c>
      <c r="CW98" s="137" t="n">
        <v>0</v>
      </c>
      <c r="CX98" s="137" t="n">
        <v>0</v>
      </c>
      <c r="CY98" s="137" t="n">
        <v>0</v>
      </c>
      <c r="CZ98" s="137" t="n">
        <v>0</v>
      </c>
      <c r="DA98" s="137" t="n">
        <v>0</v>
      </c>
      <c r="DB98" s="137" t="n">
        <v>0</v>
      </c>
      <c r="DC98" s="137" t="n">
        <v>0</v>
      </c>
      <c r="DD98" s="137" t="n">
        <v>0</v>
      </c>
      <c r="DE98" s="137" t="n">
        <v>0</v>
      </c>
      <c r="DF98" s="137" t="n">
        <v>0</v>
      </c>
      <c r="DG98" s="138" t="n">
        <v>0</v>
      </c>
      <c r="DI98" s="135" t="n">
        <f aca="false">BB11</f>
        <v>2002</v>
      </c>
      <c r="DJ98" s="136" t="n">
        <v>0</v>
      </c>
      <c r="DK98" s="137" t="n">
        <v>0</v>
      </c>
      <c r="DL98" s="137" t="n">
        <v>0</v>
      </c>
      <c r="DM98" s="137" t="n">
        <v>0</v>
      </c>
      <c r="DN98" s="137" t="n">
        <v>0</v>
      </c>
      <c r="DO98" s="137" t="n">
        <v>0</v>
      </c>
      <c r="DP98" s="137" t="n">
        <v>0</v>
      </c>
      <c r="DQ98" s="137" t="n">
        <v>0</v>
      </c>
      <c r="DR98" s="137" t="n">
        <v>0</v>
      </c>
      <c r="DS98" s="137" t="n">
        <v>0</v>
      </c>
      <c r="DT98" s="137" t="n">
        <v>0</v>
      </c>
      <c r="DU98" s="138" t="n">
        <v>0</v>
      </c>
    </row>
    <row r="99" customFormat="false" ht="12.75" hidden="false" customHeight="false" outlineLevel="0" collapsed="false">
      <c r="A99" s="0" t="n">
        <f aca="true">IF(ISERROR(MATCH(D99,iRefDt,0)),"",MATCH(D99,iRefDt,0))</f>
        <v>99</v>
      </c>
      <c r="B99" s="92" t="n">
        <f aca="false">MATCH(YEAR(D99),iSpreads)</f>
        <v>6</v>
      </c>
      <c r="C99" s="0" t="n">
        <f aca="false">MONTH(D99)</f>
        <v>7</v>
      </c>
      <c r="D99" s="93" t="n">
        <f aca="false">DATE(YEAR(D98),MONTH(D98)+1,1)</f>
        <v>38899</v>
      </c>
      <c r="E99" s="94" t="n">
        <f aca="false">VLOOKUP($D99,tblPriorPrice,2)</f>
        <v>39</v>
      </c>
      <c r="F99" s="190" t="n">
        <f aca="false">G99-E99</f>
        <v>0</v>
      </c>
      <c r="G99" s="190" t="n">
        <f aca="true">G87+OFFSET($CG$4,$B99,$C99)</f>
        <v>39</v>
      </c>
      <c r="H99" s="96" t="n">
        <f aca="true">G99+OFFSET($CU$4,$B99,$C99)</f>
        <v>34</v>
      </c>
      <c r="I99" s="96" t="n">
        <f aca="true">G99+OFFSET($DI$4,$B99,$C99)</f>
        <v>59</v>
      </c>
      <c r="J99" s="94" t="n">
        <f aca="false">VLOOKUP($D99,tblPriorPrice,3)</f>
        <v>39</v>
      </c>
      <c r="K99" s="190" t="n">
        <f aca="false">L99-J99</f>
        <v>0</v>
      </c>
      <c r="L99" s="190" t="n">
        <f aca="true">L87+OFFSET($CG$27,$B99,$C99)</f>
        <v>39</v>
      </c>
      <c r="M99" s="96" t="n">
        <f aca="true">$L99+OFFSET($CU$27,$B99,$C99)</f>
        <v>34</v>
      </c>
      <c r="N99" s="97" t="n">
        <f aca="true">$L99+OFFSET($DI$27,$B99,$C99)</f>
        <v>49</v>
      </c>
      <c r="O99" s="59" t="n">
        <f aca="true">IF($A99="",0,INDEX(tblPosn,$A99,2))</f>
        <v>127170.6171875</v>
      </c>
      <c r="P99" s="59" t="n">
        <f aca="true">IF($A99="",0,INDEX(tblPosn,$A99,3))</f>
        <v>98557.2265625</v>
      </c>
      <c r="Q99" s="59" t="n">
        <f aca="true">IF($A99="",0,INDEX(tblPosn,$A99,4))</f>
        <v>31792.654296875</v>
      </c>
      <c r="R99" s="59" t="n">
        <f aca="true">IF($A99="",0,INDEX(tblPosn,$A99,5))</f>
        <v>38151.18359375</v>
      </c>
      <c r="S99" s="59" t="n">
        <f aca="true">IF($A99="",0,INDEX(tblPosn,$A99,6))</f>
        <v>0</v>
      </c>
      <c r="T99" s="98" t="n">
        <f aca="false">O99*F99+P99*K99+R99*AC99+S99*AH99/0.72+Q99*X99</f>
        <v>0</v>
      </c>
      <c r="V99" s="161" t="n">
        <f aca="false">D99</f>
        <v>38899</v>
      </c>
      <c r="W99" s="94" t="n">
        <f aca="false">VLOOKUP($D99,tblPriorPrice,4)</f>
        <v>39</v>
      </c>
      <c r="X99" s="95" t="n">
        <f aca="false">Y99-W99</f>
        <v>0</v>
      </c>
      <c r="Y99" s="191" t="n">
        <f aca="true">Y87+OFFSET($CG$50,$B99,$C99)</f>
        <v>39</v>
      </c>
      <c r="Z99" s="96" t="n">
        <f aca="true">Y99+OFFSET($CU$51,$B99,$C99)</f>
        <v>34</v>
      </c>
      <c r="AA99" s="177" t="n">
        <f aca="true">Y99+OFFSET($DI$51,$B99,$C99)</f>
        <v>60</v>
      </c>
      <c r="AB99" s="94" t="n">
        <f aca="false">VLOOKUP($D99,tblPriorPrice,5)</f>
        <v>39</v>
      </c>
      <c r="AC99" s="190" t="n">
        <f aca="false">AD99-AB99</f>
        <v>0</v>
      </c>
      <c r="AD99" s="191" t="n">
        <f aca="true">AD87+OFFSET($CG$73,$B99,$C99)</f>
        <v>39</v>
      </c>
      <c r="AE99" s="96" t="n">
        <f aca="true">AD99+OFFSET($CU$74,$B99,$C99)</f>
        <v>34</v>
      </c>
      <c r="AF99" s="177" t="n">
        <f aca="true">AD99+OFFSET($DI$74,$B99,$C99)</f>
        <v>60</v>
      </c>
      <c r="AG99" s="94" t="n">
        <f aca="false">VLOOKUP($D99,tblPriorPrice,6)</f>
        <v>1</v>
      </c>
      <c r="AH99" s="190" t="n">
        <f aca="false">AI99-AG99</f>
        <v>0</v>
      </c>
      <c r="AI99" s="191" t="n">
        <f aca="true">AI87+OFFSET($CG$96,$B99,$C99)</f>
        <v>1</v>
      </c>
      <c r="AJ99" s="96" t="n">
        <f aca="true">AI99+OFFSET($CU$96,$B99,$C99)</f>
        <v>1</v>
      </c>
      <c r="AK99" s="97" t="n">
        <f aca="true">AI99+OFFSET($DI$96,$B99,$C99)</f>
        <v>1</v>
      </c>
      <c r="AL99" s="178" t="n">
        <v>23</v>
      </c>
      <c r="AM99" s="165" t="n">
        <v>0.4</v>
      </c>
      <c r="AN99" s="167" t="n">
        <f aca="false">'[3]Pricing Summary'!$AM77</f>
        <v>0.235</v>
      </c>
      <c r="AO99" s="167" t="n">
        <f aca="false">0.9*AN99</f>
        <v>0.2115</v>
      </c>
      <c r="AP99" s="166" t="n">
        <f aca="false">1.5*AN99</f>
        <v>0.3525</v>
      </c>
      <c r="AQ99" s="167" t="n">
        <f aca="false">AN99</f>
        <v>0.235</v>
      </c>
      <c r="AR99" s="166" t="n">
        <f aca="false">0.8*AQ99</f>
        <v>0.188</v>
      </c>
      <c r="AS99" s="166" t="n">
        <f aca="false">1.2*AQ99</f>
        <v>0.282</v>
      </c>
      <c r="AT99" s="169" t="n">
        <f aca="false">IF(G99&lt;110,17.94063*(LN(G99/100))+6.727568*(LN(G99/100)^2)+15.06494,(-4.1*G99+2135)/100)*0.5</f>
        <v>2.06836530423771</v>
      </c>
      <c r="AU99" s="169" t="n">
        <f aca="false">(0.75*AT99-AT99)</f>
        <v>-0.517091326059428</v>
      </c>
      <c r="AV99" s="166" t="n">
        <f aca="false">AT99/0.5*1.25-AT99</f>
        <v>3.10254795635657</v>
      </c>
      <c r="AW99" s="168" t="n">
        <f aca="false">IF(L99&lt;15,(15*L99+375)/100,(-4.71*L99+670.65)/100)*0.5</f>
        <v>2.4348</v>
      </c>
      <c r="AX99" s="166" t="n">
        <f aca="false">0.75*AW99-AW99</f>
        <v>-0.6087</v>
      </c>
      <c r="AY99" s="166" t="n">
        <f aca="false">AW99/0.5*1.25-AW99</f>
        <v>3.6522</v>
      </c>
      <c r="AZ99" s="167" t="n">
        <v>0.5</v>
      </c>
      <c r="BA99" s="74"/>
      <c r="BC99" s="222" t="n">
        <v>-0.5</v>
      </c>
      <c r="BD99" s="223" t="n">
        <v>0</v>
      </c>
      <c r="BF99" s="224"/>
      <c r="BQ99" s="108" t="n">
        <v>36907.7428240741</v>
      </c>
      <c r="BR99" s="109" t="n">
        <v>36907.743287037</v>
      </c>
      <c r="BS99" s="110" t="n">
        <v>38838</v>
      </c>
      <c r="BT99" s="111" t="n">
        <v>141304</v>
      </c>
      <c r="BU99" s="112" t="n">
        <v>99555.09375</v>
      </c>
      <c r="BV99" s="112" t="n">
        <v>25691.63671875</v>
      </c>
      <c r="BW99" s="112" t="n">
        <v>32114.546875</v>
      </c>
      <c r="BX99" s="113" t="n">
        <v>0</v>
      </c>
      <c r="BZ99" s="110" t="n">
        <v>38899</v>
      </c>
      <c r="CA99" s="185" t="n">
        <v>39</v>
      </c>
      <c r="CB99" s="116" t="n">
        <v>39</v>
      </c>
      <c r="CC99" s="181" t="n">
        <v>39</v>
      </c>
      <c r="CD99" s="181" t="n">
        <v>39</v>
      </c>
      <c r="CE99" s="117" t="n">
        <v>1</v>
      </c>
      <c r="CG99" s="135" t="n">
        <f aca="false">BB12</f>
        <v>2003</v>
      </c>
      <c r="CH99" s="136" t="n">
        <v>0</v>
      </c>
      <c r="CI99" s="137" t="n">
        <v>0</v>
      </c>
      <c r="CJ99" s="137" t="n">
        <v>0</v>
      </c>
      <c r="CK99" s="137" t="n">
        <v>0</v>
      </c>
      <c r="CL99" s="137" t="n">
        <v>0</v>
      </c>
      <c r="CM99" s="137" t="n">
        <v>0</v>
      </c>
      <c r="CN99" s="137" t="n">
        <v>0</v>
      </c>
      <c r="CO99" s="137" t="n">
        <v>0</v>
      </c>
      <c r="CP99" s="137" t="n">
        <v>0</v>
      </c>
      <c r="CQ99" s="137" t="n">
        <v>0</v>
      </c>
      <c r="CR99" s="137" t="n">
        <v>0</v>
      </c>
      <c r="CS99" s="138" t="n">
        <v>0</v>
      </c>
      <c r="CU99" s="135" t="n">
        <f aca="false">BB12</f>
        <v>2003</v>
      </c>
      <c r="CV99" s="136" t="n">
        <v>0</v>
      </c>
      <c r="CW99" s="137" t="n">
        <v>0</v>
      </c>
      <c r="CX99" s="137" t="n">
        <v>0</v>
      </c>
      <c r="CY99" s="137" t="n">
        <v>0</v>
      </c>
      <c r="CZ99" s="137" t="n">
        <v>0</v>
      </c>
      <c r="DA99" s="137" t="n">
        <v>0</v>
      </c>
      <c r="DB99" s="137" t="n">
        <v>0</v>
      </c>
      <c r="DC99" s="137" t="n">
        <v>0</v>
      </c>
      <c r="DD99" s="137" t="n">
        <v>0</v>
      </c>
      <c r="DE99" s="137" t="n">
        <v>0</v>
      </c>
      <c r="DF99" s="137" t="n">
        <v>0</v>
      </c>
      <c r="DG99" s="138" t="n">
        <v>0</v>
      </c>
      <c r="DI99" s="135" t="n">
        <f aca="false">BB12</f>
        <v>2003</v>
      </c>
      <c r="DJ99" s="136" t="n">
        <v>0</v>
      </c>
      <c r="DK99" s="137" t="n">
        <v>0</v>
      </c>
      <c r="DL99" s="137" t="n">
        <v>0</v>
      </c>
      <c r="DM99" s="137" t="n">
        <v>0</v>
      </c>
      <c r="DN99" s="137" t="n">
        <v>0</v>
      </c>
      <c r="DO99" s="137" t="n">
        <v>0</v>
      </c>
      <c r="DP99" s="137" t="n">
        <v>0</v>
      </c>
      <c r="DQ99" s="137" t="n">
        <v>0</v>
      </c>
      <c r="DR99" s="137" t="n">
        <v>0</v>
      </c>
      <c r="DS99" s="137" t="n">
        <v>0</v>
      </c>
      <c r="DT99" s="137" t="n">
        <v>0</v>
      </c>
      <c r="DU99" s="138" t="n">
        <v>0</v>
      </c>
    </row>
    <row r="100" customFormat="false" ht="12.75" hidden="false" customHeight="false" outlineLevel="0" collapsed="false">
      <c r="A100" s="0" t="n">
        <f aca="true">IF(ISERROR(MATCH(D100,iRefDt,0)),"",MATCH(D100,iRefDt,0))</f>
        <v>100</v>
      </c>
      <c r="B100" s="92" t="n">
        <f aca="false">MATCH(YEAR(D100),iSpreads)</f>
        <v>6</v>
      </c>
      <c r="C100" s="0" t="n">
        <f aca="false">MONTH(D100)</f>
        <v>8</v>
      </c>
      <c r="D100" s="93" t="n">
        <f aca="false">DATE(YEAR(D99),MONTH(D99)+1,1)</f>
        <v>38930</v>
      </c>
      <c r="E100" s="94" t="n">
        <f aca="false">VLOOKUP($D100,tblPriorPrice,2)</f>
        <v>43</v>
      </c>
      <c r="F100" s="190" t="n">
        <f aca="false">G100-E100</f>
        <v>0</v>
      </c>
      <c r="G100" s="190" t="n">
        <f aca="true">G88+OFFSET($CG$4,$B100,$C100)</f>
        <v>43</v>
      </c>
      <c r="H100" s="96" t="n">
        <f aca="true">G100+OFFSET($CU$4,$B100,$C100)</f>
        <v>38</v>
      </c>
      <c r="I100" s="96" t="n">
        <f aca="true">G100+OFFSET($DI$4,$B100,$C100)</f>
        <v>63</v>
      </c>
      <c r="J100" s="94" t="n">
        <f aca="false">VLOOKUP($D100,tblPriorPrice,3)</f>
        <v>40</v>
      </c>
      <c r="K100" s="190" t="n">
        <f aca="false">L100-J100</f>
        <v>0</v>
      </c>
      <c r="L100" s="190" t="n">
        <f aca="true">L88+OFFSET($CG$27,$B100,$C100)</f>
        <v>40</v>
      </c>
      <c r="M100" s="96" t="n">
        <f aca="true">$L100+OFFSET($CU$27,$B100,$C100)</f>
        <v>35</v>
      </c>
      <c r="N100" s="97" t="n">
        <f aca="true">$L100+OFFSET($DI$27,$B100,$C100)</f>
        <v>50</v>
      </c>
      <c r="O100" s="59" t="n">
        <f aca="true">IF($A100="",0,INDEX(tblPosn,$A100,2))</f>
        <v>145499.671875</v>
      </c>
      <c r="P100" s="59" t="n">
        <f aca="true">IF($A100="",0,INDEX(tblPosn,$A100,3))</f>
        <v>98054.125</v>
      </c>
      <c r="Q100" s="59" t="n">
        <f aca="true">IF($A100="",0,INDEX(tblPosn,$A100,4))</f>
        <v>25304.2890625</v>
      </c>
      <c r="R100" s="59" t="n">
        <f aca="true">IF($A100="",0,INDEX(tblPosn,$A100,5))</f>
        <v>25304.2890625</v>
      </c>
      <c r="S100" s="59" t="n">
        <f aca="true">IF($A100="",0,INDEX(tblPosn,$A100,6))</f>
        <v>0</v>
      </c>
      <c r="T100" s="98" t="n">
        <f aca="false">O100*F100+P100*K100+R100*AC100+S100*AH100/0.72+Q100*X100</f>
        <v>0</v>
      </c>
      <c r="V100" s="161" t="n">
        <f aca="false">D100</f>
        <v>38930</v>
      </c>
      <c r="W100" s="94" t="n">
        <f aca="false">VLOOKUP($D100,tblPriorPrice,4)</f>
        <v>40</v>
      </c>
      <c r="X100" s="95" t="n">
        <f aca="false">Y100-W100</f>
        <v>0</v>
      </c>
      <c r="Y100" s="191" t="n">
        <f aca="true">Y88+OFFSET($CG$50,$B100,$C100)</f>
        <v>40</v>
      </c>
      <c r="Z100" s="96" t="n">
        <f aca="true">Y100+OFFSET($CU$51,$B100,$C100)</f>
        <v>35</v>
      </c>
      <c r="AA100" s="177" t="n">
        <f aca="true">Y100+OFFSET($DI$51,$B100,$C100)</f>
        <v>61</v>
      </c>
      <c r="AB100" s="94" t="n">
        <f aca="false">VLOOKUP($D100,tblPriorPrice,5)</f>
        <v>40</v>
      </c>
      <c r="AC100" s="190" t="n">
        <f aca="false">AD100-AB100</f>
        <v>0</v>
      </c>
      <c r="AD100" s="191" t="n">
        <f aca="true">AD88+OFFSET($CG$73,$B100,$C100)</f>
        <v>40</v>
      </c>
      <c r="AE100" s="96" t="n">
        <f aca="true">AD100+OFFSET($CU$74,$B100,$C100)</f>
        <v>35</v>
      </c>
      <c r="AF100" s="177" t="n">
        <f aca="true">AD100+OFFSET($DI$74,$B100,$C100)</f>
        <v>61</v>
      </c>
      <c r="AG100" s="94" t="n">
        <f aca="false">VLOOKUP($D100,tblPriorPrice,6)</f>
        <v>1</v>
      </c>
      <c r="AH100" s="190" t="n">
        <f aca="false">AI100-AG100</f>
        <v>0</v>
      </c>
      <c r="AI100" s="191" t="n">
        <f aca="true">AI88+OFFSET($CG$96,$B100,$C100)</f>
        <v>1</v>
      </c>
      <c r="AJ100" s="96" t="n">
        <f aca="true">AI100+OFFSET($CU$96,$B100,$C100)</f>
        <v>1</v>
      </c>
      <c r="AK100" s="97" t="n">
        <f aca="true">AI100+OFFSET($DI$96,$B100,$C100)</f>
        <v>1</v>
      </c>
      <c r="AL100" s="178" t="n">
        <v>23</v>
      </c>
      <c r="AM100" s="165" t="n">
        <v>0.4</v>
      </c>
      <c r="AN100" s="167" t="n">
        <f aca="false">'[3]Pricing Summary'!$AM78</f>
        <v>0.235</v>
      </c>
      <c r="AO100" s="167" t="n">
        <f aca="false">0.9*AN100</f>
        <v>0.2115</v>
      </c>
      <c r="AP100" s="166" t="n">
        <f aca="false">1.5*AN100</f>
        <v>0.3525</v>
      </c>
      <c r="AQ100" s="167" t="n">
        <f aca="false">AN100</f>
        <v>0.235</v>
      </c>
      <c r="AR100" s="166" t="n">
        <f aca="false">0.8*AQ100</f>
        <v>0.188</v>
      </c>
      <c r="AS100" s="166" t="n">
        <f aca="false">1.2*AQ100</f>
        <v>0.282</v>
      </c>
      <c r="AT100" s="169" t="n">
        <f aca="false">IF(G100&lt;110,17.94063*(LN(G100/100))+6.727568*(LN(G100/100)^2)+15.06494,(-4.1*G100+2135)/100)*0.5</f>
        <v>2.35776711843848</v>
      </c>
      <c r="AU100" s="169" t="n">
        <f aca="false">(0.75*AT100-AT100)</f>
        <v>-0.58944177960962</v>
      </c>
      <c r="AV100" s="166" t="n">
        <f aca="false">AT100/0.5*1.25-AT100</f>
        <v>3.53665067765772</v>
      </c>
      <c r="AW100" s="168" t="n">
        <f aca="false">IF(L100&lt;15,(15*L100+375)/100,(-4.71*L100+670.65)/100)*0.5</f>
        <v>2.41125</v>
      </c>
      <c r="AX100" s="166" t="n">
        <f aca="false">0.75*AW100-AW100</f>
        <v>-0.6028125</v>
      </c>
      <c r="AY100" s="166" t="n">
        <f aca="false">AW100/0.5*1.25-AW100</f>
        <v>3.616875</v>
      </c>
      <c r="AZ100" s="167" t="n">
        <v>0.5</v>
      </c>
      <c r="BA100" s="74"/>
      <c r="BC100" s="222" t="n">
        <v>0</v>
      </c>
      <c r="BD100" s="223" t="n">
        <v>0</v>
      </c>
      <c r="BF100" s="224"/>
      <c r="BQ100" s="108" t="n">
        <v>36907.7428240741</v>
      </c>
      <c r="BR100" s="109" t="n">
        <v>36907.743287037</v>
      </c>
      <c r="BS100" s="110" t="n">
        <v>38869</v>
      </c>
      <c r="BT100" s="111" t="n">
        <v>140615.296875</v>
      </c>
      <c r="BU100" s="112" t="n">
        <v>95874.0625</v>
      </c>
      <c r="BV100" s="112" t="n">
        <v>25566.41796875</v>
      </c>
      <c r="BW100" s="112" t="n">
        <v>25566.41796875</v>
      </c>
      <c r="BX100" s="113" t="n">
        <v>0</v>
      </c>
      <c r="BZ100" s="110" t="n">
        <v>38930</v>
      </c>
      <c r="CA100" s="185" t="n">
        <v>43</v>
      </c>
      <c r="CB100" s="116" t="n">
        <v>40</v>
      </c>
      <c r="CC100" s="181" t="n">
        <v>40</v>
      </c>
      <c r="CD100" s="181" t="n">
        <v>40</v>
      </c>
      <c r="CE100" s="117" t="n">
        <v>1</v>
      </c>
      <c r="CG100" s="135" t="n">
        <f aca="false">BB13</f>
        <v>2004</v>
      </c>
      <c r="CH100" s="136" t="n">
        <v>0</v>
      </c>
      <c r="CI100" s="137" t="n">
        <v>0</v>
      </c>
      <c r="CJ100" s="137" t="n">
        <v>0</v>
      </c>
      <c r="CK100" s="137" t="n">
        <v>0</v>
      </c>
      <c r="CL100" s="137" t="n">
        <v>0</v>
      </c>
      <c r="CM100" s="137" t="n">
        <v>0</v>
      </c>
      <c r="CN100" s="137" t="n">
        <v>0</v>
      </c>
      <c r="CO100" s="137" t="n">
        <v>0</v>
      </c>
      <c r="CP100" s="137" t="n">
        <v>0</v>
      </c>
      <c r="CQ100" s="137" t="n">
        <v>0</v>
      </c>
      <c r="CR100" s="137" t="n">
        <v>0</v>
      </c>
      <c r="CS100" s="138" t="n">
        <v>0</v>
      </c>
      <c r="CU100" s="135" t="n">
        <f aca="false">BB13</f>
        <v>2004</v>
      </c>
      <c r="CV100" s="136" t="n">
        <v>0</v>
      </c>
      <c r="CW100" s="137" t="n">
        <v>0</v>
      </c>
      <c r="CX100" s="137" t="n">
        <v>0</v>
      </c>
      <c r="CY100" s="137" t="n">
        <v>0</v>
      </c>
      <c r="CZ100" s="137" t="n">
        <v>0</v>
      </c>
      <c r="DA100" s="137" t="n">
        <v>0</v>
      </c>
      <c r="DB100" s="137" t="n">
        <v>0</v>
      </c>
      <c r="DC100" s="137" t="n">
        <v>0</v>
      </c>
      <c r="DD100" s="137" t="n">
        <v>0</v>
      </c>
      <c r="DE100" s="137" t="n">
        <v>0</v>
      </c>
      <c r="DF100" s="137" t="n">
        <v>0</v>
      </c>
      <c r="DG100" s="138" t="n">
        <v>0</v>
      </c>
      <c r="DI100" s="135" t="n">
        <f aca="false">BB13</f>
        <v>2004</v>
      </c>
      <c r="DJ100" s="136" t="n">
        <v>0</v>
      </c>
      <c r="DK100" s="137" t="n">
        <v>0</v>
      </c>
      <c r="DL100" s="137" t="n">
        <v>0</v>
      </c>
      <c r="DM100" s="137" t="n">
        <v>0</v>
      </c>
      <c r="DN100" s="137" t="n">
        <v>0</v>
      </c>
      <c r="DO100" s="137" t="n">
        <v>0</v>
      </c>
      <c r="DP100" s="137" t="n">
        <v>0</v>
      </c>
      <c r="DQ100" s="137" t="n">
        <v>0</v>
      </c>
      <c r="DR100" s="137" t="n">
        <v>0</v>
      </c>
      <c r="DS100" s="137" t="n">
        <v>0</v>
      </c>
      <c r="DT100" s="137" t="n">
        <v>0</v>
      </c>
      <c r="DU100" s="138" t="n">
        <v>0</v>
      </c>
    </row>
    <row r="101" customFormat="false" ht="12.75" hidden="false" customHeight="false" outlineLevel="0" collapsed="false">
      <c r="A101" s="0" t="n">
        <f aca="true">IF(ISERROR(MATCH(D101,iRefDt,0)),"",MATCH(D101,iRefDt,0))</f>
        <v>101</v>
      </c>
      <c r="B101" s="92" t="n">
        <f aca="false">MATCH(YEAR(D101),iSpreads)</f>
        <v>6</v>
      </c>
      <c r="C101" s="0" t="n">
        <f aca="false">MONTH(D101)</f>
        <v>9</v>
      </c>
      <c r="D101" s="93" t="n">
        <f aca="false">DATE(YEAR(D100),MONTH(D100)+1,1)</f>
        <v>38961</v>
      </c>
      <c r="E101" s="94" t="n">
        <f aca="false">VLOOKUP($D101,tblPriorPrice,2)</f>
        <v>35</v>
      </c>
      <c r="F101" s="190" t="n">
        <f aca="false">G101-E101</f>
        <v>0</v>
      </c>
      <c r="G101" s="190" t="n">
        <f aca="true">G89+OFFSET($CG$4,$B101,$C101)</f>
        <v>35</v>
      </c>
      <c r="H101" s="96" t="n">
        <f aca="true">G101+OFFSET($CU$4,$B101,$C101)</f>
        <v>30</v>
      </c>
      <c r="I101" s="96" t="n">
        <f aca="true">G101+OFFSET($DI$4,$B101,$C101)</f>
        <v>55</v>
      </c>
      <c r="J101" s="94" t="n">
        <f aca="false">VLOOKUP($D101,tblPriorPrice,3)</f>
        <v>35</v>
      </c>
      <c r="K101" s="190" t="n">
        <f aca="false">L101-J101</f>
        <v>0</v>
      </c>
      <c r="L101" s="190" t="n">
        <f aca="true">L89+OFFSET($CG$27,$B101,$C101)</f>
        <v>35</v>
      </c>
      <c r="M101" s="96" t="n">
        <f aca="true">$L101+OFFSET($CU$27,$B101,$C101)</f>
        <v>30</v>
      </c>
      <c r="N101" s="97" t="n">
        <f aca="true">$L101+OFFSET($DI$27,$B101,$C101)</f>
        <v>45</v>
      </c>
      <c r="O101" s="59" t="n">
        <f aca="true">IF($A101="",0,INDEX(tblPosn,$A101,2))</f>
        <v>125887.0390625</v>
      </c>
      <c r="P101" s="59" t="n">
        <f aca="true">IF($A101="",0,INDEX(tblPosn,$A101,3))</f>
        <v>94415.28125</v>
      </c>
      <c r="Q101" s="59" t="n">
        <f aca="true">IF($A101="",0,INDEX(tblPosn,$A101,4))</f>
        <v>31471.759765625</v>
      </c>
      <c r="R101" s="59" t="n">
        <f aca="true">IF($A101="",0,INDEX(tblPosn,$A101,5))</f>
        <v>31471.759765625</v>
      </c>
      <c r="S101" s="59" t="n">
        <f aca="true">IF($A101="",0,INDEX(tblPosn,$A101,6))</f>
        <v>0</v>
      </c>
      <c r="T101" s="98" t="n">
        <f aca="false">O101*F101+P101*K101+R101*AC101+S101*AH101/0.72+Q101*X101</f>
        <v>0</v>
      </c>
      <c r="V101" s="161" t="n">
        <f aca="false">D101</f>
        <v>38961</v>
      </c>
      <c r="W101" s="94" t="n">
        <f aca="false">VLOOKUP($D101,tblPriorPrice,4)</f>
        <v>35</v>
      </c>
      <c r="X101" s="95" t="n">
        <f aca="false">Y101-W101</f>
        <v>0</v>
      </c>
      <c r="Y101" s="191" t="n">
        <f aca="true">Y89+OFFSET($CG$50,$B101,$C101)</f>
        <v>35</v>
      </c>
      <c r="Z101" s="96" t="n">
        <f aca="true">Y101+OFFSET($CU$51,$B101,$C101)</f>
        <v>30</v>
      </c>
      <c r="AA101" s="177" t="n">
        <f aca="true">Y101+OFFSET($DI$51,$B101,$C101)</f>
        <v>56</v>
      </c>
      <c r="AB101" s="94" t="n">
        <f aca="false">VLOOKUP($D101,tblPriorPrice,5)</f>
        <v>35</v>
      </c>
      <c r="AC101" s="190" t="n">
        <f aca="false">AD101-AB101</f>
        <v>0</v>
      </c>
      <c r="AD101" s="191" t="n">
        <f aca="true">AD89+OFFSET($CG$73,$B101,$C101)</f>
        <v>35</v>
      </c>
      <c r="AE101" s="96" t="n">
        <f aca="true">AD101+OFFSET($CU$74,$B101,$C101)</f>
        <v>30</v>
      </c>
      <c r="AF101" s="177" t="n">
        <f aca="true">AD101+OFFSET($DI$74,$B101,$C101)</f>
        <v>56</v>
      </c>
      <c r="AG101" s="94" t="n">
        <f aca="false">VLOOKUP($D101,tblPriorPrice,6)</f>
        <v>1</v>
      </c>
      <c r="AH101" s="190" t="n">
        <f aca="false">AI101-AG101</f>
        <v>0</v>
      </c>
      <c r="AI101" s="191" t="n">
        <f aca="true">AI89+OFFSET($CG$96,$B101,$C101)</f>
        <v>1</v>
      </c>
      <c r="AJ101" s="96" t="n">
        <f aca="true">AI101+OFFSET($CU$96,$B101,$C101)</f>
        <v>1</v>
      </c>
      <c r="AK101" s="97" t="n">
        <f aca="true">AI101+OFFSET($DI$96,$B101,$C101)</f>
        <v>1</v>
      </c>
      <c r="AL101" s="178" t="n">
        <v>24</v>
      </c>
      <c r="AM101" s="165" t="n">
        <v>0.4</v>
      </c>
      <c r="AN101" s="167" t="n">
        <f aca="false">'[3]Pricing Summary'!$AM79</f>
        <v>0.235</v>
      </c>
      <c r="AO101" s="167" t="n">
        <f aca="false">0.9*AN101</f>
        <v>0.2115</v>
      </c>
      <c r="AP101" s="166" t="n">
        <f aca="false">1.5*AN101</f>
        <v>0.3525</v>
      </c>
      <c r="AQ101" s="167" t="n">
        <f aca="false">AN101</f>
        <v>0.235</v>
      </c>
      <c r="AR101" s="166" t="n">
        <f aca="false">0.8*AQ101</f>
        <v>0.188</v>
      </c>
      <c r="AS101" s="166" t="n">
        <f aca="false">1.2*AQ101</f>
        <v>0.282</v>
      </c>
      <c r="AT101" s="169" t="n">
        <f aca="false">IF(G101&lt;110,17.94063*(LN(G101/100))+6.727568*(LN(G101/100)^2)+15.06494,(-4.1*G101+2135)/100)*0.5</f>
        <v>1.82255031269953</v>
      </c>
      <c r="AU101" s="169" t="n">
        <f aca="false">(0.75*AT101-AT101)</f>
        <v>-0.455637578174882</v>
      </c>
      <c r="AV101" s="166" t="n">
        <f aca="false">AT101/0.5*1.25-AT101</f>
        <v>2.73382546904929</v>
      </c>
      <c r="AW101" s="168" t="n">
        <f aca="false">IF(L101&lt;15,(15*L101+375)/100,(-4.71*L101+670.65)/100)*0.5</f>
        <v>2.529</v>
      </c>
      <c r="AX101" s="166" t="n">
        <f aca="false">0.75*AW101-AW101</f>
        <v>-0.63225</v>
      </c>
      <c r="AY101" s="166" t="n">
        <f aca="false">AW101/0.5*1.25-AW101</f>
        <v>3.7935</v>
      </c>
      <c r="AZ101" s="167" t="n">
        <v>0.5</v>
      </c>
      <c r="BA101" s="74"/>
      <c r="BC101" s="222" t="n">
        <v>1</v>
      </c>
      <c r="BD101" s="223" t="n">
        <v>0</v>
      </c>
      <c r="BF101" s="224"/>
      <c r="BQ101" s="108" t="n">
        <v>36907.7428240741</v>
      </c>
      <c r="BR101" s="109" t="n">
        <v>36907.743287037</v>
      </c>
      <c r="BS101" s="110" t="n">
        <v>38899</v>
      </c>
      <c r="BT101" s="111" t="n">
        <v>127170.6171875</v>
      </c>
      <c r="BU101" s="112" t="n">
        <v>98557.2265625</v>
      </c>
      <c r="BV101" s="112" t="n">
        <v>31792.654296875</v>
      </c>
      <c r="BW101" s="112" t="n">
        <v>38151.18359375</v>
      </c>
      <c r="BX101" s="113" t="n">
        <v>0</v>
      </c>
      <c r="BZ101" s="110" t="n">
        <v>38961</v>
      </c>
      <c r="CA101" s="185" t="n">
        <v>35</v>
      </c>
      <c r="CB101" s="116" t="n">
        <v>35</v>
      </c>
      <c r="CC101" s="181" t="n">
        <v>35</v>
      </c>
      <c r="CD101" s="181" t="n">
        <v>35</v>
      </c>
      <c r="CE101" s="117" t="n">
        <v>1</v>
      </c>
      <c r="CG101" s="135" t="n">
        <f aca="false">BB14</f>
        <v>2005</v>
      </c>
      <c r="CH101" s="136" t="n">
        <v>0</v>
      </c>
      <c r="CI101" s="137" t="n">
        <v>0</v>
      </c>
      <c r="CJ101" s="137" t="n">
        <v>0</v>
      </c>
      <c r="CK101" s="137" t="n">
        <v>0</v>
      </c>
      <c r="CL101" s="137" t="n">
        <v>0</v>
      </c>
      <c r="CM101" s="137" t="n">
        <v>0</v>
      </c>
      <c r="CN101" s="137" t="n">
        <v>0</v>
      </c>
      <c r="CO101" s="137" t="n">
        <v>0</v>
      </c>
      <c r="CP101" s="137" t="n">
        <v>0</v>
      </c>
      <c r="CQ101" s="137" t="n">
        <v>0</v>
      </c>
      <c r="CR101" s="137" t="n">
        <v>0</v>
      </c>
      <c r="CS101" s="138" t="n">
        <v>0</v>
      </c>
      <c r="CU101" s="135" t="n">
        <f aca="false">BB14</f>
        <v>2005</v>
      </c>
      <c r="CV101" s="136" t="n">
        <v>0</v>
      </c>
      <c r="CW101" s="137" t="n">
        <v>0</v>
      </c>
      <c r="CX101" s="137" t="n">
        <v>0</v>
      </c>
      <c r="CY101" s="137" t="n">
        <v>0</v>
      </c>
      <c r="CZ101" s="137" t="n">
        <v>0</v>
      </c>
      <c r="DA101" s="137" t="n">
        <v>0</v>
      </c>
      <c r="DB101" s="137" t="n">
        <v>0</v>
      </c>
      <c r="DC101" s="137" t="n">
        <v>0</v>
      </c>
      <c r="DD101" s="137" t="n">
        <v>0</v>
      </c>
      <c r="DE101" s="137" t="n">
        <v>0</v>
      </c>
      <c r="DF101" s="137" t="n">
        <v>0</v>
      </c>
      <c r="DG101" s="138" t="n">
        <v>0</v>
      </c>
      <c r="DI101" s="135" t="n">
        <f aca="false">BB14</f>
        <v>2005</v>
      </c>
      <c r="DJ101" s="136" t="n">
        <v>0</v>
      </c>
      <c r="DK101" s="137" t="n">
        <v>0</v>
      </c>
      <c r="DL101" s="137" t="n">
        <v>0</v>
      </c>
      <c r="DM101" s="137" t="n">
        <v>0</v>
      </c>
      <c r="DN101" s="137" t="n">
        <v>0</v>
      </c>
      <c r="DO101" s="137" t="n">
        <v>0</v>
      </c>
      <c r="DP101" s="137" t="n">
        <v>0</v>
      </c>
      <c r="DQ101" s="137" t="n">
        <v>0</v>
      </c>
      <c r="DR101" s="137" t="n">
        <v>0</v>
      </c>
      <c r="DS101" s="137" t="n">
        <v>0</v>
      </c>
      <c r="DT101" s="137" t="n">
        <v>0</v>
      </c>
      <c r="DU101" s="138" t="n">
        <v>0</v>
      </c>
    </row>
    <row r="102" customFormat="false" ht="12.75" hidden="false" customHeight="false" outlineLevel="0" collapsed="false">
      <c r="A102" s="0" t="n">
        <f aca="true">IF(ISERROR(MATCH(D102,iRefDt,0)),"",MATCH(D102,iRefDt,0))</f>
        <v>102</v>
      </c>
      <c r="B102" s="92" t="n">
        <f aca="false">MATCH(YEAR(D102),iSpreads)</f>
        <v>6</v>
      </c>
      <c r="C102" s="0" t="n">
        <f aca="false">MONTH(D102)</f>
        <v>10</v>
      </c>
      <c r="D102" s="93" t="n">
        <f aca="false">DATE(YEAR(D101),MONTH(D101)+1,1)</f>
        <v>38991</v>
      </c>
      <c r="E102" s="94" t="n">
        <f aca="false">VLOOKUP($D102,tblPriorPrice,2)</f>
        <v>37</v>
      </c>
      <c r="F102" s="190" t="n">
        <f aca="false">G102-E102</f>
        <v>0</v>
      </c>
      <c r="G102" s="190" t="n">
        <f aca="true">G90+OFFSET($CG$4,$B102,$C102)</f>
        <v>37</v>
      </c>
      <c r="H102" s="96" t="n">
        <f aca="true">G102+OFFSET($CU$4,$B102,$C102)</f>
        <v>32</v>
      </c>
      <c r="I102" s="96" t="n">
        <f aca="true">G102+OFFSET($DI$4,$B102,$C102)</f>
        <v>57</v>
      </c>
      <c r="J102" s="94" t="n">
        <f aca="false">VLOOKUP($D102,tblPriorPrice,3)</f>
        <v>37</v>
      </c>
      <c r="K102" s="190" t="n">
        <f aca="false">L102-J102</f>
        <v>0</v>
      </c>
      <c r="L102" s="190" t="n">
        <f aca="true">L90+OFFSET($CG$27,$B102,$C102)</f>
        <v>37</v>
      </c>
      <c r="M102" s="96" t="n">
        <f aca="true">$L102+OFFSET($CU$27,$B102,$C102)</f>
        <v>32</v>
      </c>
      <c r="N102" s="97" t="n">
        <f aca="true">$L102+OFFSET($DI$27,$B102,$C102)</f>
        <v>47</v>
      </c>
      <c r="O102" s="59" t="n">
        <f aca="true">IF($A102="",0,INDEX(tblPosn,$A102,2))</f>
        <v>137765.375</v>
      </c>
      <c r="P102" s="59" t="n">
        <f aca="true">IF($A102="",0,INDEX(tblPosn,$A102,3))</f>
        <v>97453.3515625</v>
      </c>
      <c r="Q102" s="59" t="n">
        <f aca="true">IF($A102="",0,INDEX(tblPosn,$A102,4))</f>
        <v>25048.251953125</v>
      </c>
      <c r="R102" s="59" t="n">
        <f aca="true">IF($A102="",0,INDEX(tblPosn,$A102,5))</f>
        <v>31310.314453125</v>
      </c>
      <c r="S102" s="59" t="n">
        <f aca="true">IF($A102="",0,INDEX(tblPosn,$A102,6))</f>
        <v>0</v>
      </c>
      <c r="T102" s="98" t="n">
        <f aca="false">O102*F102+P102*K102+R102*AC102+S102*AH102/0.72+Q102*X102</f>
        <v>0</v>
      </c>
      <c r="V102" s="161" t="n">
        <f aca="false">D102</f>
        <v>38991</v>
      </c>
      <c r="W102" s="94" t="n">
        <f aca="false">VLOOKUP($D102,tblPriorPrice,4)</f>
        <v>37</v>
      </c>
      <c r="X102" s="95" t="n">
        <f aca="false">Y102-W102</f>
        <v>0</v>
      </c>
      <c r="Y102" s="191" t="n">
        <f aca="true">Y90+OFFSET($CG$50,$B102,$C102)</f>
        <v>37</v>
      </c>
      <c r="Z102" s="96" t="n">
        <f aca="true">Y102+OFFSET($CU$51,$B102,$C102)</f>
        <v>32</v>
      </c>
      <c r="AA102" s="177" t="n">
        <f aca="true">Y102+OFFSET($DI$51,$B102,$C102)</f>
        <v>58</v>
      </c>
      <c r="AB102" s="94" t="n">
        <f aca="false">VLOOKUP($D102,tblPriorPrice,5)</f>
        <v>37</v>
      </c>
      <c r="AC102" s="190" t="n">
        <f aca="false">AD102-AB102</f>
        <v>0</v>
      </c>
      <c r="AD102" s="191" t="n">
        <f aca="true">AD90+OFFSET($CG$73,$B102,$C102)</f>
        <v>37</v>
      </c>
      <c r="AE102" s="96" t="n">
        <f aca="true">AD102+OFFSET($CU$74,$B102,$C102)</f>
        <v>32</v>
      </c>
      <c r="AF102" s="177" t="n">
        <f aca="true">AD102+OFFSET($DI$74,$B102,$C102)</f>
        <v>58</v>
      </c>
      <c r="AG102" s="94" t="n">
        <f aca="false">VLOOKUP($D102,tblPriorPrice,6)</f>
        <v>1</v>
      </c>
      <c r="AH102" s="190" t="n">
        <f aca="false">AI102-AG102</f>
        <v>0</v>
      </c>
      <c r="AI102" s="191" t="n">
        <f aca="true">AI90+OFFSET($CG$96,$B102,$C102)</f>
        <v>1</v>
      </c>
      <c r="AJ102" s="96" t="n">
        <f aca="true">AI102+OFFSET($CU$96,$B102,$C102)</f>
        <v>1</v>
      </c>
      <c r="AK102" s="97" t="n">
        <f aca="true">AI102+OFFSET($DI$96,$B102,$C102)</f>
        <v>1</v>
      </c>
      <c r="AL102" s="178" t="n">
        <v>24</v>
      </c>
      <c r="AM102" s="165" t="n">
        <v>0.4</v>
      </c>
      <c r="AN102" s="167" t="n">
        <f aca="false">'[3]Pricing Summary'!$AM80</f>
        <v>0.235</v>
      </c>
      <c r="AO102" s="167" t="n">
        <f aca="false">0.9*AN102</f>
        <v>0.2115</v>
      </c>
      <c r="AP102" s="166" t="n">
        <f aca="false">1.5*AN102</f>
        <v>0.3525</v>
      </c>
      <c r="AQ102" s="167" t="n">
        <f aca="false">AN102</f>
        <v>0.235</v>
      </c>
      <c r="AR102" s="166" t="n">
        <f aca="false">0.8*AQ102</f>
        <v>0.188</v>
      </c>
      <c r="AS102" s="166" t="n">
        <f aca="false">1.2*AQ102</f>
        <v>0.282</v>
      </c>
      <c r="AT102" s="169" t="n">
        <f aca="false">IF(G102&lt;110,17.94063*(LN(G102/100))+6.727568*(LN(G102/100)^2)+15.06494,(-4.1*G102+2135)/100)*0.5</f>
        <v>1.93894082389981</v>
      </c>
      <c r="AU102" s="169" t="n">
        <f aca="false">(0.75*AT102-AT102)</f>
        <v>-0.484735205974953</v>
      </c>
      <c r="AV102" s="166" t="n">
        <f aca="false">AT102/0.5*1.25-AT102</f>
        <v>2.90841123584972</v>
      </c>
      <c r="AW102" s="168" t="n">
        <f aca="false">IF(L102&lt;15,(15*L102+375)/100,(-4.71*L102+670.65)/100)*0.5</f>
        <v>2.4819</v>
      </c>
      <c r="AX102" s="166" t="n">
        <f aca="false">0.75*AW102-AW102</f>
        <v>-0.620475</v>
      </c>
      <c r="AY102" s="166" t="n">
        <f aca="false">AW102/0.5*1.25-AW102</f>
        <v>3.72285</v>
      </c>
      <c r="AZ102" s="167" t="n">
        <v>0.5</v>
      </c>
      <c r="BA102" s="74"/>
      <c r="BC102" s="222" t="n">
        <v>2</v>
      </c>
      <c r="BD102" s="223" t="n">
        <v>0</v>
      </c>
      <c r="BF102" s="224"/>
      <c r="BQ102" s="108" t="n">
        <v>36907.7428240741</v>
      </c>
      <c r="BR102" s="109" t="n">
        <v>36907.743287037</v>
      </c>
      <c r="BS102" s="110" t="n">
        <v>38930</v>
      </c>
      <c r="BT102" s="111" t="n">
        <v>145499.671875</v>
      </c>
      <c r="BU102" s="112" t="n">
        <v>98054.125</v>
      </c>
      <c r="BV102" s="112" t="n">
        <v>25304.2890625</v>
      </c>
      <c r="BW102" s="112" t="n">
        <v>25304.2890625</v>
      </c>
      <c r="BX102" s="113" t="n">
        <v>0</v>
      </c>
      <c r="BZ102" s="110" t="n">
        <v>38991</v>
      </c>
      <c r="CA102" s="185" t="n">
        <v>37</v>
      </c>
      <c r="CB102" s="116" t="n">
        <v>37</v>
      </c>
      <c r="CC102" s="181" t="n">
        <v>37</v>
      </c>
      <c r="CD102" s="181" t="n">
        <v>37</v>
      </c>
      <c r="CE102" s="117" t="n">
        <v>1</v>
      </c>
      <c r="CG102" s="135" t="n">
        <f aca="false">BB15</f>
        <v>2006</v>
      </c>
      <c r="CH102" s="136" t="n">
        <v>0</v>
      </c>
      <c r="CI102" s="137" t="n">
        <v>0</v>
      </c>
      <c r="CJ102" s="137" t="n">
        <v>0</v>
      </c>
      <c r="CK102" s="137" t="n">
        <v>0</v>
      </c>
      <c r="CL102" s="137" t="n">
        <v>0</v>
      </c>
      <c r="CM102" s="137" t="n">
        <v>0</v>
      </c>
      <c r="CN102" s="137" t="n">
        <v>0</v>
      </c>
      <c r="CO102" s="137" t="n">
        <v>0</v>
      </c>
      <c r="CP102" s="137" t="n">
        <v>0</v>
      </c>
      <c r="CQ102" s="137" t="n">
        <v>0</v>
      </c>
      <c r="CR102" s="137" t="n">
        <v>0</v>
      </c>
      <c r="CS102" s="138" t="n">
        <v>0</v>
      </c>
      <c r="CU102" s="135" t="n">
        <f aca="false">BB15</f>
        <v>2006</v>
      </c>
      <c r="CV102" s="136" t="n">
        <v>0</v>
      </c>
      <c r="CW102" s="137" t="n">
        <v>0</v>
      </c>
      <c r="CX102" s="137" t="n">
        <v>0</v>
      </c>
      <c r="CY102" s="137" t="n">
        <v>0</v>
      </c>
      <c r="CZ102" s="137" t="n">
        <v>0</v>
      </c>
      <c r="DA102" s="137" t="n">
        <v>0</v>
      </c>
      <c r="DB102" s="137" t="n">
        <v>0</v>
      </c>
      <c r="DC102" s="137" t="n">
        <v>0</v>
      </c>
      <c r="DD102" s="137" t="n">
        <v>0</v>
      </c>
      <c r="DE102" s="137" t="n">
        <v>0</v>
      </c>
      <c r="DF102" s="137" t="n">
        <v>0</v>
      </c>
      <c r="DG102" s="138" t="n">
        <v>0</v>
      </c>
      <c r="DI102" s="135" t="n">
        <f aca="false">BB15</f>
        <v>2006</v>
      </c>
      <c r="DJ102" s="136" t="n">
        <v>0</v>
      </c>
      <c r="DK102" s="137" t="n">
        <v>0</v>
      </c>
      <c r="DL102" s="137" t="n">
        <v>0</v>
      </c>
      <c r="DM102" s="137" t="n">
        <v>0</v>
      </c>
      <c r="DN102" s="137" t="n">
        <v>0</v>
      </c>
      <c r="DO102" s="137" t="n">
        <v>0</v>
      </c>
      <c r="DP102" s="137" t="n">
        <v>0</v>
      </c>
      <c r="DQ102" s="137" t="n">
        <v>0</v>
      </c>
      <c r="DR102" s="137" t="n">
        <v>0</v>
      </c>
      <c r="DS102" s="137" t="n">
        <v>0</v>
      </c>
      <c r="DT102" s="137" t="n">
        <v>0</v>
      </c>
      <c r="DU102" s="138" t="n">
        <v>0</v>
      </c>
    </row>
    <row r="103" customFormat="false" ht="12.75" hidden="false" customHeight="false" outlineLevel="0" collapsed="false">
      <c r="A103" s="0" t="n">
        <f aca="true">IF(ISERROR(MATCH(D103,iRefDt,0)),"",MATCH(D103,iRefDt,0))</f>
        <v>103</v>
      </c>
      <c r="B103" s="92" t="n">
        <f aca="false">MATCH(YEAR(D103),iSpreads)</f>
        <v>6</v>
      </c>
      <c r="C103" s="0" t="n">
        <f aca="false">MONTH(D103)</f>
        <v>11</v>
      </c>
      <c r="D103" s="93" t="n">
        <f aca="false">DATE(YEAR(D102),MONTH(D102)+1,1)</f>
        <v>39022</v>
      </c>
      <c r="E103" s="94" t="n">
        <f aca="false">VLOOKUP($D103,tblPriorPrice,2)</f>
        <v>33</v>
      </c>
      <c r="F103" s="190" t="n">
        <f aca="false">G103-E103</f>
        <v>0</v>
      </c>
      <c r="G103" s="190" t="n">
        <f aca="true">G91+OFFSET($CG$4,$B103,$C103)</f>
        <v>33</v>
      </c>
      <c r="H103" s="96" t="n">
        <f aca="true">G103+OFFSET($CU$4,$B103,$C103)</f>
        <v>28</v>
      </c>
      <c r="I103" s="96" t="n">
        <f aca="true">G103+OFFSET($DI$4,$B103,$C103)</f>
        <v>53</v>
      </c>
      <c r="J103" s="94" t="n">
        <f aca="false">VLOOKUP($D103,tblPriorPrice,3)</f>
        <v>33</v>
      </c>
      <c r="K103" s="190" t="n">
        <f aca="false">L103-J103</f>
        <v>0</v>
      </c>
      <c r="L103" s="190" t="n">
        <f aca="true">L91+OFFSET($CG$27,$B103,$C103)</f>
        <v>33</v>
      </c>
      <c r="M103" s="96" t="n">
        <f aca="true">$L103+OFFSET($CU$27,$B103,$C103)</f>
        <v>28</v>
      </c>
      <c r="N103" s="97" t="n">
        <f aca="true">$L103+OFFSET($DI$27,$B103,$C103)</f>
        <v>43</v>
      </c>
      <c r="O103" s="59" t="n">
        <f aca="true">IF($A103="",0,INDEX(tblPosn,$A103,2))</f>
        <v>130846.1796875</v>
      </c>
      <c r="P103" s="59" t="n">
        <f aca="true">IF($A103="",0,INDEX(tblPosn,$A103,3))</f>
        <v>93461.5625</v>
      </c>
      <c r="Q103" s="59" t="n">
        <f aca="true">IF($A103="",0,INDEX(tblPosn,$A103,4))</f>
        <v>24923.08203125</v>
      </c>
      <c r="R103" s="59" t="n">
        <f aca="true">IF($A103="",0,INDEX(tblPosn,$A103,5))</f>
        <v>31153.853515625</v>
      </c>
      <c r="S103" s="59" t="n">
        <f aca="true">IF($A103="",0,INDEX(tblPosn,$A103,6))</f>
        <v>0</v>
      </c>
      <c r="T103" s="98" t="n">
        <f aca="false">O103*F103+P103*K103+R103*AC103+S103*AH103/0.72+Q103*X103</f>
        <v>0</v>
      </c>
      <c r="V103" s="161" t="n">
        <f aca="false">D103</f>
        <v>39022</v>
      </c>
      <c r="W103" s="94" t="n">
        <f aca="false">VLOOKUP($D103,tblPriorPrice,4)</f>
        <v>33</v>
      </c>
      <c r="X103" s="95" t="n">
        <f aca="false">Y103-W103</f>
        <v>0</v>
      </c>
      <c r="Y103" s="191" t="n">
        <f aca="true">Y91+OFFSET($CG$50,$B103,$C103)</f>
        <v>33</v>
      </c>
      <c r="Z103" s="96" t="n">
        <f aca="true">Y103+OFFSET($CU$51,$B103,$C103)</f>
        <v>28</v>
      </c>
      <c r="AA103" s="177" t="n">
        <f aca="true">Y103+OFFSET($DI$51,$B103,$C103)</f>
        <v>54</v>
      </c>
      <c r="AB103" s="94" t="n">
        <f aca="false">VLOOKUP($D103,tblPriorPrice,5)</f>
        <v>33</v>
      </c>
      <c r="AC103" s="190" t="n">
        <f aca="false">AD103-AB103</f>
        <v>0</v>
      </c>
      <c r="AD103" s="191" t="n">
        <f aca="true">AD91+OFFSET($CG$73,$B103,$C103)</f>
        <v>33</v>
      </c>
      <c r="AE103" s="96" t="n">
        <f aca="true">AD103+OFFSET($CU$74,$B103,$C103)</f>
        <v>28</v>
      </c>
      <c r="AF103" s="177" t="n">
        <f aca="true">AD103+OFFSET($DI$74,$B103,$C103)</f>
        <v>54</v>
      </c>
      <c r="AG103" s="94" t="n">
        <f aca="false">VLOOKUP($D103,tblPriorPrice,6)</f>
        <v>1</v>
      </c>
      <c r="AH103" s="190" t="n">
        <f aca="false">AI103-AG103</f>
        <v>0</v>
      </c>
      <c r="AI103" s="191" t="n">
        <f aca="true">AI91+OFFSET($CG$96,$B103,$C103)</f>
        <v>1</v>
      </c>
      <c r="AJ103" s="96" t="n">
        <f aca="true">AI103+OFFSET($CU$96,$B103,$C103)</f>
        <v>1</v>
      </c>
      <c r="AK103" s="97" t="n">
        <f aca="true">AI103+OFFSET($DI$96,$B103,$C103)</f>
        <v>1</v>
      </c>
      <c r="AL103" s="178" t="n">
        <v>24</v>
      </c>
      <c r="AM103" s="165" t="n">
        <v>0.4</v>
      </c>
      <c r="AN103" s="167" t="n">
        <f aca="false">'[3]Pricing Summary'!$AM81</f>
        <v>0.2375</v>
      </c>
      <c r="AO103" s="167" t="n">
        <f aca="false">0.9*AN103</f>
        <v>0.21375</v>
      </c>
      <c r="AP103" s="166" t="n">
        <f aca="false">1.5*AN103</f>
        <v>0.35625</v>
      </c>
      <c r="AQ103" s="167" t="n">
        <f aca="false">AN103</f>
        <v>0.2375</v>
      </c>
      <c r="AR103" s="166" t="n">
        <f aca="false">0.8*AQ103</f>
        <v>0.19</v>
      </c>
      <c r="AS103" s="166" t="n">
        <f aca="false">1.2*AQ103</f>
        <v>0.285</v>
      </c>
      <c r="AT103" s="169" t="n">
        <f aca="false">IF(G103&lt;110,17.94063*(LN(G103/100))+6.727568*(LN(G103/100)^2)+15.06494,(-4.1*G103+2135)/100)*0.5</f>
        <v>1.72195432632388</v>
      </c>
      <c r="AU103" s="169" t="n">
        <f aca="false">(0.75*AT103-AT103)</f>
        <v>-0.43048858158097</v>
      </c>
      <c r="AV103" s="166" t="n">
        <f aca="false">AT103/0.5*1.25-AT103</f>
        <v>2.58293148948582</v>
      </c>
      <c r="AW103" s="168" t="n">
        <f aca="false">IF(L103&lt;15,(15*L103+375)/100,(-4.71*L103+670.65)/100)*0.5</f>
        <v>2.5761</v>
      </c>
      <c r="AX103" s="166" t="n">
        <f aca="false">0.75*AW103-AW103</f>
        <v>-0.644025</v>
      </c>
      <c r="AY103" s="166" t="n">
        <f aca="false">AW103/0.5*1.25-AW103</f>
        <v>3.86415</v>
      </c>
      <c r="AZ103" s="167" t="n">
        <v>0.5</v>
      </c>
      <c r="BA103" s="74"/>
      <c r="BC103" s="222" t="n">
        <v>3</v>
      </c>
      <c r="BD103" s="223" t="n">
        <v>0.01</v>
      </c>
      <c r="BF103" s="224"/>
      <c r="BQ103" s="108" t="n">
        <v>36907.7428240741</v>
      </c>
      <c r="BR103" s="109" t="n">
        <v>36907.743287037</v>
      </c>
      <c r="BS103" s="110" t="n">
        <v>38961</v>
      </c>
      <c r="BT103" s="111" t="n">
        <v>125887.0390625</v>
      </c>
      <c r="BU103" s="112" t="n">
        <v>94415.28125</v>
      </c>
      <c r="BV103" s="112" t="n">
        <v>31471.759765625</v>
      </c>
      <c r="BW103" s="112" t="n">
        <v>31471.759765625</v>
      </c>
      <c r="BX103" s="113" t="n">
        <v>0</v>
      </c>
      <c r="BZ103" s="110" t="n">
        <v>39022</v>
      </c>
      <c r="CA103" s="185" t="n">
        <v>33</v>
      </c>
      <c r="CB103" s="116" t="n">
        <v>33</v>
      </c>
      <c r="CC103" s="181" t="n">
        <v>33</v>
      </c>
      <c r="CD103" s="181" t="n">
        <v>33</v>
      </c>
      <c r="CE103" s="117" t="n">
        <v>1</v>
      </c>
      <c r="CG103" s="135" t="n">
        <f aca="false">BB16</f>
        <v>2007</v>
      </c>
      <c r="CH103" s="136" t="n">
        <v>0</v>
      </c>
      <c r="CI103" s="137" t="n">
        <v>0</v>
      </c>
      <c r="CJ103" s="137" t="n">
        <v>0</v>
      </c>
      <c r="CK103" s="137" t="n">
        <v>0</v>
      </c>
      <c r="CL103" s="137" t="n">
        <v>0</v>
      </c>
      <c r="CM103" s="137" t="n">
        <v>0</v>
      </c>
      <c r="CN103" s="137" t="n">
        <v>0</v>
      </c>
      <c r="CO103" s="137" t="n">
        <v>0</v>
      </c>
      <c r="CP103" s="137" t="n">
        <v>0</v>
      </c>
      <c r="CQ103" s="137" t="n">
        <v>0</v>
      </c>
      <c r="CR103" s="137" t="n">
        <v>0</v>
      </c>
      <c r="CS103" s="138" t="n">
        <v>0</v>
      </c>
      <c r="CU103" s="135" t="n">
        <f aca="false">BB16</f>
        <v>2007</v>
      </c>
      <c r="CV103" s="136" t="n">
        <v>0</v>
      </c>
      <c r="CW103" s="137" t="n">
        <v>0</v>
      </c>
      <c r="CX103" s="137" t="n">
        <v>0</v>
      </c>
      <c r="CY103" s="137" t="n">
        <v>0</v>
      </c>
      <c r="CZ103" s="137" t="n">
        <v>0</v>
      </c>
      <c r="DA103" s="137" t="n">
        <v>0</v>
      </c>
      <c r="DB103" s="137" t="n">
        <v>0</v>
      </c>
      <c r="DC103" s="137" t="n">
        <v>0</v>
      </c>
      <c r="DD103" s="137" t="n">
        <v>0</v>
      </c>
      <c r="DE103" s="137" t="n">
        <v>0</v>
      </c>
      <c r="DF103" s="137" t="n">
        <v>0</v>
      </c>
      <c r="DG103" s="138" t="n">
        <v>0</v>
      </c>
      <c r="DI103" s="135" t="n">
        <f aca="false">BB16</f>
        <v>2007</v>
      </c>
      <c r="DJ103" s="136" t="n">
        <v>0</v>
      </c>
      <c r="DK103" s="137" t="n">
        <v>0</v>
      </c>
      <c r="DL103" s="137" t="n">
        <v>0</v>
      </c>
      <c r="DM103" s="137" t="n">
        <v>0</v>
      </c>
      <c r="DN103" s="137" t="n">
        <v>0</v>
      </c>
      <c r="DO103" s="137" t="n">
        <v>0</v>
      </c>
      <c r="DP103" s="137" t="n">
        <v>0</v>
      </c>
      <c r="DQ103" s="137" t="n">
        <v>0</v>
      </c>
      <c r="DR103" s="137" t="n">
        <v>0</v>
      </c>
      <c r="DS103" s="137" t="n">
        <v>0</v>
      </c>
      <c r="DT103" s="137" t="n">
        <v>0</v>
      </c>
      <c r="DU103" s="138" t="n">
        <v>0</v>
      </c>
    </row>
    <row r="104" customFormat="false" ht="12.75" hidden="false" customHeight="false" outlineLevel="0" collapsed="false">
      <c r="A104" s="0" t="n">
        <f aca="true">IF(ISERROR(MATCH(D104,iRefDt,0)),"",MATCH(D104,iRefDt,0))</f>
        <v>104</v>
      </c>
      <c r="B104" s="92" t="n">
        <f aca="false">MATCH(YEAR(D104),iSpreads)</f>
        <v>6</v>
      </c>
      <c r="C104" s="0" t="n">
        <f aca="false">MONTH(D104)</f>
        <v>12</v>
      </c>
      <c r="D104" s="93" t="n">
        <f aca="false">DATE(YEAR(D103),MONTH(D103)+1,1)</f>
        <v>39052</v>
      </c>
      <c r="E104" s="94" t="n">
        <f aca="false">VLOOKUP($D104,tblPriorPrice,2)</f>
        <v>34</v>
      </c>
      <c r="F104" s="190" t="n">
        <f aca="false">G104-E104</f>
        <v>0</v>
      </c>
      <c r="G104" s="190" t="n">
        <f aca="true">G92+OFFSET($CG$4,$B104,$C104)</f>
        <v>34</v>
      </c>
      <c r="H104" s="96" t="n">
        <f aca="true">G104+OFFSET($CU$4,$B104,$C104)</f>
        <v>29</v>
      </c>
      <c r="I104" s="96" t="n">
        <f aca="true">G104+OFFSET($DI$4,$B104,$C104)</f>
        <v>54</v>
      </c>
      <c r="J104" s="94" t="n">
        <f aca="false">VLOOKUP($D104,tblPriorPrice,3)</f>
        <v>31</v>
      </c>
      <c r="K104" s="190" t="n">
        <f aca="false">L104-J104</f>
        <v>0</v>
      </c>
      <c r="L104" s="190" t="n">
        <f aca="true">L92+OFFSET($CG$27,$B104,$C104)</f>
        <v>31</v>
      </c>
      <c r="M104" s="96" t="n">
        <f aca="true">$L104+OFFSET($CU$27,$B104,$C104)</f>
        <v>26</v>
      </c>
      <c r="N104" s="97" t="n">
        <f aca="true">$L104+OFFSET($DI$27,$B104,$C104)</f>
        <v>41</v>
      </c>
      <c r="O104" s="59" t="n">
        <f aca="true">IF($A104="",0,INDEX(tblPosn,$A104,2))</f>
        <v>123973.03125</v>
      </c>
      <c r="P104" s="59" t="n">
        <f aca="true">IF($A104="",0,INDEX(tblPosn,$A104,3))</f>
        <v>96079.09375</v>
      </c>
      <c r="Q104" s="59" t="n">
        <f aca="true">IF($A104="",0,INDEX(tblPosn,$A104,4))</f>
        <v>30993.2578125</v>
      </c>
      <c r="R104" s="59" t="n">
        <f aca="true">IF($A104="",0,INDEX(tblPosn,$A104,5))</f>
        <v>37191.91015625</v>
      </c>
      <c r="S104" s="59" t="n">
        <f aca="true">IF($A104="",0,INDEX(tblPosn,$A104,6))</f>
        <v>0</v>
      </c>
      <c r="T104" s="98" t="n">
        <f aca="false">O104*F104+P104*K104+R104*AC104+S104*AH104/0.72+Q104*X104</f>
        <v>0</v>
      </c>
      <c r="V104" s="161" t="n">
        <f aca="false">D104</f>
        <v>39052</v>
      </c>
      <c r="W104" s="94" t="n">
        <f aca="false">VLOOKUP($D104,tblPriorPrice,4)</f>
        <v>31</v>
      </c>
      <c r="X104" s="95" t="n">
        <f aca="false">Y104-W104</f>
        <v>0</v>
      </c>
      <c r="Y104" s="191" t="n">
        <f aca="true">Y92+OFFSET($CG$50,$B104,$C104)</f>
        <v>31</v>
      </c>
      <c r="Z104" s="96" t="n">
        <f aca="true">Y104+OFFSET($CU$51,$B104,$C104)</f>
        <v>26</v>
      </c>
      <c r="AA104" s="177" t="n">
        <f aca="true">Y104+OFFSET($DI$51,$B104,$C104)</f>
        <v>52</v>
      </c>
      <c r="AB104" s="94" t="n">
        <f aca="false">VLOOKUP($D104,tblPriorPrice,5)</f>
        <v>31</v>
      </c>
      <c r="AC104" s="190" t="n">
        <f aca="false">AD104-AB104</f>
        <v>0</v>
      </c>
      <c r="AD104" s="191" t="n">
        <f aca="true">AD92+OFFSET($CG$73,$B104,$C104)</f>
        <v>31</v>
      </c>
      <c r="AE104" s="96" t="n">
        <f aca="true">AD104+OFFSET($CU$74,$B104,$C104)</f>
        <v>26</v>
      </c>
      <c r="AF104" s="177" t="n">
        <f aca="true">AD104+OFFSET($DI$74,$B104,$C104)</f>
        <v>52</v>
      </c>
      <c r="AG104" s="94" t="n">
        <f aca="false">VLOOKUP($D104,tblPriorPrice,6)</f>
        <v>1</v>
      </c>
      <c r="AH104" s="190" t="n">
        <f aca="false">AI104-AG104</f>
        <v>0</v>
      </c>
      <c r="AI104" s="191" t="n">
        <f aca="true">AI92+OFFSET($CG$96,$B104,$C104)</f>
        <v>1</v>
      </c>
      <c r="AJ104" s="96" t="n">
        <f aca="true">AI104+OFFSET($CU$96,$B104,$C104)</f>
        <v>1</v>
      </c>
      <c r="AK104" s="97" t="n">
        <f aca="true">AI104+OFFSET($DI$96,$B104,$C104)</f>
        <v>1</v>
      </c>
      <c r="AL104" s="178" t="n">
        <v>25</v>
      </c>
      <c r="AM104" s="165" t="n">
        <v>0.4</v>
      </c>
      <c r="AN104" s="167" t="n">
        <f aca="false">'[3]Pricing Summary'!$AM82</f>
        <v>0.245</v>
      </c>
      <c r="AO104" s="167" t="n">
        <f aca="false">0.9*AN104</f>
        <v>0.2205</v>
      </c>
      <c r="AP104" s="166" t="n">
        <f aca="false">1.5*AN104</f>
        <v>0.3675</v>
      </c>
      <c r="AQ104" s="167" t="n">
        <f aca="false">AN104</f>
        <v>0.245</v>
      </c>
      <c r="AR104" s="166" t="n">
        <f aca="false">0.8*AQ104</f>
        <v>0.196</v>
      </c>
      <c r="AS104" s="166" t="n">
        <f aca="false">1.2*AQ104</f>
        <v>0.294</v>
      </c>
      <c r="AT104" s="169" t="n">
        <f aca="false">IF(G104&lt;110,17.94063*(LN(G104/100))+6.727568*(LN(G104/100)^2)+15.06494,(-4.1*G104+2135)/100)*0.5</f>
        <v>1.77008120542792</v>
      </c>
      <c r="AU104" s="169" t="n">
        <f aca="false">(0.75*AT104-AT104)</f>
        <v>-0.44252030135698</v>
      </c>
      <c r="AV104" s="166" t="n">
        <f aca="false">AT104/0.5*1.25-AT104</f>
        <v>2.65512180814188</v>
      </c>
      <c r="AW104" s="168" t="n">
        <f aca="false">IF(L104&lt;15,(15*L104+375)/100,(-4.71*L104+670.65)/100)*0.5</f>
        <v>2.6232</v>
      </c>
      <c r="AX104" s="166" t="n">
        <f aca="false">0.75*AW104-AW104</f>
        <v>-0.6558</v>
      </c>
      <c r="AY104" s="166" t="n">
        <f aca="false">AW104/0.5*1.25-AW104</f>
        <v>3.9348</v>
      </c>
      <c r="AZ104" s="167" t="n">
        <v>0.5</v>
      </c>
      <c r="BA104" s="74"/>
      <c r="BC104" s="222" t="n">
        <v>4</v>
      </c>
      <c r="BD104" s="223" t="n">
        <v>0.015</v>
      </c>
      <c r="BF104" s="224"/>
      <c r="BQ104" s="108" t="n">
        <v>36907.7428240741</v>
      </c>
      <c r="BR104" s="109" t="n">
        <v>36907.743287037</v>
      </c>
      <c r="BS104" s="110" t="n">
        <v>38991</v>
      </c>
      <c r="BT104" s="111" t="n">
        <v>137765.375</v>
      </c>
      <c r="BU104" s="112" t="n">
        <v>97453.3515625</v>
      </c>
      <c r="BV104" s="112" t="n">
        <v>25048.251953125</v>
      </c>
      <c r="BW104" s="112" t="n">
        <v>31310.314453125</v>
      </c>
      <c r="BX104" s="113" t="n">
        <v>0</v>
      </c>
      <c r="BZ104" s="110" t="n">
        <v>39052</v>
      </c>
      <c r="CA104" s="185" t="n">
        <v>34</v>
      </c>
      <c r="CB104" s="116" t="n">
        <v>31</v>
      </c>
      <c r="CC104" s="181" t="n">
        <v>31</v>
      </c>
      <c r="CD104" s="181" t="n">
        <v>31</v>
      </c>
      <c r="CE104" s="117" t="n">
        <v>1</v>
      </c>
      <c r="CG104" s="135" t="n">
        <f aca="false">BB17</f>
        <v>2008</v>
      </c>
      <c r="CH104" s="136" t="n">
        <v>0</v>
      </c>
      <c r="CI104" s="137" t="n">
        <v>0</v>
      </c>
      <c r="CJ104" s="137" t="n">
        <v>0</v>
      </c>
      <c r="CK104" s="137" t="n">
        <v>0</v>
      </c>
      <c r="CL104" s="137" t="n">
        <v>0</v>
      </c>
      <c r="CM104" s="137" t="n">
        <v>0</v>
      </c>
      <c r="CN104" s="137" t="n">
        <v>0</v>
      </c>
      <c r="CO104" s="137" t="n">
        <v>0</v>
      </c>
      <c r="CP104" s="137" t="n">
        <v>0</v>
      </c>
      <c r="CQ104" s="137" t="n">
        <v>0</v>
      </c>
      <c r="CR104" s="137" t="n">
        <v>0</v>
      </c>
      <c r="CS104" s="138" t="n">
        <v>0</v>
      </c>
      <c r="CU104" s="135" t="n">
        <f aca="false">BB17</f>
        <v>2008</v>
      </c>
      <c r="CV104" s="136" t="n">
        <v>0</v>
      </c>
      <c r="CW104" s="137" t="n">
        <v>0</v>
      </c>
      <c r="CX104" s="137" t="n">
        <v>0</v>
      </c>
      <c r="CY104" s="137" t="n">
        <v>0</v>
      </c>
      <c r="CZ104" s="137" t="n">
        <v>0</v>
      </c>
      <c r="DA104" s="137" t="n">
        <v>0</v>
      </c>
      <c r="DB104" s="137" t="n">
        <v>0</v>
      </c>
      <c r="DC104" s="137" t="n">
        <v>0</v>
      </c>
      <c r="DD104" s="137" t="n">
        <v>0</v>
      </c>
      <c r="DE104" s="137" t="n">
        <v>0</v>
      </c>
      <c r="DF104" s="137" t="n">
        <v>0</v>
      </c>
      <c r="DG104" s="138" t="n">
        <v>0</v>
      </c>
      <c r="DI104" s="135" t="n">
        <f aca="false">BB17</f>
        <v>2008</v>
      </c>
      <c r="DJ104" s="136" t="n">
        <v>0</v>
      </c>
      <c r="DK104" s="137" t="n">
        <v>0</v>
      </c>
      <c r="DL104" s="137" t="n">
        <v>0</v>
      </c>
      <c r="DM104" s="137" t="n">
        <v>0</v>
      </c>
      <c r="DN104" s="137" t="n">
        <v>0</v>
      </c>
      <c r="DO104" s="137" t="n">
        <v>0</v>
      </c>
      <c r="DP104" s="137" t="n">
        <v>0</v>
      </c>
      <c r="DQ104" s="137" t="n">
        <v>0</v>
      </c>
      <c r="DR104" s="137" t="n">
        <v>0</v>
      </c>
      <c r="DS104" s="137" t="n">
        <v>0</v>
      </c>
      <c r="DT104" s="137" t="n">
        <v>0</v>
      </c>
      <c r="DU104" s="138" t="n">
        <v>0</v>
      </c>
    </row>
    <row r="105" customFormat="false" ht="12.75" hidden="false" customHeight="false" outlineLevel="0" collapsed="false">
      <c r="A105" s="0" t="n">
        <f aca="true">IF(ISERROR(MATCH(D105,iRefDt,0)),"",MATCH(D105,iRefDt,0))</f>
        <v>105</v>
      </c>
      <c r="B105" s="92" t="n">
        <f aca="false">MATCH(YEAR(D105),iSpreads)</f>
        <v>7</v>
      </c>
      <c r="C105" s="0" t="n">
        <f aca="false">MONTH(D105)</f>
        <v>1</v>
      </c>
      <c r="D105" s="93" t="n">
        <f aca="false">DATE(YEAR(D104),MONTH(D104)+1,1)</f>
        <v>39083</v>
      </c>
      <c r="E105" s="94" t="n">
        <f aca="false">VLOOKUP($D105,tblPriorPrice,2)</f>
        <v>31</v>
      </c>
      <c r="F105" s="190" t="n">
        <f aca="false">G105-E105</f>
        <v>0</v>
      </c>
      <c r="G105" s="190" t="n">
        <f aca="true">G93+OFFSET($CG$4,$B105,$C105)</f>
        <v>31</v>
      </c>
      <c r="H105" s="96" t="n">
        <f aca="true">G105+OFFSET($CU$4,$B105,$C105)</f>
        <v>26</v>
      </c>
      <c r="I105" s="96" t="n">
        <f aca="true">G105+OFFSET($DI$4,$B105,$C105)</f>
        <v>52</v>
      </c>
      <c r="J105" s="94" t="n">
        <f aca="false">VLOOKUP($D105,tblPriorPrice,3)</f>
        <v>31</v>
      </c>
      <c r="K105" s="190" t="n">
        <f aca="false">L105-J105</f>
        <v>0</v>
      </c>
      <c r="L105" s="190" t="n">
        <f aca="true">L93+OFFSET($CG$27,$B105,$C105)</f>
        <v>31</v>
      </c>
      <c r="M105" s="96" t="n">
        <f aca="true">$L105+OFFSET($CU$27,$B105,$C105)</f>
        <v>26</v>
      </c>
      <c r="N105" s="97" t="n">
        <f aca="true">$L105+OFFSET($DI$27,$B105,$C105)</f>
        <v>42</v>
      </c>
      <c r="O105" s="59" t="n">
        <f aca="true">IF($A105="",0,INDEX(tblPosn,$A105,2))</f>
        <v>135159.171875</v>
      </c>
      <c r="P105" s="59" t="n">
        <f aca="true">IF($A105="",0,INDEX(tblPosn,$A105,3))</f>
        <v>95225.78125</v>
      </c>
      <c r="Q105" s="59" t="n">
        <f aca="true">IF($A105="",0,INDEX(tblPosn,$A105,4))</f>
        <v>24574.39453125</v>
      </c>
      <c r="R105" s="59" t="n">
        <f aca="true">IF($A105="",0,INDEX(tblPosn,$A105,5))</f>
        <v>30717.9921875</v>
      </c>
      <c r="S105" s="59" t="n">
        <f aca="true">IF($A105="",0,INDEX(tblPosn,$A105,6))</f>
        <v>0</v>
      </c>
      <c r="T105" s="98" t="n">
        <f aca="false">O105*F105+P105*K105+R105*AC105+S105*AH105/0.72+Q105*X105</f>
        <v>0</v>
      </c>
      <c r="V105" s="161" t="n">
        <f aca="false">D105</f>
        <v>39083</v>
      </c>
      <c r="W105" s="94" t="n">
        <f aca="false">VLOOKUP($D105,tblPriorPrice,4)</f>
        <v>31</v>
      </c>
      <c r="X105" s="95" t="n">
        <f aca="false">Y105-W105</f>
        <v>0</v>
      </c>
      <c r="Y105" s="191" t="n">
        <f aca="true">Y93+OFFSET($CG$50,$B105,$C105)</f>
        <v>31</v>
      </c>
      <c r="Z105" s="96" t="n">
        <f aca="true">Y105+OFFSET($CU$51,$B105,$C105)</f>
        <v>26</v>
      </c>
      <c r="AA105" s="177" t="n">
        <f aca="true">Y105+OFFSET($DI$51,$B105,$C105)</f>
        <v>53</v>
      </c>
      <c r="AB105" s="94" t="n">
        <f aca="false">VLOOKUP($D105,tblPriorPrice,5)</f>
        <v>31</v>
      </c>
      <c r="AC105" s="190" t="n">
        <f aca="false">AD105-AB105</f>
        <v>0</v>
      </c>
      <c r="AD105" s="191" t="n">
        <f aca="true">AD93+OFFSET($CG$73,$B105,$C105)</f>
        <v>31</v>
      </c>
      <c r="AE105" s="96" t="n">
        <f aca="true">AD105+OFFSET($CU$74,$B105,$C105)</f>
        <v>26</v>
      </c>
      <c r="AF105" s="177" t="n">
        <f aca="true">AD105+OFFSET($DI$74,$B105,$C105)</f>
        <v>53</v>
      </c>
      <c r="AG105" s="94" t="n">
        <f aca="false">VLOOKUP($D105,tblPriorPrice,6)</f>
        <v>1</v>
      </c>
      <c r="AH105" s="190" t="n">
        <f aca="false">AI105-AG105</f>
        <v>0</v>
      </c>
      <c r="AI105" s="191" t="n">
        <f aca="true">AI93+OFFSET($CG$96,$B105,$C105)</f>
        <v>1</v>
      </c>
      <c r="AJ105" s="96" t="n">
        <f aca="true">AI105+OFFSET($CU$96,$B105,$C105)</f>
        <v>1</v>
      </c>
      <c r="AK105" s="97" t="n">
        <f aca="true">AI105+OFFSET($DI$96,$B105,$C105)</f>
        <v>1</v>
      </c>
      <c r="AL105" s="178" t="n">
        <v>25</v>
      </c>
      <c r="AM105" s="165" t="n">
        <v>0.4</v>
      </c>
      <c r="AN105" s="167" t="n">
        <f aca="false">'[3]Pricing Summary'!$AM83</f>
        <v>0.2475</v>
      </c>
      <c r="AO105" s="167" t="n">
        <f aca="false">0.9*AN105</f>
        <v>0.22275</v>
      </c>
      <c r="AP105" s="166" t="n">
        <f aca="false">1.5*AN105</f>
        <v>0.37125</v>
      </c>
      <c r="AQ105" s="167" t="n">
        <f aca="false">AN105</f>
        <v>0.2475</v>
      </c>
      <c r="AR105" s="166" t="n">
        <f aca="false">0.8*AQ105</f>
        <v>0.198</v>
      </c>
      <c r="AS105" s="166" t="n">
        <f aca="false">1.2*AQ105</f>
        <v>0.297</v>
      </c>
      <c r="AT105" s="169" t="n">
        <f aca="false">IF(G105&lt;110,17.94063*(LN(G105/100))+6.727568*(LN(G105/100)^2)+15.06494,(-4.1*G105+2135)/100)*0.5</f>
        <v>1.64058990686036</v>
      </c>
      <c r="AU105" s="169" t="n">
        <f aca="false">(0.75*AT105-AT105)</f>
        <v>-0.410147476715089</v>
      </c>
      <c r="AV105" s="166" t="n">
        <f aca="false">AT105/0.5*1.25-AT105</f>
        <v>2.46088486029054</v>
      </c>
      <c r="AW105" s="168" t="n">
        <f aca="false">IF(L105&lt;15,(15*L105+375)/100,(-4.71*L105+670.65)/100)*0.5</f>
        <v>2.6232</v>
      </c>
      <c r="AX105" s="166" t="n">
        <f aca="false">0.75*AW105-AW105</f>
        <v>-0.6558</v>
      </c>
      <c r="AY105" s="166" t="n">
        <f aca="false">AW105/0.5*1.25-AW105</f>
        <v>3.9348</v>
      </c>
      <c r="AZ105" s="167" t="n">
        <v>0.5</v>
      </c>
      <c r="BA105" s="74"/>
      <c r="BC105" s="222" t="n">
        <v>5</v>
      </c>
      <c r="BD105" s="223" t="n">
        <v>0.0175</v>
      </c>
      <c r="BF105" s="224"/>
      <c r="BQ105" s="108" t="n">
        <v>36907.7428240741</v>
      </c>
      <c r="BR105" s="109" t="n">
        <v>36907.743287037</v>
      </c>
      <c r="BS105" s="110" t="n">
        <v>39022</v>
      </c>
      <c r="BT105" s="111" t="n">
        <v>130846.1796875</v>
      </c>
      <c r="BU105" s="112" t="n">
        <v>93461.5625</v>
      </c>
      <c r="BV105" s="112" t="n">
        <v>24923.08203125</v>
      </c>
      <c r="BW105" s="112" t="n">
        <v>31153.853515625</v>
      </c>
      <c r="BX105" s="113" t="n">
        <v>0</v>
      </c>
      <c r="BZ105" s="110" t="n">
        <v>39083</v>
      </c>
      <c r="CA105" s="185" t="n">
        <v>31</v>
      </c>
      <c r="CB105" s="116" t="n">
        <v>31</v>
      </c>
      <c r="CC105" s="181" t="n">
        <v>31</v>
      </c>
      <c r="CD105" s="181" t="n">
        <v>31</v>
      </c>
      <c r="CE105" s="117" t="n">
        <v>1</v>
      </c>
      <c r="CG105" s="135" t="n">
        <f aca="false">BB18</f>
        <v>2009</v>
      </c>
      <c r="CH105" s="136" t="n">
        <v>0</v>
      </c>
      <c r="CI105" s="137" t="n">
        <v>0</v>
      </c>
      <c r="CJ105" s="137" t="n">
        <v>0</v>
      </c>
      <c r="CK105" s="137" t="n">
        <v>0</v>
      </c>
      <c r="CL105" s="137" t="n">
        <v>0</v>
      </c>
      <c r="CM105" s="137" t="n">
        <v>0</v>
      </c>
      <c r="CN105" s="137" t="n">
        <v>0</v>
      </c>
      <c r="CO105" s="137" t="n">
        <v>0</v>
      </c>
      <c r="CP105" s="137" t="n">
        <v>0</v>
      </c>
      <c r="CQ105" s="137" t="n">
        <v>0</v>
      </c>
      <c r="CR105" s="137" t="n">
        <v>0</v>
      </c>
      <c r="CS105" s="138" t="n">
        <v>0</v>
      </c>
      <c r="CU105" s="135" t="n">
        <f aca="false">BB18</f>
        <v>2009</v>
      </c>
      <c r="CV105" s="136" t="n">
        <v>0</v>
      </c>
      <c r="CW105" s="137" t="n">
        <v>0</v>
      </c>
      <c r="CX105" s="137" t="n">
        <v>0</v>
      </c>
      <c r="CY105" s="137" t="n">
        <v>0</v>
      </c>
      <c r="CZ105" s="137" t="n">
        <v>0</v>
      </c>
      <c r="DA105" s="137" t="n">
        <v>0</v>
      </c>
      <c r="DB105" s="137" t="n">
        <v>0</v>
      </c>
      <c r="DC105" s="137" t="n">
        <v>0</v>
      </c>
      <c r="DD105" s="137" t="n">
        <v>0</v>
      </c>
      <c r="DE105" s="137" t="n">
        <v>0</v>
      </c>
      <c r="DF105" s="137" t="n">
        <v>0</v>
      </c>
      <c r="DG105" s="138" t="n">
        <v>0</v>
      </c>
      <c r="DI105" s="135" t="n">
        <f aca="false">BB18</f>
        <v>2009</v>
      </c>
      <c r="DJ105" s="136" t="n">
        <v>0</v>
      </c>
      <c r="DK105" s="137" t="n">
        <v>0</v>
      </c>
      <c r="DL105" s="137" t="n">
        <v>0</v>
      </c>
      <c r="DM105" s="137" t="n">
        <v>0</v>
      </c>
      <c r="DN105" s="137" t="n">
        <v>0</v>
      </c>
      <c r="DO105" s="137" t="n">
        <v>0</v>
      </c>
      <c r="DP105" s="137" t="n">
        <v>0</v>
      </c>
      <c r="DQ105" s="137" t="n">
        <v>0</v>
      </c>
      <c r="DR105" s="137" t="n">
        <v>0</v>
      </c>
      <c r="DS105" s="137" t="n">
        <v>0</v>
      </c>
      <c r="DT105" s="137" t="n">
        <v>0</v>
      </c>
      <c r="DU105" s="138" t="n">
        <v>0</v>
      </c>
    </row>
    <row r="106" customFormat="false" ht="12.75" hidden="false" customHeight="false" outlineLevel="0" collapsed="false">
      <c r="A106" s="0" t="n">
        <f aca="true">IF(ISERROR(MATCH(D106,iRefDt,0)),"",MATCH(D106,iRefDt,0))</f>
        <v>106</v>
      </c>
      <c r="B106" s="92" t="n">
        <f aca="false">MATCH(YEAR(D106),iSpreads)</f>
        <v>7</v>
      </c>
      <c r="C106" s="0" t="n">
        <f aca="false">MONTH(D106)</f>
        <v>2</v>
      </c>
      <c r="D106" s="93" t="n">
        <f aca="false">DATE(YEAR(D105),MONTH(D105)+1,1)</f>
        <v>39114</v>
      </c>
      <c r="E106" s="94" t="n">
        <f aca="false">VLOOKUP($D106,tblPriorPrice,2)</f>
        <v>29</v>
      </c>
      <c r="F106" s="190" t="n">
        <f aca="false">G106-E106</f>
        <v>0</v>
      </c>
      <c r="G106" s="190" t="n">
        <f aca="true">G94+OFFSET($CG$4,$B106,$C106)</f>
        <v>29</v>
      </c>
      <c r="H106" s="96" t="n">
        <f aca="true">G106+OFFSET($CU$4,$B106,$C106)</f>
        <v>24</v>
      </c>
      <c r="I106" s="96" t="n">
        <f aca="true">G106+OFFSET($DI$4,$B106,$C106)</f>
        <v>50</v>
      </c>
      <c r="J106" s="94" t="n">
        <f aca="false">VLOOKUP($D106,tblPriorPrice,3)</f>
        <v>29</v>
      </c>
      <c r="K106" s="190" t="n">
        <f aca="false">L106-J106</f>
        <v>0</v>
      </c>
      <c r="L106" s="190" t="n">
        <f aca="true">L94+OFFSET($CG$27,$B106,$C106)</f>
        <v>29</v>
      </c>
      <c r="M106" s="96" t="n">
        <f aca="true">$L106+OFFSET($CU$27,$B106,$C106)</f>
        <v>24</v>
      </c>
      <c r="N106" s="97" t="n">
        <f aca="true">$L106+OFFSET($DI$27,$B106,$C106)</f>
        <v>40</v>
      </c>
      <c r="O106" s="59" t="n">
        <f aca="true">IF($A106="",0,INDEX(tblPosn,$A106,2))</f>
        <v>122294.625</v>
      </c>
      <c r="P106" s="59" t="n">
        <f aca="true">IF($A106="",0,INDEX(tblPosn,$A106,3))</f>
        <v>85606.234375</v>
      </c>
      <c r="Q106" s="59" t="n">
        <f aca="true">IF($A106="",0,INDEX(tblPosn,$A106,4))</f>
        <v>24458.92578125</v>
      </c>
      <c r="R106" s="59" t="n">
        <f aca="true">IF($A106="",0,INDEX(tblPosn,$A106,5))</f>
        <v>24458.92578125</v>
      </c>
      <c r="S106" s="59" t="n">
        <f aca="true">IF($A106="",0,INDEX(tblPosn,$A106,6))</f>
        <v>0</v>
      </c>
      <c r="T106" s="98" t="n">
        <f aca="false">O106*F106+P106*K106+R106*AC106+S106*AH106/0.72+Q106*X106</f>
        <v>0</v>
      </c>
      <c r="V106" s="161" t="n">
        <f aca="false">D106</f>
        <v>39114</v>
      </c>
      <c r="W106" s="94" t="n">
        <f aca="false">VLOOKUP($D106,tblPriorPrice,4)</f>
        <v>30</v>
      </c>
      <c r="X106" s="95" t="n">
        <f aca="false">Y106-W106</f>
        <v>0</v>
      </c>
      <c r="Y106" s="191" t="n">
        <f aca="true">Y94+OFFSET($CG$50,$B106,$C106)</f>
        <v>30</v>
      </c>
      <c r="Z106" s="96" t="n">
        <f aca="true">Y106+OFFSET($CU$51,$B106,$C106)</f>
        <v>25</v>
      </c>
      <c r="AA106" s="177" t="n">
        <f aca="true">Y106+OFFSET($DI$51,$B106,$C106)</f>
        <v>52</v>
      </c>
      <c r="AB106" s="94" t="n">
        <f aca="false">VLOOKUP($D106,tblPriorPrice,5)</f>
        <v>29</v>
      </c>
      <c r="AC106" s="190" t="n">
        <f aca="false">AD106-AB106</f>
        <v>0</v>
      </c>
      <c r="AD106" s="191" t="n">
        <f aca="true">AD94+OFFSET($CG$73,$B106,$C106)</f>
        <v>29</v>
      </c>
      <c r="AE106" s="96" t="n">
        <f aca="true">AD106+OFFSET($CU$74,$B106,$C106)</f>
        <v>24</v>
      </c>
      <c r="AF106" s="177" t="n">
        <f aca="true">AD106+OFFSET($DI$74,$B106,$C106)</f>
        <v>51</v>
      </c>
      <c r="AG106" s="94" t="n">
        <f aca="false">VLOOKUP($D106,tblPriorPrice,6)</f>
        <v>1</v>
      </c>
      <c r="AH106" s="190" t="n">
        <f aca="false">AI106-AG106</f>
        <v>0</v>
      </c>
      <c r="AI106" s="191" t="n">
        <f aca="true">AI94+OFFSET($CG$96,$B106,$C106)</f>
        <v>1</v>
      </c>
      <c r="AJ106" s="96" t="n">
        <f aca="true">AI106+OFFSET($CU$96,$B106,$C106)</f>
        <v>1</v>
      </c>
      <c r="AK106" s="97" t="n">
        <f aca="true">AI106+OFFSET($DI$96,$B106,$C106)</f>
        <v>1</v>
      </c>
      <c r="AL106" s="178" t="n">
        <v>25</v>
      </c>
      <c r="AM106" s="165" t="n">
        <v>0.4</v>
      </c>
      <c r="AN106" s="167" t="n">
        <f aca="false">'[3]Pricing Summary'!$AM84</f>
        <v>0.235</v>
      </c>
      <c r="AO106" s="167" t="n">
        <f aca="false">0.9*AN106</f>
        <v>0.2115</v>
      </c>
      <c r="AP106" s="166" t="n">
        <f aca="false">1.5*AN106</f>
        <v>0.3525</v>
      </c>
      <c r="AQ106" s="167" t="n">
        <f aca="false">AN106</f>
        <v>0.235</v>
      </c>
      <c r="AR106" s="166" t="n">
        <f aca="false">0.8*AQ106</f>
        <v>0.188</v>
      </c>
      <c r="AS106" s="166" t="n">
        <f aca="false">1.2*AQ106</f>
        <v>0.282</v>
      </c>
      <c r="AT106" s="169" t="n">
        <f aca="false">IF(G106&lt;110,17.94063*(LN(G106/100))+6.727568*(LN(G106/100)^2)+15.06494,(-4.1*G106+2135)/100)*0.5</f>
        <v>1.58278405940532</v>
      </c>
      <c r="AU106" s="169" t="n">
        <f aca="false">(0.75*AT106-AT106)</f>
        <v>-0.395696014851329</v>
      </c>
      <c r="AV106" s="166" t="n">
        <f aca="false">AT106/0.5*1.25-AT106</f>
        <v>2.37417608910797</v>
      </c>
      <c r="AW106" s="168" t="n">
        <f aca="false">IF(L106&lt;15,(15*L106+375)/100,(-4.71*L106+670.65)/100)*0.5</f>
        <v>2.6703</v>
      </c>
      <c r="AX106" s="166" t="n">
        <f aca="false">0.75*AW106-AW106</f>
        <v>-0.667575</v>
      </c>
      <c r="AY106" s="166" t="n">
        <f aca="false">AW106/0.5*1.25-AW106</f>
        <v>4.00545</v>
      </c>
      <c r="AZ106" s="167" t="n">
        <v>0.5</v>
      </c>
      <c r="BA106" s="74"/>
      <c r="BC106" s="222" t="n">
        <v>6</v>
      </c>
      <c r="BD106" s="223" t="n">
        <v>0.025</v>
      </c>
      <c r="BF106" s="224"/>
      <c r="BQ106" s="108" t="n">
        <v>36907.7428240741</v>
      </c>
      <c r="BR106" s="109" t="n">
        <v>36907.743287037</v>
      </c>
      <c r="BS106" s="110" t="n">
        <v>39052</v>
      </c>
      <c r="BT106" s="111" t="n">
        <v>123973.03125</v>
      </c>
      <c r="BU106" s="112" t="n">
        <v>96079.09375</v>
      </c>
      <c r="BV106" s="112" t="n">
        <v>30993.2578125</v>
      </c>
      <c r="BW106" s="112" t="n">
        <v>37191.91015625</v>
      </c>
      <c r="BX106" s="113" t="n">
        <v>0</v>
      </c>
      <c r="BZ106" s="110" t="n">
        <v>39114</v>
      </c>
      <c r="CA106" s="185" t="n">
        <v>29</v>
      </c>
      <c r="CB106" s="116" t="n">
        <v>29</v>
      </c>
      <c r="CC106" s="181" t="n">
        <v>30</v>
      </c>
      <c r="CD106" s="181" t="n">
        <v>29</v>
      </c>
      <c r="CE106" s="117" t="n">
        <v>1</v>
      </c>
      <c r="CG106" s="135" t="n">
        <f aca="false">BB19</f>
        <v>2010</v>
      </c>
      <c r="CH106" s="136" t="n">
        <v>0</v>
      </c>
      <c r="CI106" s="137" t="n">
        <v>0</v>
      </c>
      <c r="CJ106" s="137" t="n">
        <v>0</v>
      </c>
      <c r="CK106" s="137" t="n">
        <v>0</v>
      </c>
      <c r="CL106" s="137" t="n">
        <v>0</v>
      </c>
      <c r="CM106" s="137" t="n">
        <v>0</v>
      </c>
      <c r="CN106" s="137" t="n">
        <v>0</v>
      </c>
      <c r="CO106" s="137" t="n">
        <v>0</v>
      </c>
      <c r="CP106" s="137" t="n">
        <v>0</v>
      </c>
      <c r="CQ106" s="137" t="n">
        <v>0</v>
      </c>
      <c r="CR106" s="137" t="n">
        <v>0</v>
      </c>
      <c r="CS106" s="138" t="n">
        <v>0</v>
      </c>
      <c r="CU106" s="135" t="n">
        <f aca="false">BB19</f>
        <v>2010</v>
      </c>
      <c r="CV106" s="136" t="n">
        <v>0</v>
      </c>
      <c r="CW106" s="137" t="n">
        <v>0</v>
      </c>
      <c r="CX106" s="137" t="n">
        <v>0</v>
      </c>
      <c r="CY106" s="137" t="n">
        <v>0</v>
      </c>
      <c r="CZ106" s="137" t="n">
        <v>0</v>
      </c>
      <c r="DA106" s="137" t="n">
        <v>0</v>
      </c>
      <c r="DB106" s="137" t="n">
        <v>0</v>
      </c>
      <c r="DC106" s="137" t="n">
        <v>0</v>
      </c>
      <c r="DD106" s="137" t="n">
        <v>0</v>
      </c>
      <c r="DE106" s="137" t="n">
        <v>0</v>
      </c>
      <c r="DF106" s="137" t="n">
        <v>0</v>
      </c>
      <c r="DG106" s="138" t="n">
        <v>0</v>
      </c>
      <c r="DI106" s="135" t="n">
        <f aca="false">BB19</f>
        <v>2010</v>
      </c>
      <c r="DJ106" s="136" t="n">
        <v>0</v>
      </c>
      <c r="DK106" s="137" t="n">
        <v>0</v>
      </c>
      <c r="DL106" s="137" t="n">
        <v>0</v>
      </c>
      <c r="DM106" s="137" t="n">
        <v>0</v>
      </c>
      <c r="DN106" s="137" t="n">
        <v>0</v>
      </c>
      <c r="DO106" s="137" t="n">
        <v>0</v>
      </c>
      <c r="DP106" s="137" t="n">
        <v>0</v>
      </c>
      <c r="DQ106" s="137" t="n">
        <v>0</v>
      </c>
      <c r="DR106" s="137" t="n">
        <v>0</v>
      </c>
      <c r="DS106" s="137" t="n">
        <v>0</v>
      </c>
      <c r="DT106" s="137" t="n">
        <v>0</v>
      </c>
      <c r="DU106" s="138" t="n">
        <v>0</v>
      </c>
    </row>
    <row r="107" customFormat="false" ht="12.75" hidden="false" customHeight="false" outlineLevel="0" collapsed="false">
      <c r="A107" s="0" t="n">
        <f aca="true">IF(ISERROR(MATCH(D107,iRefDt,0)),"",MATCH(D107,iRefDt,0))</f>
        <v>107</v>
      </c>
      <c r="B107" s="92" t="n">
        <f aca="false">MATCH(YEAR(D107),iSpreads)</f>
        <v>7</v>
      </c>
      <c r="C107" s="0" t="n">
        <f aca="false">MONTH(D107)</f>
        <v>3</v>
      </c>
      <c r="D107" s="93" t="n">
        <f aca="false">DATE(YEAR(D106),MONTH(D106)+1,1)</f>
        <v>39142</v>
      </c>
      <c r="E107" s="94" t="n">
        <f aca="false">VLOOKUP($D107,tblPriorPrice,2)</f>
        <v>29</v>
      </c>
      <c r="F107" s="190" t="n">
        <f aca="false">G107-E107</f>
        <v>0</v>
      </c>
      <c r="G107" s="190" t="n">
        <f aca="true">G95+OFFSET($CG$4,$B107,$C107)</f>
        <v>29</v>
      </c>
      <c r="H107" s="96" t="n">
        <f aca="true">G107+OFFSET($CU$4,$B107,$C107)</f>
        <v>24</v>
      </c>
      <c r="I107" s="96" t="n">
        <f aca="true">G107+OFFSET($DI$4,$B107,$C107)</f>
        <v>50</v>
      </c>
      <c r="J107" s="94" t="n">
        <f aca="false">VLOOKUP($D107,tblPriorPrice,3)</f>
        <v>29</v>
      </c>
      <c r="K107" s="190" t="n">
        <f aca="false">L107-J107</f>
        <v>0</v>
      </c>
      <c r="L107" s="190" t="n">
        <f aca="true">L95+OFFSET($CG$27,$B107,$C107)</f>
        <v>29</v>
      </c>
      <c r="M107" s="96" t="n">
        <f aca="true">$L107+OFFSET($CU$27,$B107,$C107)</f>
        <v>24</v>
      </c>
      <c r="N107" s="97" t="n">
        <f aca="true">$L107+OFFSET($DI$27,$B107,$C107)</f>
        <v>40</v>
      </c>
      <c r="O107" s="59" t="n">
        <f aca="true">IF($A107="",0,INDEX(tblPosn,$A107,2))</f>
        <v>133819.953125</v>
      </c>
      <c r="P107" s="59" t="n">
        <f aca="true">IF($A107="",0,INDEX(tblPosn,$A107,3))</f>
        <v>94282.2421875</v>
      </c>
      <c r="Q107" s="59" t="n">
        <f aca="true">IF($A107="",0,INDEX(tblPosn,$A107,4))</f>
        <v>30413.626953125</v>
      </c>
      <c r="R107" s="59" t="n">
        <f aca="true">IF($A107="",0,INDEX(tblPosn,$A107,5))</f>
        <v>24330.900390625</v>
      </c>
      <c r="S107" s="59" t="n">
        <f aca="true">IF($A107="",0,INDEX(tblPosn,$A107,6))</f>
        <v>0</v>
      </c>
      <c r="T107" s="98" t="n">
        <f aca="false">O107*F107+P107*K107+R107*AC107+S107*AH107/0.72+Q107*X107</f>
        <v>0</v>
      </c>
      <c r="V107" s="161" t="n">
        <f aca="false">D107</f>
        <v>39142</v>
      </c>
      <c r="W107" s="94" t="n">
        <f aca="false">VLOOKUP($D107,tblPriorPrice,4)</f>
        <v>29</v>
      </c>
      <c r="X107" s="95" t="n">
        <f aca="false">Y107-W107</f>
        <v>0</v>
      </c>
      <c r="Y107" s="191" t="n">
        <f aca="true">Y95+OFFSET($CG$50,$B107,$C107)</f>
        <v>29</v>
      </c>
      <c r="Z107" s="96" t="n">
        <f aca="true">Y107+OFFSET($CU$51,$B107,$C107)</f>
        <v>24</v>
      </c>
      <c r="AA107" s="177" t="n">
        <f aca="true">Y107+OFFSET($DI$51,$B107,$C107)</f>
        <v>51</v>
      </c>
      <c r="AB107" s="94" t="n">
        <f aca="false">VLOOKUP($D107,tblPriorPrice,5)</f>
        <v>29</v>
      </c>
      <c r="AC107" s="190" t="n">
        <f aca="false">AD107-AB107</f>
        <v>0</v>
      </c>
      <c r="AD107" s="191" t="n">
        <f aca="true">AD95+OFFSET($CG$73,$B107,$C107)</f>
        <v>29</v>
      </c>
      <c r="AE107" s="96" t="n">
        <f aca="true">AD107+OFFSET($CU$74,$B107,$C107)</f>
        <v>24</v>
      </c>
      <c r="AF107" s="177" t="n">
        <f aca="true">AD107+OFFSET($DI$74,$B107,$C107)</f>
        <v>51</v>
      </c>
      <c r="AG107" s="94" t="n">
        <f aca="false">VLOOKUP($D107,tblPriorPrice,6)</f>
        <v>1</v>
      </c>
      <c r="AH107" s="190" t="n">
        <f aca="false">AI107-AG107</f>
        <v>0</v>
      </c>
      <c r="AI107" s="191" t="n">
        <f aca="true">AI95+OFFSET($CG$96,$B107,$C107)</f>
        <v>1</v>
      </c>
      <c r="AJ107" s="96" t="n">
        <f aca="true">AI107+OFFSET($CU$96,$B107,$C107)</f>
        <v>1</v>
      </c>
      <c r="AK107" s="97" t="n">
        <f aca="true">AI107+OFFSET($DI$96,$B107,$C107)</f>
        <v>1</v>
      </c>
      <c r="AL107" s="178" t="n">
        <v>26</v>
      </c>
      <c r="AM107" s="165" t="n">
        <v>0.4</v>
      </c>
      <c r="AN107" s="167" t="n">
        <f aca="false">'[3]Pricing Summary'!$AM85</f>
        <v>0.2275</v>
      </c>
      <c r="AO107" s="167" t="n">
        <f aca="false">0.9*AN107</f>
        <v>0.20475</v>
      </c>
      <c r="AP107" s="166" t="n">
        <f aca="false">1.5*AN107</f>
        <v>0.34125</v>
      </c>
      <c r="AQ107" s="167" t="n">
        <f aca="false">AN107</f>
        <v>0.2275</v>
      </c>
      <c r="AR107" s="166" t="n">
        <f aca="false">0.8*AQ107</f>
        <v>0.182</v>
      </c>
      <c r="AS107" s="166" t="n">
        <f aca="false">1.2*AQ107</f>
        <v>0.273</v>
      </c>
      <c r="AT107" s="169" t="n">
        <f aca="false">IF(G107&lt;110,17.94063*(LN(G107/100))+6.727568*(LN(G107/100)^2)+15.06494,(-4.1*G107+2135)/100)*0.5</f>
        <v>1.58278405940532</v>
      </c>
      <c r="AU107" s="169" t="n">
        <f aca="false">(0.75*AT107-AT107)</f>
        <v>-0.395696014851329</v>
      </c>
      <c r="AV107" s="166" t="n">
        <f aca="false">AT107/0.5*1.25-AT107</f>
        <v>2.37417608910797</v>
      </c>
      <c r="AW107" s="168" t="n">
        <f aca="false">IF(L107&lt;15,(15*L107+375)/100,(-4.71*L107+670.65)/100)*0.5</f>
        <v>2.6703</v>
      </c>
      <c r="AX107" s="166" t="n">
        <f aca="false">0.75*AW107-AW107</f>
        <v>-0.667575</v>
      </c>
      <c r="AY107" s="166" t="n">
        <f aca="false">AW107/0.5*1.25-AW107</f>
        <v>4.00545</v>
      </c>
      <c r="AZ107" s="167" t="n">
        <v>0.5</v>
      </c>
      <c r="BA107" s="74"/>
      <c r="BC107" s="222" t="n">
        <v>7</v>
      </c>
      <c r="BD107" s="223" t="n">
        <v>0.035</v>
      </c>
      <c r="BF107" s="224"/>
      <c r="BQ107" s="108" t="n">
        <v>36907.7428240741</v>
      </c>
      <c r="BR107" s="109" t="n">
        <v>36907.743287037</v>
      </c>
      <c r="BS107" s="110" t="n">
        <v>39083</v>
      </c>
      <c r="BT107" s="111" t="n">
        <v>135159.171875</v>
      </c>
      <c r="BU107" s="112" t="n">
        <v>95225.78125</v>
      </c>
      <c r="BV107" s="112" t="n">
        <v>24574.39453125</v>
      </c>
      <c r="BW107" s="112" t="n">
        <v>30717.9921875</v>
      </c>
      <c r="BX107" s="113" t="n">
        <v>0</v>
      </c>
      <c r="BZ107" s="110" t="n">
        <v>39142</v>
      </c>
      <c r="CA107" s="185" t="n">
        <v>29</v>
      </c>
      <c r="CB107" s="116" t="n">
        <v>29</v>
      </c>
      <c r="CC107" s="181" t="n">
        <v>29</v>
      </c>
      <c r="CD107" s="181" t="n">
        <v>29</v>
      </c>
      <c r="CE107" s="117" t="n">
        <v>1</v>
      </c>
      <c r="CG107" s="135" t="n">
        <f aca="false">BB20</f>
        <v>2011</v>
      </c>
      <c r="CH107" s="136" t="n">
        <v>0</v>
      </c>
      <c r="CI107" s="137" t="n">
        <v>0</v>
      </c>
      <c r="CJ107" s="137" t="n">
        <v>0</v>
      </c>
      <c r="CK107" s="137" t="n">
        <v>0</v>
      </c>
      <c r="CL107" s="137" t="n">
        <v>0</v>
      </c>
      <c r="CM107" s="137" t="n">
        <v>0</v>
      </c>
      <c r="CN107" s="137" t="n">
        <v>0</v>
      </c>
      <c r="CO107" s="137" t="n">
        <v>0</v>
      </c>
      <c r="CP107" s="137" t="n">
        <v>0</v>
      </c>
      <c r="CQ107" s="137" t="n">
        <v>0</v>
      </c>
      <c r="CR107" s="137" t="n">
        <v>0</v>
      </c>
      <c r="CS107" s="138" t="n">
        <v>0</v>
      </c>
      <c r="CU107" s="135" t="n">
        <f aca="false">BB20</f>
        <v>2011</v>
      </c>
      <c r="CV107" s="136" t="n">
        <v>0</v>
      </c>
      <c r="CW107" s="137" t="n">
        <v>0</v>
      </c>
      <c r="CX107" s="137" t="n">
        <v>0</v>
      </c>
      <c r="CY107" s="137" t="n">
        <v>0</v>
      </c>
      <c r="CZ107" s="137" t="n">
        <v>0</v>
      </c>
      <c r="DA107" s="137" t="n">
        <v>0</v>
      </c>
      <c r="DB107" s="137" t="n">
        <v>0</v>
      </c>
      <c r="DC107" s="137" t="n">
        <v>0</v>
      </c>
      <c r="DD107" s="137" t="n">
        <v>0</v>
      </c>
      <c r="DE107" s="137" t="n">
        <v>0</v>
      </c>
      <c r="DF107" s="137" t="n">
        <v>0</v>
      </c>
      <c r="DG107" s="138" t="n">
        <v>0</v>
      </c>
      <c r="DI107" s="135" t="n">
        <f aca="false">BB20</f>
        <v>2011</v>
      </c>
      <c r="DJ107" s="136" t="n">
        <v>0</v>
      </c>
      <c r="DK107" s="137" t="n">
        <v>0</v>
      </c>
      <c r="DL107" s="137" t="n">
        <v>0</v>
      </c>
      <c r="DM107" s="137" t="n">
        <v>0</v>
      </c>
      <c r="DN107" s="137" t="n">
        <v>0</v>
      </c>
      <c r="DO107" s="137" t="n">
        <v>0</v>
      </c>
      <c r="DP107" s="137" t="n">
        <v>0</v>
      </c>
      <c r="DQ107" s="137" t="n">
        <v>0</v>
      </c>
      <c r="DR107" s="137" t="n">
        <v>0</v>
      </c>
      <c r="DS107" s="137" t="n">
        <v>0</v>
      </c>
      <c r="DT107" s="137" t="n">
        <v>0</v>
      </c>
      <c r="DU107" s="138" t="n">
        <v>0</v>
      </c>
    </row>
    <row r="108" customFormat="false" ht="12.75" hidden="false" customHeight="false" outlineLevel="0" collapsed="false">
      <c r="A108" s="0" t="n">
        <f aca="true">IF(ISERROR(MATCH(D108,iRefDt,0)),"",MATCH(D108,iRefDt,0))</f>
        <v>108</v>
      </c>
      <c r="B108" s="92" t="n">
        <f aca="false">MATCH(YEAR(D108),iSpreads)</f>
        <v>7</v>
      </c>
      <c r="C108" s="0" t="n">
        <f aca="false">MONTH(D108)</f>
        <v>4</v>
      </c>
      <c r="D108" s="93" t="n">
        <f aca="false">DATE(YEAR(D107),MONTH(D107)+1,1)</f>
        <v>39173</v>
      </c>
      <c r="E108" s="94" t="n">
        <f aca="false">VLOOKUP($D108,tblPriorPrice,2)</f>
        <v>28</v>
      </c>
      <c r="F108" s="190" t="n">
        <f aca="false">G108-E108</f>
        <v>0</v>
      </c>
      <c r="G108" s="190" t="n">
        <f aca="true">G96+OFFSET($CG$4,$B108,$C108)</f>
        <v>28</v>
      </c>
      <c r="H108" s="96" t="n">
        <f aca="true">G108+OFFSET($CU$4,$B108,$C108)</f>
        <v>23</v>
      </c>
      <c r="I108" s="96" t="n">
        <f aca="true">G108+OFFSET($DI$4,$B108,$C108)</f>
        <v>49</v>
      </c>
      <c r="J108" s="94" t="n">
        <f aca="false">VLOOKUP($D108,tblPriorPrice,3)</f>
        <v>28</v>
      </c>
      <c r="K108" s="190" t="n">
        <f aca="false">L108-J108</f>
        <v>0</v>
      </c>
      <c r="L108" s="190" t="n">
        <f aca="true">L96+OFFSET($CG$27,$B108,$C108)</f>
        <v>28</v>
      </c>
      <c r="M108" s="96" t="n">
        <f aca="true">$L108+OFFSET($CU$27,$B108,$C108)</f>
        <v>23</v>
      </c>
      <c r="N108" s="97" t="n">
        <f aca="true">$L108+OFFSET($DI$27,$B108,$C108)</f>
        <v>39</v>
      </c>
      <c r="O108" s="59" t="n">
        <f aca="true">IF($A108="",0,INDEX(tblPosn,$A108,2))</f>
        <v>127093.90625</v>
      </c>
      <c r="P108" s="59" t="n">
        <f aca="true">IF($A108="",0,INDEX(tblPosn,$A108,3))</f>
        <v>90403.109375</v>
      </c>
      <c r="Q108" s="59" t="n">
        <f aca="true">IF($A108="",0,INDEX(tblPosn,$A108,4))</f>
        <v>24208.36328125</v>
      </c>
      <c r="R108" s="59" t="n">
        <f aca="true">IF($A108="",0,INDEX(tblPosn,$A108,5))</f>
        <v>30260.453125</v>
      </c>
      <c r="S108" s="59" t="n">
        <f aca="true">IF($A108="",0,INDEX(tblPosn,$A108,6))</f>
        <v>0</v>
      </c>
      <c r="T108" s="98" t="n">
        <f aca="false">O108*F108+P108*K108+R108*AC108+S108*AH108/0.72+Q108*X108</f>
        <v>0</v>
      </c>
      <c r="V108" s="161" t="n">
        <f aca="false">D108</f>
        <v>39173</v>
      </c>
      <c r="W108" s="94" t="n">
        <f aca="false">VLOOKUP($D108,tblPriorPrice,4)</f>
        <v>28</v>
      </c>
      <c r="X108" s="95" t="n">
        <f aca="false">Y108-W108</f>
        <v>0</v>
      </c>
      <c r="Y108" s="191" t="n">
        <f aca="true">Y96+OFFSET($CG$50,$B108,$C108)</f>
        <v>28</v>
      </c>
      <c r="Z108" s="96" t="n">
        <f aca="true">Y108+OFFSET($CU$51,$B108,$C108)</f>
        <v>23</v>
      </c>
      <c r="AA108" s="177" t="n">
        <f aca="true">Y108+OFFSET($DI$51,$B108,$C108)</f>
        <v>50</v>
      </c>
      <c r="AB108" s="94" t="n">
        <f aca="false">VLOOKUP($D108,tblPriorPrice,5)</f>
        <v>28</v>
      </c>
      <c r="AC108" s="190" t="n">
        <f aca="false">AD108-AB108</f>
        <v>0</v>
      </c>
      <c r="AD108" s="191" t="n">
        <f aca="true">AD96+OFFSET($CG$73,$B108,$C108)</f>
        <v>28</v>
      </c>
      <c r="AE108" s="96" t="n">
        <f aca="true">AD108+OFFSET($CU$74,$B108,$C108)</f>
        <v>23</v>
      </c>
      <c r="AF108" s="177" t="n">
        <f aca="true">AD108+OFFSET($DI$74,$B108,$C108)</f>
        <v>50</v>
      </c>
      <c r="AG108" s="94" t="n">
        <f aca="false">VLOOKUP($D108,tblPriorPrice,6)</f>
        <v>1</v>
      </c>
      <c r="AH108" s="190" t="n">
        <f aca="false">AI108-AG108</f>
        <v>0</v>
      </c>
      <c r="AI108" s="191" t="n">
        <f aca="true">AI96+OFFSET($CG$96,$B108,$C108)</f>
        <v>1</v>
      </c>
      <c r="AJ108" s="96" t="n">
        <f aca="true">AI108+OFFSET($CU$96,$B108,$C108)</f>
        <v>1</v>
      </c>
      <c r="AK108" s="97" t="n">
        <f aca="true">AI108+OFFSET($DI$96,$B108,$C108)</f>
        <v>1</v>
      </c>
      <c r="AL108" s="178" t="n">
        <v>26</v>
      </c>
      <c r="AM108" s="165" t="n">
        <v>0.4</v>
      </c>
      <c r="AN108" s="167" t="n">
        <f aca="false">'[3]Pricing Summary'!$AM86</f>
        <v>0.2275</v>
      </c>
      <c r="AO108" s="167" t="n">
        <f aca="false">0.9*AN108</f>
        <v>0.20475</v>
      </c>
      <c r="AP108" s="166" t="n">
        <f aca="false">1.5*AN108</f>
        <v>0.34125</v>
      </c>
      <c r="AQ108" s="167" t="n">
        <f aca="false">AN108</f>
        <v>0.2275</v>
      </c>
      <c r="AR108" s="166" t="n">
        <f aca="false">0.8*AQ108</f>
        <v>0.182</v>
      </c>
      <c r="AS108" s="166" t="n">
        <f aca="false">1.2*AQ108</f>
        <v>0.273</v>
      </c>
      <c r="AT108" s="169" t="n">
        <f aca="false">IF(G108&lt;110,17.94063*(LN(G108/100))+6.727568*(LN(G108/100)^2)+15.06494,(-4.1*G108+2135)/100)*0.5</f>
        <v>1.56438247047004</v>
      </c>
      <c r="AU108" s="169" t="n">
        <f aca="false">(0.75*AT108-AT108)</f>
        <v>-0.39109561761751</v>
      </c>
      <c r="AV108" s="166" t="n">
        <f aca="false">AT108/0.5*1.25-AT108</f>
        <v>2.34657370570506</v>
      </c>
      <c r="AW108" s="168" t="n">
        <f aca="false">IF(L108&lt;15,(15*L108+375)/100,(-4.71*L108+670.65)/100)*0.5</f>
        <v>2.69385</v>
      </c>
      <c r="AX108" s="166" t="n">
        <f aca="false">0.75*AW108-AW108</f>
        <v>-0.6734625</v>
      </c>
      <c r="AY108" s="166" t="n">
        <f aca="false">AW108/0.5*1.25-AW108</f>
        <v>4.040775</v>
      </c>
      <c r="AZ108" s="167" t="n">
        <v>0.5</v>
      </c>
      <c r="BA108" s="74"/>
      <c r="BC108" s="222" t="n">
        <v>8</v>
      </c>
      <c r="BD108" s="223" t="n">
        <v>0.04</v>
      </c>
      <c r="BF108" s="224"/>
      <c r="BQ108" s="108" t="n">
        <v>36907.7428240741</v>
      </c>
      <c r="BR108" s="109" t="n">
        <v>36907.743287037</v>
      </c>
      <c r="BS108" s="110" t="n">
        <v>39114</v>
      </c>
      <c r="BT108" s="111" t="n">
        <v>122294.625</v>
      </c>
      <c r="BU108" s="112" t="n">
        <v>85606.234375</v>
      </c>
      <c r="BV108" s="112" t="n">
        <v>24458.92578125</v>
      </c>
      <c r="BW108" s="112" t="n">
        <v>24458.92578125</v>
      </c>
      <c r="BX108" s="113" t="n">
        <v>0</v>
      </c>
      <c r="BZ108" s="110" t="n">
        <v>39173</v>
      </c>
      <c r="CA108" s="185" t="n">
        <v>28</v>
      </c>
      <c r="CB108" s="116" t="n">
        <v>28</v>
      </c>
      <c r="CC108" s="181" t="n">
        <v>28</v>
      </c>
      <c r="CD108" s="181" t="n">
        <v>28</v>
      </c>
      <c r="CE108" s="117" t="n">
        <v>1</v>
      </c>
      <c r="CG108" s="135" t="n">
        <f aca="false">BB21</f>
        <v>2012</v>
      </c>
      <c r="CH108" s="136" t="n">
        <v>0</v>
      </c>
      <c r="CI108" s="137" t="n">
        <v>0</v>
      </c>
      <c r="CJ108" s="137" t="n">
        <v>0</v>
      </c>
      <c r="CK108" s="137" t="n">
        <v>0</v>
      </c>
      <c r="CL108" s="137" t="n">
        <v>0</v>
      </c>
      <c r="CM108" s="137" t="n">
        <v>0</v>
      </c>
      <c r="CN108" s="137" t="n">
        <v>0</v>
      </c>
      <c r="CO108" s="137" t="n">
        <v>0</v>
      </c>
      <c r="CP108" s="137" t="n">
        <v>0</v>
      </c>
      <c r="CQ108" s="137" t="n">
        <v>0</v>
      </c>
      <c r="CR108" s="137" t="n">
        <v>0</v>
      </c>
      <c r="CS108" s="138" t="n">
        <v>0</v>
      </c>
      <c r="CU108" s="135" t="n">
        <f aca="false">BB21</f>
        <v>2012</v>
      </c>
      <c r="CV108" s="136" t="n">
        <v>0</v>
      </c>
      <c r="CW108" s="137" t="n">
        <v>0</v>
      </c>
      <c r="CX108" s="137" t="n">
        <v>0</v>
      </c>
      <c r="CY108" s="137" t="n">
        <v>0</v>
      </c>
      <c r="CZ108" s="137" t="n">
        <v>0</v>
      </c>
      <c r="DA108" s="137" t="n">
        <v>0</v>
      </c>
      <c r="DB108" s="137" t="n">
        <v>0</v>
      </c>
      <c r="DC108" s="137" t="n">
        <v>0</v>
      </c>
      <c r="DD108" s="137" t="n">
        <v>0</v>
      </c>
      <c r="DE108" s="137" t="n">
        <v>0</v>
      </c>
      <c r="DF108" s="137" t="n">
        <v>0</v>
      </c>
      <c r="DG108" s="138" t="n">
        <v>0</v>
      </c>
      <c r="DI108" s="135" t="n">
        <f aca="false">BB21</f>
        <v>2012</v>
      </c>
      <c r="DJ108" s="136" t="n">
        <v>0</v>
      </c>
      <c r="DK108" s="137" t="n">
        <v>0</v>
      </c>
      <c r="DL108" s="137" t="n">
        <v>0</v>
      </c>
      <c r="DM108" s="137" t="n">
        <v>0</v>
      </c>
      <c r="DN108" s="137" t="n">
        <v>0</v>
      </c>
      <c r="DO108" s="137" t="n">
        <v>0</v>
      </c>
      <c r="DP108" s="137" t="n">
        <v>0</v>
      </c>
      <c r="DQ108" s="137" t="n">
        <v>0</v>
      </c>
      <c r="DR108" s="137" t="n">
        <v>0</v>
      </c>
      <c r="DS108" s="137" t="n">
        <v>0</v>
      </c>
      <c r="DT108" s="137" t="n">
        <v>0</v>
      </c>
      <c r="DU108" s="138" t="n">
        <v>0</v>
      </c>
    </row>
    <row r="109" customFormat="false" ht="12.75" hidden="false" customHeight="false" outlineLevel="0" collapsed="false">
      <c r="A109" s="0" t="n">
        <f aca="true">IF(ISERROR(MATCH(D109,iRefDt,0)),"",MATCH(D109,iRefDt,0))</f>
        <v>109</v>
      </c>
      <c r="B109" s="92" t="n">
        <f aca="false">MATCH(YEAR(D109),iSpreads)</f>
        <v>7</v>
      </c>
      <c r="C109" s="0" t="n">
        <f aca="false">MONTH(D109)</f>
        <v>5</v>
      </c>
      <c r="D109" s="93" t="n">
        <f aca="false">DATE(YEAR(D108),MONTH(D108)+1,1)</f>
        <v>39203</v>
      </c>
      <c r="E109" s="94" t="n">
        <f aca="false">VLOOKUP($D109,tblPriorPrice,2)</f>
        <v>31</v>
      </c>
      <c r="F109" s="190" t="n">
        <f aca="false">G109-E109</f>
        <v>0</v>
      </c>
      <c r="G109" s="190" t="n">
        <f aca="true">G97+OFFSET($CG$4,$B109,$C109)</f>
        <v>31</v>
      </c>
      <c r="H109" s="96" t="n">
        <f aca="true">G109+OFFSET($CU$4,$B109,$C109)</f>
        <v>26</v>
      </c>
      <c r="I109" s="96" t="n">
        <f aca="true">G109+OFFSET($DI$4,$B109,$C109)</f>
        <v>52</v>
      </c>
      <c r="J109" s="94" t="n">
        <f aca="false">VLOOKUP($D109,tblPriorPrice,3)</f>
        <v>31</v>
      </c>
      <c r="K109" s="190" t="n">
        <f aca="false">L109-J109</f>
        <v>0</v>
      </c>
      <c r="L109" s="190" t="n">
        <f aca="true">L97+OFFSET($CG$27,$B109,$C109)</f>
        <v>31</v>
      </c>
      <c r="M109" s="96" t="n">
        <f aca="true">$L109+OFFSET($CU$27,$B109,$C109)</f>
        <v>26</v>
      </c>
      <c r="N109" s="97" t="n">
        <f aca="true">$L109+OFFSET($DI$27,$B109,$C109)</f>
        <v>42</v>
      </c>
      <c r="O109" s="59" t="n">
        <f aca="true">IF($A109="",0,INDEX(tblPosn,$A109,2))</f>
        <v>132448.546875</v>
      </c>
      <c r="P109" s="59" t="n">
        <f aca="true">IF($A109="",0,INDEX(tblPosn,$A109,3))</f>
        <v>93316.015625</v>
      </c>
      <c r="Q109" s="59" t="n">
        <f aca="true">IF($A109="",0,INDEX(tblPosn,$A109,4))</f>
        <v>24081.552734375</v>
      </c>
      <c r="R109" s="59" t="n">
        <f aca="true">IF($A109="",0,INDEX(tblPosn,$A109,5))</f>
        <v>30101.94140625</v>
      </c>
      <c r="S109" s="59" t="n">
        <f aca="true">IF($A109="",0,INDEX(tblPosn,$A109,6))</f>
        <v>0</v>
      </c>
      <c r="T109" s="98" t="n">
        <f aca="false">O109*F109+P109*K109+R109*AC109+S109*AH109/0.72+Q109*X109</f>
        <v>0</v>
      </c>
      <c r="V109" s="161" t="n">
        <f aca="false">D109</f>
        <v>39203</v>
      </c>
      <c r="W109" s="94" t="n">
        <f aca="false">VLOOKUP($D109,tblPriorPrice,4)</f>
        <v>31</v>
      </c>
      <c r="X109" s="95" t="n">
        <f aca="false">Y109-W109</f>
        <v>0</v>
      </c>
      <c r="Y109" s="191" t="n">
        <f aca="true">Y97+OFFSET($CG$50,$B109,$C109)</f>
        <v>31</v>
      </c>
      <c r="Z109" s="96" t="n">
        <f aca="true">Y109+OFFSET($CU$51,$B109,$C109)</f>
        <v>26</v>
      </c>
      <c r="AA109" s="177" t="n">
        <f aca="true">Y109+OFFSET($DI$51,$B109,$C109)</f>
        <v>53</v>
      </c>
      <c r="AB109" s="94" t="n">
        <f aca="false">VLOOKUP($D109,tblPriorPrice,5)</f>
        <v>31</v>
      </c>
      <c r="AC109" s="190" t="n">
        <f aca="false">AD109-AB109</f>
        <v>0</v>
      </c>
      <c r="AD109" s="191" t="n">
        <f aca="true">AD97+OFFSET($CG$73,$B109,$C109)</f>
        <v>31</v>
      </c>
      <c r="AE109" s="96" t="n">
        <f aca="true">AD109+OFFSET($CU$74,$B109,$C109)</f>
        <v>26</v>
      </c>
      <c r="AF109" s="177" t="n">
        <f aca="true">AD109+OFFSET($DI$74,$B109,$C109)</f>
        <v>53</v>
      </c>
      <c r="AG109" s="94" t="n">
        <f aca="false">VLOOKUP($D109,tblPriorPrice,6)</f>
        <v>1</v>
      </c>
      <c r="AH109" s="190" t="n">
        <f aca="false">AI109-AG109</f>
        <v>0</v>
      </c>
      <c r="AI109" s="191" t="n">
        <f aca="true">AI97+OFFSET($CG$96,$B109,$C109)</f>
        <v>1</v>
      </c>
      <c r="AJ109" s="96" t="n">
        <f aca="true">AI109+OFFSET($CU$96,$B109,$C109)</f>
        <v>1</v>
      </c>
      <c r="AK109" s="97" t="n">
        <f aca="true">AI109+OFFSET($DI$96,$B109,$C109)</f>
        <v>1</v>
      </c>
      <c r="AL109" s="178" t="n">
        <v>26</v>
      </c>
      <c r="AM109" s="165" t="n">
        <v>0.4</v>
      </c>
      <c r="AN109" s="167" t="n">
        <f aca="false">'[3]Pricing Summary'!$AM87</f>
        <v>0.2275</v>
      </c>
      <c r="AO109" s="167" t="n">
        <f aca="false">0.9*AN109</f>
        <v>0.20475</v>
      </c>
      <c r="AP109" s="166" t="n">
        <f aca="false">1.5*AN109</f>
        <v>0.34125</v>
      </c>
      <c r="AQ109" s="167" t="n">
        <f aca="false">AN109</f>
        <v>0.2275</v>
      </c>
      <c r="AR109" s="166" t="n">
        <f aca="false">0.8*AQ109</f>
        <v>0.182</v>
      </c>
      <c r="AS109" s="166" t="n">
        <f aca="false">1.2*AQ109</f>
        <v>0.273</v>
      </c>
      <c r="AT109" s="169" t="n">
        <f aca="false">IF(G109&lt;110,17.94063*(LN(G109/100))+6.727568*(LN(G109/100)^2)+15.06494,(-4.1*G109+2135)/100)*0.5</f>
        <v>1.64058990686036</v>
      </c>
      <c r="AU109" s="169" t="n">
        <f aca="false">(0.75*AT109-AT109)</f>
        <v>-0.410147476715089</v>
      </c>
      <c r="AV109" s="166" t="n">
        <f aca="false">AT109/0.5*1.25-AT109</f>
        <v>2.46088486029054</v>
      </c>
      <c r="AW109" s="168" t="n">
        <f aca="false">IF(L109&lt;15,(15*L109+375)/100,(-4.71*L109+670.65)/100)*0.5</f>
        <v>2.6232</v>
      </c>
      <c r="AX109" s="166" t="n">
        <f aca="false">0.75*AW109-AW109</f>
        <v>-0.6558</v>
      </c>
      <c r="AY109" s="166" t="n">
        <f aca="false">AW109/0.5*1.25-AW109</f>
        <v>3.9348</v>
      </c>
      <c r="AZ109" s="167" t="n">
        <v>0.5</v>
      </c>
      <c r="BA109" s="74"/>
      <c r="BC109" s="222" t="n">
        <v>9</v>
      </c>
      <c r="BD109" s="223" t="n">
        <v>0.05</v>
      </c>
      <c r="BF109" s="226"/>
      <c r="BQ109" s="108" t="n">
        <v>36907.7428240741</v>
      </c>
      <c r="BR109" s="109" t="n">
        <v>36907.743287037</v>
      </c>
      <c r="BS109" s="110" t="n">
        <v>39142</v>
      </c>
      <c r="BT109" s="111" t="n">
        <v>133819.953125</v>
      </c>
      <c r="BU109" s="112" t="n">
        <v>94282.2421875</v>
      </c>
      <c r="BV109" s="112" t="n">
        <v>30413.626953125</v>
      </c>
      <c r="BW109" s="112" t="n">
        <v>24330.900390625</v>
      </c>
      <c r="BX109" s="113" t="n">
        <v>0</v>
      </c>
      <c r="BZ109" s="110" t="n">
        <v>39203</v>
      </c>
      <c r="CA109" s="185" t="n">
        <v>31</v>
      </c>
      <c r="CB109" s="116" t="n">
        <v>31</v>
      </c>
      <c r="CC109" s="181" t="n">
        <v>31</v>
      </c>
      <c r="CD109" s="181" t="n">
        <v>31</v>
      </c>
      <c r="CE109" s="117" t="n">
        <v>1</v>
      </c>
      <c r="CG109" s="135" t="n">
        <f aca="false">BB22</f>
        <v>2013</v>
      </c>
      <c r="CH109" s="136" t="n">
        <v>0</v>
      </c>
      <c r="CI109" s="137" t="n">
        <v>0</v>
      </c>
      <c r="CJ109" s="137" t="n">
        <v>0</v>
      </c>
      <c r="CK109" s="137" t="n">
        <v>0</v>
      </c>
      <c r="CL109" s="137" t="n">
        <v>0</v>
      </c>
      <c r="CM109" s="137" t="n">
        <v>0</v>
      </c>
      <c r="CN109" s="137" t="n">
        <v>0</v>
      </c>
      <c r="CO109" s="137" t="n">
        <v>0</v>
      </c>
      <c r="CP109" s="137" t="n">
        <v>0</v>
      </c>
      <c r="CQ109" s="137" t="n">
        <v>0</v>
      </c>
      <c r="CR109" s="137" t="n">
        <v>0</v>
      </c>
      <c r="CS109" s="138" t="n">
        <v>0</v>
      </c>
      <c r="CU109" s="135" t="n">
        <f aca="false">BB22</f>
        <v>2013</v>
      </c>
      <c r="CV109" s="136" t="n">
        <v>0</v>
      </c>
      <c r="CW109" s="137" t="n">
        <v>0</v>
      </c>
      <c r="CX109" s="137" t="n">
        <v>0</v>
      </c>
      <c r="CY109" s="137" t="n">
        <v>0</v>
      </c>
      <c r="CZ109" s="137" t="n">
        <v>0</v>
      </c>
      <c r="DA109" s="137" t="n">
        <v>0</v>
      </c>
      <c r="DB109" s="137" t="n">
        <v>0</v>
      </c>
      <c r="DC109" s="137" t="n">
        <v>0</v>
      </c>
      <c r="DD109" s="137" t="n">
        <v>0</v>
      </c>
      <c r="DE109" s="137" t="n">
        <v>0</v>
      </c>
      <c r="DF109" s="137" t="n">
        <v>0</v>
      </c>
      <c r="DG109" s="138" t="n">
        <v>0</v>
      </c>
      <c r="DI109" s="135" t="n">
        <f aca="false">BB22</f>
        <v>2013</v>
      </c>
      <c r="DJ109" s="136" t="n">
        <v>0</v>
      </c>
      <c r="DK109" s="137" t="n">
        <v>0</v>
      </c>
      <c r="DL109" s="137" t="n">
        <v>0</v>
      </c>
      <c r="DM109" s="137" t="n">
        <v>0</v>
      </c>
      <c r="DN109" s="137" t="n">
        <v>0</v>
      </c>
      <c r="DO109" s="137" t="n">
        <v>0</v>
      </c>
      <c r="DP109" s="137" t="n">
        <v>0</v>
      </c>
      <c r="DQ109" s="137" t="n">
        <v>0</v>
      </c>
      <c r="DR109" s="137" t="n">
        <v>0</v>
      </c>
      <c r="DS109" s="137" t="n">
        <v>0</v>
      </c>
      <c r="DT109" s="137" t="n">
        <v>0</v>
      </c>
      <c r="DU109" s="138" t="n">
        <v>0</v>
      </c>
    </row>
    <row r="110" customFormat="false" ht="12.75" hidden="false" customHeight="false" outlineLevel="0" collapsed="false">
      <c r="A110" s="0" t="n">
        <f aca="true">IF(ISERROR(MATCH(D110,iRefDt,0)),"",MATCH(D110,iRefDt,0))</f>
        <v>110</v>
      </c>
      <c r="B110" s="92" t="n">
        <f aca="false">MATCH(YEAR(D110),iSpreads)</f>
        <v>7</v>
      </c>
      <c r="C110" s="0" t="n">
        <f aca="false">MONTH(D110)</f>
        <v>6</v>
      </c>
      <c r="D110" s="93" t="n">
        <f aca="false">DATE(YEAR(D109),MONTH(D109)+1,1)</f>
        <v>39234</v>
      </c>
      <c r="E110" s="94" t="n">
        <f aca="false">VLOOKUP($D110,tblPriorPrice,2)</f>
        <v>37</v>
      </c>
      <c r="F110" s="190" t="n">
        <f aca="false">G110-E110</f>
        <v>0</v>
      </c>
      <c r="G110" s="190" t="n">
        <f aca="true">G98+OFFSET($CG$4,$B110,$C110)</f>
        <v>37</v>
      </c>
      <c r="H110" s="96" t="n">
        <f aca="true">G110+OFFSET($CU$4,$B110,$C110)</f>
        <v>32</v>
      </c>
      <c r="I110" s="96" t="n">
        <f aca="true">G110+OFFSET($DI$4,$B110,$C110)</f>
        <v>58</v>
      </c>
      <c r="J110" s="94" t="n">
        <f aca="false">VLOOKUP($D110,tblPriorPrice,3)</f>
        <v>37</v>
      </c>
      <c r="K110" s="190" t="n">
        <f aca="false">L110-J110</f>
        <v>0</v>
      </c>
      <c r="L110" s="190" t="n">
        <f aca="true">L98+OFFSET($CG$27,$B110,$C110)</f>
        <v>37</v>
      </c>
      <c r="M110" s="96" t="n">
        <f aca="true">$L110+OFFSET($CU$27,$B110,$C110)</f>
        <v>32</v>
      </c>
      <c r="N110" s="97" t="n">
        <f aca="true">$L110+OFFSET($DI$27,$B110,$C110)</f>
        <v>48</v>
      </c>
      <c r="O110" s="59" t="n">
        <f aca="true">IF($A110="",0,INDEX(tblPosn,$A110,2))</f>
        <v>125791.046875</v>
      </c>
      <c r="P110" s="59" t="n">
        <f aca="true">IF($A110="",0,INDEX(tblPosn,$A110,3))</f>
        <v>89850.75</v>
      </c>
      <c r="Q110" s="59" t="n">
        <f aca="true">IF($A110="",0,INDEX(tblPosn,$A110,4))</f>
        <v>29950.25</v>
      </c>
      <c r="R110" s="59" t="n">
        <f aca="true">IF($A110="",0,INDEX(tblPosn,$A110,5))</f>
        <v>23960.19921875</v>
      </c>
      <c r="S110" s="59" t="n">
        <f aca="true">IF($A110="",0,INDEX(tblPosn,$A110,6))</f>
        <v>0</v>
      </c>
      <c r="T110" s="98" t="n">
        <f aca="false">O110*F110+P110*K110+R110*AC110+S110*AH110/0.72+Q110*X110</f>
        <v>0</v>
      </c>
      <c r="V110" s="161" t="n">
        <f aca="false">D110</f>
        <v>39234</v>
      </c>
      <c r="W110" s="94" t="n">
        <f aca="false">VLOOKUP($D110,tblPriorPrice,4)</f>
        <v>37</v>
      </c>
      <c r="X110" s="95" t="n">
        <f aca="false">Y110-W110</f>
        <v>0</v>
      </c>
      <c r="Y110" s="191" t="n">
        <f aca="true">Y98+OFFSET($CG$50,$B110,$C110)</f>
        <v>37</v>
      </c>
      <c r="Z110" s="96" t="n">
        <f aca="true">Y110+OFFSET($CU$51,$B110,$C110)</f>
        <v>32</v>
      </c>
      <c r="AA110" s="177" t="n">
        <f aca="true">Y110+OFFSET($DI$51,$B110,$C110)</f>
        <v>59</v>
      </c>
      <c r="AB110" s="94" t="n">
        <f aca="false">VLOOKUP($D110,tblPriorPrice,5)</f>
        <v>37</v>
      </c>
      <c r="AC110" s="190" t="n">
        <f aca="false">AD110-AB110</f>
        <v>0</v>
      </c>
      <c r="AD110" s="191" t="n">
        <f aca="true">AD98+OFFSET($CG$73,$B110,$C110)</f>
        <v>37</v>
      </c>
      <c r="AE110" s="96" t="n">
        <f aca="true">AD110+OFFSET($CU$74,$B110,$C110)</f>
        <v>32</v>
      </c>
      <c r="AF110" s="177" t="n">
        <f aca="true">AD110+OFFSET($DI$74,$B110,$C110)</f>
        <v>59</v>
      </c>
      <c r="AG110" s="94" t="n">
        <f aca="false">VLOOKUP($D110,tblPriorPrice,6)</f>
        <v>1</v>
      </c>
      <c r="AH110" s="190" t="n">
        <f aca="false">AI110-AG110</f>
        <v>0</v>
      </c>
      <c r="AI110" s="191" t="n">
        <f aca="true">AI98+OFFSET($CG$96,$B110,$C110)</f>
        <v>1</v>
      </c>
      <c r="AJ110" s="96" t="n">
        <f aca="true">AI110+OFFSET($CU$96,$B110,$C110)</f>
        <v>1</v>
      </c>
      <c r="AK110" s="97" t="n">
        <f aca="true">AI110+OFFSET($DI$96,$B110,$C110)</f>
        <v>1</v>
      </c>
      <c r="AL110" s="178" t="n">
        <v>27</v>
      </c>
      <c r="AM110" s="165" t="n">
        <v>0.4</v>
      </c>
      <c r="AN110" s="167" t="n">
        <f aca="false">'[3]Pricing Summary'!$AM88</f>
        <v>0.2175</v>
      </c>
      <c r="AO110" s="167" t="n">
        <f aca="false">0.9*AN110</f>
        <v>0.19575</v>
      </c>
      <c r="AP110" s="166" t="n">
        <f aca="false">1.5*AN110</f>
        <v>0.32625</v>
      </c>
      <c r="AQ110" s="167" t="n">
        <f aca="false">AN110</f>
        <v>0.2175</v>
      </c>
      <c r="AR110" s="166" t="n">
        <f aca="false">0.8*AQ110</f>
        <v>0.174</v>
      </c>
      <c r="AS110" s="166" t="n">
        <f aca="false">1.2*AQ110</f>
        <v>0.261</v>
      </c>
      <c r="AT110" s="169" t="n">
        <f aca="false">IF(G110&lt;110,17.94063*(LN(G110/100))+6.727568*(LN(G110/100)^2)+15.06494,(-4.1*G110+2135)/100)*0.5</f>
        <v>1.93894082389981</v>
      </c>
      <c r="AU110" s="169" t="n">
        <f aca="false">(0.75*AT110-AT110)</f>
        <v>-0.484735205974953</v>
      </c>
      <c r="AV110" s="166" t="n">
        <f aca="false">AT110/0.5*1.25-AT110</f>
        <v>2.90841123584972</v>
      </c>
      <c r="AW110" s="168" t="n">
        <f aca="false">IF(L110&lt;15,(15*L110+375)/100,(-4.71*L110+670.65)/100)*0.5</f>
        <v>2.4819</v>
      </c>
      <c r="AX110" s="166" t="n">
        <f aca="false">0.75*AW110-AW110</f>
        <v>-0.620475</v>
      </c>
      <c r="AY110" s="166" t="n">
        <f aca="false">AW110/0.5*1.25-AW110</f>
        <v>3.72285</v>
      </c>
      <c r="AZ110" s="167" t="n">
        <v>0.5</v>
      </c>
      <c r="BA110" s="74"/>
      <c r="BC110" s="227" t="n">
        <v>10</v>
      </c>
      <c r="BD110" s="228" t="n">
        <v>0.06</v>
      </c>
      <c r="BQ110" s="108" t="n">
        <v>36907.7428240741</v>
      </c>
      <c r="BR110" s="109" t="n">
        <v>36907.743287037</v>
      </c>
      <c r="BS110" s="110" t="n">
        <v>39173</v>
      </c>
      <c r="BT110" s="111" t="n">
        <v>127093.90625</v>
      </c>
      <c r="BU110" s="112" t="n">
        <v>90403.109375</v>
      </c>
      <c r="BV110" s="112" t="n">
        <v>24208.36328125</v>
      </c>
      <c r="BW110" s="112" t="n">
        <v>30260.453125</v>
      </c>
      <c r="BX110" s="113" t="n">
        <v>0</v>
      </c>
      <c r="BZ110" s="110" t="n">
        <v>39234</v>
      </c>
      <c r="CA110" s="185" t="n">
        <v>37</v>
      </c>
      <c r="CB110" s="116" t="n">
        <v>37</v>
      </c>
      <c r="CC110" s="181" t="n">
        <v>37</v>
      </c>
      <c r="CD110" s="181" t="n">
        <v>37</v>
      </c>
      <c r="CE110" s="117" t="n">
        <v>1</v>
      </c>
      <c r="CG110" s="135" t="n">
        <f aca="false">BB23</f>
        <v>2014</v>
      </c>
      <c r="CH110" s="136" t="n">
        <v>0</v>
      </c>
      <c r="CI110" s="137" t="n">
        <v>0</v>
      </c>
      <c r="CJ110" s="137" t="n">
        <v>0</v>
      </c>
      <c r="CK110" s="137" t="n">
        <v>0</v>
      </c>
      <c r="CL110" s="137" t="n">
        <v>0</v>
      </c>
      <c r="CM110" s="137" t="n">
        <v>0</v>
      </c>
      <c r="CN110" s="137" t="n">
        <v>0</v>
      </c>
      <c r="CO110" s="137" t="n">
        <v>0</v>
      </c>
      <c r="CP110" s="137" t="n">
        <v>0</v>
      </c>
      <c r="CQ110" s="137" t="n">
        <v>0</v>
      </c>
      <c r="CR110" s="137" t="n">
        <v>0</v>
      </c>
      <c r="CS110" s="138" t="n">
        <v>0</v>
      </c>
      <c r="CU110" s="135" t="n">
        <f aca="false">BB23</f>
        <v>2014</v>
      </c>
      <c r="CV110" s="136" t="n">
        <v>0</v>
      </c>
      <c r="CW110" s="137" t="n">
        <v>0</v>
      </c>
      <c r="CX110" s="137" t="n">
        <v>0</v>
      </c>
      <c r="CY110" s="137" t="n">
        <v>0</v>
      </c>
      <c r="CZ110" s="137" t="n">
        <v>0</v>
      </c>
      <c r="DA110" s="137" t="n">
        <v>0</v>
      </c>
      <c r="DB110" s="137" t="n">
        <v>0</v>
      </c>
      <c r="DC110" s="137" t="n">
        <v>0</v>
      </c>
      <c r="DD110" s="137" t="n">
        <v>0</v>
      </c>
      <c r="DE110" s="137" t="n">
        <v>0</v>
      </c>
      <c r="DF110" s="137" t="n">
        <v>0</v>
      </c>
      <c r="DG110" s="138" t="n">
        <v>0</v>
      </c>
      <c r="DI110" s="135" t="n">
        <f aca="false">BB23</f>
        <v>2014</v>
      </c>
      <c r="DJ110" s="136" t="n">
        <v>0</v>
      </c>
      <c r="DK110" s="137" t="n">
        <v>0</v>
      </c>
      <c r="DL110" s="137" t="n">
        <v>0</v>
      </c>
      <c r="DM110" s="137" t="n">
        <v>0</v>
      </c>
      <c r="DN110" s="137" t="n">
        <v>0</v>
      </c>
      <c r="DO110" s="137" t="n">
        <v>0</v>
      </c>
      <c r="DP110" s="137" t="n">
        <v>0</v>
      </c>
      <c r="DQ110" s="137" t="n">
        <v>0</v>
      </c>
      <c r="DR110" s="137" t="n">
        <v>0</v>
      </c>
      <c r="DS110" s="137" t="n">
        <v>0</v>
      </c>
      <c r="DT110" s="137" t="n">
        <v>0</v>
      </c>
      <c r="DU110" s="138" t="n">
        <v>0</v>
      </c>
    </row>
    <row r="111" customFormat="false" ht="12.75" hidden="false" customHeight="false" outlineLevel="0" collapsed="false">
      <c r="A111" s="0" t="n">
        <f aca="true">IF(ISERROR(MATCH(D111,iRefDt,0)),"",MATCH(D111,iRefDt,0))</f>
        <v>111</v>
      </c>
      <c r="B111" s="92" t="n">
        <f aca="false">MATCH(YEAR(D111),iSpreads)</f>
        <v>7</v>
      </c>
      <c r="C111" s="0" t="n">
        <f aca="false">MONTH(D111)</f>
        <v>7</v>
      </c>
      <c r="D111" s="93" t="n">
        <f aca="false">DATE(YEAR(D110),MONTH(D110)+1,1)</f>
        <v>39264</v>
      </c>
      <c r="E111" s="94" t="n">
        <f aca="false">VLOOKUP($D111,tblPriorPrice,2)</f>
        <v>37</v>
      </c>
      <c r="F111" s="190" t="n">
        <f aca="false">G111-E111</f>
        <v>0</v>
      </c>
      <c r="G111" s="190" t="n">
        <f aca="true">G99+OFFSET($CG$4,$B111,$C111)</f>
        <v>37</v>
      </c>
      <c r="H111" s="96" t="n">
        <f aca="true">G111+OFFSET($CU$4,$B111,$C111)</f>
        <v>32</v>
      </c>
      <c r="I111" s="96" t="n">
        <f aca="true">G111+OFFSET($DI$4,$B111,$C111)</f>
        <v>58</v>
      </c>
      <c r="J111" s="94" t="n">
        <f aca="false">VLOOKUP($D111,tblPriorPrice,3)</f>
        <v>37</v>
      </c>
      <c r="K111" s="190" t="n">
        <f aca="false">L111-J111</f>
        <v>0</v>
      </c>
      <c r="L111" s="190" t="n">
        <f aca="true">L99+OFFSET($CG$27,$B111,$C111)</f>
        <v>37</v>
      </c>
      <c r="M111" s="96" t="n">
        <f aca="true">$L111+OFFSET($CU$27,$B111,$C111)</f>
        <v>32</v>
      </c>
      <c r="N111" s="97" t="n">
        <f aca="true">$L111+OFFSET($DI$27,$B111,$C111)</f>
        <v>48</v>
      </c>
      <c r="O111" s="59" t="n">
        <f aca="true">IF($A111="",0,INDEX(tblPosn,$A111,2))</f>
        <v>125123.5859375</v>
      </c>
      <c r="P111" s="59" t="n">
        <f aca="true">IF($A111="",0,INDEX(tblPosn,$A111,3))</f>
        <v>92353.125</v>
      </c>
      <c r="Q111" s="59" t="n">
        <f aca="true">IF($A111="",0,INDEX(tblPosn,$A111,4))</f>
        <v>23833.064453125</v>
      </c>
      <c r="R111" s="59" t="n">
        <f aca="true">IF($A111="",0,INDEX(tblPosn,$A111,5))</f>
        <v>35749.59375</v>
      </c>
      <c r="S111" s="59" t="n">
        <f aca="true">IF($A111="",0,INDEX(tblPosn,$A111,6))</f>
        <v>0</v>
      </c>
      <c r="T111" s="98" t="n">
        <f aca="false">O111*F111+P111*K111+R111*AC111+S111*AH111/0.72+Q111*X111</f>
        <v>0</v>
      </c>
      <c r="V111" s="161" t="n">
        <f aca="false">D111</f>
        <v>39264</v>
      </c>
      <c r="W111" s="94" t="n">
        <f aca="false">VLOOKUP($D111,tblPriorPrice,4)</f>
        <v>37</v>
      </c>
      <c r="X111" s="95" t="n">
        <f aca="false">Y111-W111</f>
        <v>0</v>
      </c>
      <c r="Y111" s="191" t="n">
        <f aca="true">Y99+OFFSET($CG$50,$B111,$C111)</f>
        <v>37</v>
      </c>
      <c r="Z111" s="96" t="n">
        <f aca="true">Y111+OFFSET($CU$51,$B111,$C111)</f>
        <v>32</v>
      </c>
      <c r="AA111" s="177" t="n">
        <f aca="true">Y111+OFFSET($DI$51,$B111,$C111)</f>
        <v>59</v>
      </c>
      <c r="AB111" s="94" t="n">
        <f aca="false">VLOOKUP($D111,tblPriorPrice,5)</f>
        <v>37</v>
      </c>
      <c r="AC111" s="190" t="n">
        <f aca="false">AD111-AB111</f>
        <v>0</v>
      </c>
      <c r="AD111" s="191" t="n">
        <f aca="true">AD99+OFFSET($CG$73,$B111,$C111)</f>
        <v>37</v>
      </c>
      <c r="AE111" s="96" t="n">
        <f aca="true">AD111+OFFSET($CU$74,$B111,$C111)</f>
        <v>32</v>
      </c>
      <c r="AF111" s="177" t="n">
        <f aca="true">AD111+OFFSET($DI$74,$B111,$C111)</f>
        <v>59</v>
      </c>
      <c r="AG111" s="94" t="n">
        <f aca="false">VLOOKUP($D111,tblPriorPrice,6)</f>
        <v>1</v>
      </c>
      <c r="AH111" s="190" t="n">
        <f aca="false">AI111-AG111</f>
        <v>0</v>
      </c>
      <c r="AI111" s="191" t="n">
        <f aca="true">AI99+OFFSET($CG$96,$B111,$C111)</f>
        <v>1</v>
      </c>
      <c r="AJ111" s="96" t="n">
        <f aca="true">AI111+OFFSET($CU$96,$B111,$C111)</f>
        <v>1</v>
      </c>
      <c r="AK111" s="97" t="n">
        <f aca="true">AI111+OFFSET($DI$96,$B111,$C111)</f>
        <v>1</v>
      </c>
      <c r="AL111" s="178" t="n">
        <v>27</v>
      </c>
      <c r="AM111" s="165" t="n">
        <v>0.4</v>
      </c>
      <c r="AN111" s="167" t="n">
        <f aca="false">'[3]Pricing Summary'!$AM89</f>
        <v>0.2175</v>
      </c>
      <c r="AO111" s="167" t="n">
        <f aca="false">0.9*AN111</f>
        <v>0.19575</v>
      </c>
      <c r="AP111" s="166" t="n">
        <f aca="false">1.5*AN111</f>
        <v>0.32625</v>
      </c>
      <c r="AQ111" s="167" t="n">
        <f aca="false">AN111</f>
        <v>0.2175</v>
      </c>
      <c r="AR111" s="166" t="n">
        <f aca="false">0.8*AQ111</f>
        <v>0.174</v>
      </c>
      <c r="AS111" s="166" t="n">
        <f aca="false">1.2*AQ111</f>
        <v>0.261</v>
      </c>
      <c r="AT111" s="169" t="n">
        <f aca="false">IF(G111&lt;110,17.94063*(LN(G111/100))+6.727568*(LN(G111/100)^2)+15.06494,(-4.1*G111+2135)/100)*0.5</f>
        <v>1.93894082389981</v>
      </c>
      <c r="AU111" s="169" t="n">
        <f aca="false">(0.75*AT111-AT111)</f>
        <v>-0.484735205974953</v>
      </c>
      <c r="AV111" s="166" t="n">
        <f aca="false">AT111/0.5*1.25-AT111</f>
        <v>2.90841123584972</v>
      </c>
      <c r="AW111" s="168" t="n">
        <f aca="false">IF(L111&lt;15,(15*L111+375)/100,(-4.71*L111+670.65)/100)*0.5</f>
        <v>2.4819</v>
      </c>
      <c r="AX111" s="166" t="n">
        <f aca="false">0.75*AW111-AW111</f>
        <v>-0.620475</v>
      </c>
      <c r="AY111" s="166" t="n">
        <f aca="false">AW111/0.5*1.25-AW111</f>
        <v>3.72285</v>
      </c>
      <c r="AZ111" s="167" t="n">
        <v>0.5</v>
      </c>
      <c r="BA111" s="74"/>
      <c r="BQ111" s="108" t="n">
        <v>36907.7428240741</v>
      </c>
      <c r="BR111" s="109" t="n">
        <v>36907.743287037</v>
      </c>
      <c r="BS111" s="110" t="n">
        <v>39203</v>
      </c>
      <c r="BT111" s="111" t="n">
        <v>132448.546875</v>
      </c>
      <c r="BU111" s="112" t="n">
        <v>93316.015625</v>
      </c>
      <c r="BV111" s="112" t="n">
        <v>24081.552734375</v>
      </c>
      <c r="BW111" s="112" t="n">
        <v>30101.94140625</v>
      </c>
      <c r="BX111" s="113" t="n">
        <v>0</v>
      </c>
      <c r="BZ111" s="110" t="n">
        <v>39264</v>
      </c>
      <c r="CA111" s="185" t="n">
        <v>37</v>
      </c>
      <c r="CB111" s="116" t="n">
        <v>37</v>
      </c>
      <c r="CC111" s="181" t="n">
        <v>37</v>
      </c>
      <c r="CD111" s="181" t="n">
        <v>37</v>
      </c>
      <c r="CE111" s="117" t="n">
        <v>1</v>
      </c>
      <c r="CG111" s="135" t="n">
        <f aca="false">BB24</f>
        <v>2015</v>
      </c>
      <c r="CH111" s="136" t="n">
        <v>0</v>
      </c>
      <c r="CI111" s="137" t="n">
        <v>0</v>
      </c>
      <c r="CJ111" s="137" t="n">
        <v>0</v>
      </c>
      <c r="CK111" s="137" t="n">
        <v>0</v>
      </c>
      <c r="CL111" s="137" t="n">
        <v>0</v>
      </c>
      <c r="CM111" s="137" t="n">
        <v>0</v>
      </c>
      <c r="CN111" s="137" t="n">
        <v>0</v>
      </c>
      <c r="CO111" s="137" t="n">
        <v>0</v>
      </c>
      <c r="CP111" s="137" t="n">
        <v>0</v>
      </c>
      <c r="CQ111" s="137" t="n">
        <v>0</v>
      </c>
      <c r="CR111" s="137" t="n">
        <v>0</v>
      </c>
      <c r="CS111" s="138" t="n">
        <v>0</v>
      </c>
      <c r="CU111" s="135" t="n">
        <f aca="false">BB24</f>
        <v>2015</v>
      </c>
      <c r="CV111" s="136" t="n">
        <v>0</v>
      </c>
      <c r="CW111" s="137" t="n">
        <v>0</v>
      </c>
      <c r="CX111" s="137" t="n">
        <v>0</v>
      </c>
      <c r="CY111" s="137" t="n">
        <v>0</v>
      </c>
      <c r="CZ111" s="137" t="n">
        <v>0</v>
      </c>
      <c r="DA111" s="137" t="n">
        <v>0</v>
      </c>
      <c r="DB111" s="137" t="n">
        <v>0</v>
      </c>
      <c r="DC111" s="137" t="n">
        <v>0</v>
      </c>
      <c r="DD111" s="137" t="n">
        <v>0</v>
      </c>
      <c r="DE111" s="137" t="n">
        <v>0</v>
      </c>
      <c r="DF111" s="137" t="n">
        <v>0</v>
      </c>
      <c r="DG111" s="138" t="n">
        <v>0</v>
      </c>
      <c r="DI111" s="135" t="n">
        <f aca="false">BB24</f>
        <v>2015</v>
      </c>
      <c r="DJ111" s="136" t="n">
        <v>0</v>
      </c>
      <c r="DK111" s="137" t="n">
        <v>0</v>
      </c>
      <c r="DL111" s="137" t="n">
        <v>0</v>
      </c>
      <c r="DM111" s="137" t="n">
        <v>0</v>
      </c>
      <c r="DN111" s="137" t="n">
        <v>0</v>
      </c>
      <c r="DO111" s="137" t="n">
        <v>0</v>
      </c>
      <c r="DP111" s="137" t="n">
        <v>0</v>
      </c>
      <c r="DQ111" s="137" t="n">
        <v>0</v>
      </c>
      <c r="DR111" s="137" t="n">
        <v>0</v>
      </c>
      <c r="DS111" s="137" t="n">
        <v>0</v>
      </c>
      <c r="DT111" s="137" t="n">
        <v>0</v>
      </c>
      <c r="DU111" s="138" t="n">
        <v>0</v>
      </c>
    </row>
    <row r="112" customFormat="false" ht="12.75" hidden="false" customHeight="false" outlineLevel="0" collapsed="false">
      <c r="A112" s="0" t="n">
        <f aca="true">IF(ISERROR(MATCH(D112,iRefDt,0)),"",MATCH(D112,iRefDt,0))</f>
        <v>112</v>
      </c>
      <c r="B112" s="92" t="n">
        <f aca="false">MATCH(YEAR(D112),iSpreads)</f>
        <v>7</v>
      </c>
      <c r="C112" s="0" t="n">
        <f aca="false">MONTH(D112)</f>
        <v>8</v>
      </c>
      <c r="D112" s="93" t="n">
        <f aca="false">DATE(YEAR(D111),MONTH(D111)+1,1)</f>
        <v>39295</v>
      </c>
      <c r="E112" s="94" t="n">
        <f aca="false">VLOOKUP($D112,tblPriorPrice,2)</f>
        <v>39</v>
      </c>
      <c r="F112" s="190" t="n">
        <f aca="false">G112-E112</f>
        <v>0</v>
      </c>
      <c r="G112" s="190" t="n">
        <f aca="true">G100+OFFSET($CG$4,$B112,$C112)</f>
        <v>39</v>
      </c>
      <c r="H112" s="96" t="n">
        <f aca="true">G112+OFFSET($CU$4,$B112,$C112)</f>
        <v>34</v>
      </c>
      <c r="I112" s="96" t="n">
        <f aca="true">G112+OFFSET($DI$4,$B112,$C112)</f>
        <v>60</v>
      </c>
      <c r="J112" s="94" t="n">
        <f aca="false">VLOOKUP($D112,tblPriorPrice,3)</f>
        <v>39</v>
      </c>
      <c r="K112" s="190" t="n">
        <f aca="false">L112-J112</f>
        <v>0</v>
      </c>
      <c r="L112" s="190" t="n">
        <f aca="true">L100+OFFSET($CG$27,$B112,$C112)</f>
        <v>39</v>
      </c>
      <c r="M112" s="96" t="n">
        <f aca="true">$L112+OFFSET($CU$27,$B112,$C112)</f>
        <v>34</v>
      </c>
      <c r="N112" s="97" t="n">
        <f aca="true">$L112+OFFSET($DI$27,$B112,$C112)</f>
        <v>50</v>
      </c>
      <c r="O112" s="59" t="n">
        <f aca="true">IF($A112="",0,INDEX(tblPosn,$A112,2))</f>
        <v>136325.859375</v>
      </c>
      <c r="P112" s="59" t="n">
        <f aca="true">IF($A112="",0,INDEX(tblPosn,$A112,3))</f>
        <v>91871.78125</v>
      </c>
      <c r="Q112" s="59" t="n">
        <f aca="true">IF($A112="",0,INDEX(tblPosn,$A112,4))</f>
        <v>23708.845703125</v>
      </c>
      <c r="R112" s="59" t="n">
        <f aca="true">IF($A112="",0,INDEX(tblPosn,$A112,5))</f>
        <v>23708.845703125</v>
      </c>
      <c r="S112" s="59" t="n">
        <f aca="true">IF($A112="",0,INDEX(tblPosn,$A112,6))</f>
        <v>0</v>
      </c>
      <c r="T112" s="98" t="n">
        <f aca="false">O112*F112+P112*K112+R112*AC112+S112*AH112/0.72+Q112*X112</f>
        <v>0</v>
      </c>
      <c r="V112" s="161" t="n">
        <f aca="false">D112</f>
        <v>39295</v>
      </c>
      <c r="W112" s="94" t="n">
        <f aca="false">VLOOKUP($D112,tblPriorPrice,4)</f>
        <v>39</v>
      </c>
      <c r="X112" s="95" t="n">
        <f aca="false">Y112-W112</f>
        <v>0</v>
      </c>
      <c r="Y112" s="191" t="n">
        <f aca="true">Y100+OFFSET($CG$50,$B112,$C112)</f>
        <v>39</v>
      </c>
      <c r="Z112" s="96" t="n">
        <f aca="true">Y112+OFFSET($CU$51,$B112,$C112)</f>
        <v>34</v>
      </c>
      <c r="AA112" s="177" t="n">
        <f aca="true">Y112+OFFSET($DI$51,$B112,$C112)</f>
        <v>61</v>
      </c>
      <c r="AB112" s="94" t="n">
        <f aca="false">VLOOKUP($D112,tblPriorPrice,5)</f>
        <v>39</v>
      </c>
      <c r="AC112" s="190" t="n">
        <f aca="false">AD112-AB112</f>
        <v>0</v>
      </c>
      <c r="AD112" s="191" t="n">
        <f aca="true">AD100+OFFSET($CG$73,$B112,$C112)</f>
        <v>39</v>
      </c>
      <c r="AE112" s="96" t="n">
        <f aca="true">AD112+OFFSET($CU$74,$B112,$C112)</f>
        <v>34</v>
      </c>
      <c r="AF112" s="177" t="n">
        <f aca="true">AD112+OFFSET($DI$74,$B112,$C112)</f>
        <v>61</v>
      </c>
      <c r="AG112" s="94" t="n">
        <f aca="false">VLOOKUP($D112,tblPriorPrice,6)</f>
        <v>1</v>
      </c>
      <c r="AH112" s="190" t="n">
        <f aca="false">AI112-AG112</f>
        <v>0</v>
      </c>
      <c r="AI112" s="191" t="n">
        <f aca="true">AI100+OFFSET($CG$96,$B112,$C112)</f>
        <v>1</v>
      </c>
      <c r="AJ112" s="96" t="n">
        <f aca="true">AI112+OFFSET($CU$96,$B112,$C112)</f>
        <v>1</v>
      </c>
      <c r="AK112" s="97" t="n">
        <f aca="true">AI112+OFFSET($DI$96,$B112,$C112)</f>
        <v>1</v>
      </c>
      <c r="AL112" s="178" t="n">
        <v>27</v>
      </c>
      <c r="AM112" s="165" t="n">
        <v>0.4</v>
      </c>
      <c r="AN112" s="167" t="n">
        <f aca="false">'[3]Pricing Summary'!$AM90</f>
        <v>0.2175</v>
      </c>
      <c r="AO112" s="167" t="n">
        <f aca="false">0.9*AN112</f>
        <v>0.19575</v>
      </c>
      <c r="AP112" s="166" t="n">
        <f aca="false">1.5*AN112</f>
        <v>0.32625</v>
      </c>
      <c r="AQ112" s="167" t="n">
        <f aca="false">AN112</f>
        <v>0.2175</v>
      </c>
      <c r="AR112" s="166" t="n">
        <f aca="false">0.8*AQ112</f>
        <v>0.174</v>
      </c>
      <c r="AS112" s="166" t="n">
        <f aca="false">1.2*AQ112</f>
        <v>0.261</v>
      </c>
      <c r="AT112" s="169" t="n">
        <f aca="false">IF(G112&lt;110,17.94063*(LN(G112/100))+6.727568*(LN(G112/100)^2)+15.06494,(-4.1*G112+2135)/100)*0.5</f>
        <v>2.06836530423771</v>
      </c>
      <c r="AU112" s="169" t="n">
        <f aca="false">(0.75*AT112-AT112)</f>
        <v>-0.517091326059428</v>
      </c>
      <c r="AV112" s="166" t="n">
        <f aca="false">AT112/0.5*1.25-AT112</f>
        <v>3.10254795635657</v>
      </c>
      <c r="AW112" s="168" t="n">
        <f aca="false">IF(L112&lt;15,(15*L112+375)/100,(-4.71*L112+670.65)/100)*0.5</f>
        <v>2.4348</v>
      </c>
      <c r="AX112" s="166" t="n">
        <f aca="false">0.75*AW112-AW112</f>
        <v>-0.6087</v>
      </c>
      <c r="AY112" s="166" t="n">
        <f aca="false">AW112/0.5*1.25-AW112</f>
        <v>3.6522</v>
      </c>
      <c r="AZ112" s="167" t="n">
        <v>0.5</v>
      </c>
      <c r="BA112" s="74"/>
      <c r="BB112" s="229" t="s">
        <v>128</v>
      </c>
      <c r="BC112" s="229"/>
      <c r="BD112" s="229"/>
      <c r="BO112" s="11"/>
      <c r="BQ112" s="108" t="n">
        <v>36907.7428240741</v>
      </c>
      <c r="BR112" s="109" t="n">
        <v>36907.743287037</v>
      </c>
      <c r="BS112" s="110" t="n">
        <v>39234</v>
      </c>
      <c r="BT112" s="111" t="n">
        <v>125791.046875</v>
      </c>
      <c r="BU112" s="112" t="n">
        <v>89850.75</v>
      </c>
      <c r="BV112" s="112" t="n">
        <v>29950.25</v>
      </c>
      <c r="BW112" s="112" t="n">
        <v>23960.19921875</v>
      </c>
      <c r="BX112" s="113" t="n">
        <v>0</v>
      </c>
      <c r="BZ112" s="110" t="n">
        <v>39295</v>
      </c>
      <c r="CA112" s="185" t="n">
        <v>39</v>
      </c>
      <c r="CB112" s="116" t="n">
        <v>39</v>
      </c>
      <c r="CC112" s="181" t="n">
        <v>39</v>
      </c>
      <c r="CD112" s="181" t="n">
        <v>39</v>
      </c>
      <c r="CE112" s="117" t="n">
        <v>1</v>
      </c>
      <c r="CG112" s="135" t="n">
        <f aca="false">BB25</f>
        <v>2016</v>
      </c>
      <c r="CH112" s="136" t="n">
        <v>0</v>
      </c>
      <c r="CI112" s="137" t="n">
        <v>0</v>
      </c>
      <c r="CJ112" s="137" t="n">
        <v>0</v>
      </c>
      <c r="CK112" s="137" t="n">
        <v>0</v>
      </c>
      <c r="CL112" s="137" t="n">
        <v>0</v>
      </c>
      <c r="CM112" s="137" t="n">
        <v>0</v>
      </c>
      <c r="CN112" s="137" t="n">
        <v>0</v>
      </c>
      <c r="CO112" s="137" t="n">
        <v>0</v>
      </c>
      <c r="CP112" s="137" t="n">
        <v>0</v>
      </c>
      <c r="CQ112" s="137" t="n">
        <v>0</v>
      </c>
      <c r="CR112" s="137" t="n">
        <v>0</v>
      </c>
      <c r="CS112" s="138" t="n">
        <v>0</v>
      </c>
      <c r="CU112" s="135" t="n">
        <f aca="false">BB25</f>
        <v>2016</v>
      </c>
      <c r="CV112" s="136" t="n">
        <v>0</v>
      </c>
      <c r="CW112" s="137" t="n">
        <v>0</v>
      </c>
      <c r="CX112" s="137" t="n">
        <v>0</v>
      </c>
      <c r="CY112" s="137" t="n">
        <v>0</v>
      </c>
      <c r="CZ112" s="137" t="n">
        <v>0</v>
      </c>
      <c r="DA112" s="137" t="n">
        <v>0</v>
      </c>
      <c r="DB112" s="137" t="n">
        <v>0</v>
      </c>
      <c r="DC112" s="137" t="n">
        <v>0</v>
      </c>
      <c r="DD112" s="137" t="n">
        <v>0</v>
      </c>
      <c r="DE112" s="137" t="n">
        <v>0</v>
      </c>
      <c r="DF112" s="137" t="n">
        <v>0</v>
      </c>
      <c r="DG112" s="138" t="n">
        <v>0</v>
      </c>
      <c r="DI112" s="135" t="n">
        <f aca="false">BB25</f>
        <v>2016</v>
      </c>
      <c r="DJ112" s="136" t="n">
        <v>0</v>
      </c>
      <c r="DK112" s="137" t="n">
        <v>0</v>
      </c>
      <c r="DL112" s="137" t="n">
        <v>0</v>
      </c>
      <c r="DM112" s="137" t="n">
        <v>0</v>
      </c>
      <c r="DN112" s="137" t="n">
        <v>0</v>
      </c>
      <c r="DO112" s="137" t="n">
        <v>0</v>
      </c>
      <c r="DP112" s="137" t="n">
        <v>0</v>
      </c>
      <c r="DQ112" s="137" t="n">
        <v>0</v>
      </c>
      <c r="DR112" s="137" t="n">
        <v>0</v>
      </c>
      <c r="DS112" s="137" t="n">
        <v>0</v>
      </c>
      <c r="DT112" s="137" t="n">
        <v>0</v>
      </c>
      <c r="DU112" s="138" t="n">
        <v>0</v>
      </c>
    </row>
    <row r="113" customFormat="false" ht="12.75" hidden="false" customHeight="false" outlineLevel="0" collapsed="false">
      <c r="A113" s="0" t="n">
        <f aca="true">IF(ISERROR(MATCH(D113,iRefDt,0)),"",MATCH(D113,iRefDt,0))</f>
        <v>113</v>
      </c>
      <c r="B113" s="92" t="n">
        <f aca="false">MATCH(YEAR(D113),iSpreads)</f>
        <v>7</v>
      </c>
      <c r="C113" s="0" t="n">
        <f aca="false">MONTH(D113)</f>
        <v>9</v>
      </c>
      <c r="D113" s="93" t="n">
        <f aca="false">DATE(YEAR(D112),MONTH(D112)+1,1)</f>
        <v>39326</v>
      </c>
      <c r="E113" s="94" t="n">
        <f aca="false">VLOOKUP($D113,tblPriorPrice,2)</f>
        <v>33</v>
      </c>
      <c r="F113" s="190" t="n">
        <f aca="false">G113-E113</f>
        <v>0</v>
      </c>
      <c r="G113" s="190" t="n">
        <f aca="true">G101+OFFSET($CG$4,$B113,$C113)</f>
        <v>33</v>
      </c>
      <c r="H113" s="96" t="n">
        <f aca="true">G113+OFFSET($CU$4,$B113,$C113)</f>
        <v>28</v>
      </c>
      <c r="I113" s="96" t="n">
        <f aca="true">G113+OFFSET($DI$4,$B113,$C113)</f>
        <v>54</v>
      </c>
      <c r="J113" s="94" t="n">
        <f aca="false">VLOOKUP($D113,tblPriorPrice,3)</f>
        <v>33</v>
      </c>
      <c r="K113" s="190" t="n">
        <f aca="false">L113-J113</f>
        <v>0</v>
      </c>
      <c r="L113" s="190" t="n">
        <f aca="true">L101+OFFSET($CG$27,$B113,$C113)</f>
        <v>33</v>
      </c>
      <c r="M113" s="96" t="n">
        <f aca="true">$L113+OFFSET($CU$27,$B113,$C113)</f>
        <v>28</v>
      </c>
      <c r="N113" s="97" t="n">
        <f aca="true">$L113+OFFSET($DI$27,$B113,$C113)</f>
        <v>44</v>
      </c>
      <c r="O113" s="59" t="n">
        <f aca="true">IF($A113="",0,INDEX(tblPosn,$A113,2))</f>
        <v>112028.484375</v>
      </c>
      <c r="P113" s="59" t="n">
        <f aca="true">IF($A113="",0,INDEX(tblPosn,$A113,3))</f>
        <v>88443.5390625</v>
      </c>
      <c r="Q113" s="59" t="n">
        <f aca="true">IF($A113="",0,INDEX(tblPosn,$A113,4))</f>
        <v>29481.1796875</v>
      </c>
      <c r="R113" s="59" t="n">
        <f aca="true">IF($A113="",0,INDEX(tblPosn,$A113,5))</f>
        <v>35377.41796875</v>
      </c>
      <c r="S113" s="59" t="n">
        <f aca="true">IF($A113="",0,INDEX(tblPosn,$A113,6))</f>
        <v>0</v>
      </c>
      <c r="T113" s="98" t="n">
        <f aca="false">O113*F113+P113*K113+R113*AC113+S113*AH113/0.72+Q113*X113</f>
        <v>0</v>
      </c>
      <c r="V113" s="161" t="n">
        <f aca="false">D113</f>
        <v>39326</v>
      </c>
      <c r="W113" s="94" t="n">
        <f aca="false">VLOOKUP($D113,tblPriorPrice,4)</f>
        <v>33</v>
      </c>
      <c r="X113" s="95" t="n">
        <f aca="false">Y113-W113</f>
        <v>0</v>
      </c>
      <c r="Y113" s="191" t="n">
        <f aca="true">Y101+OFFSET($CG$50,$B113,$C113)</f>
        <v>33</v>
      </c>
      <c r="Z113" s="96" t="n">
        <f aca="true">Y113+OFFSET($CU$51,$B113,$C113)</f>
        <v>28</v>
      </c>
      <c r="AA113" s="177" t="n">
        <f aca="true">Y113+OFFSET($DI$51,$B113,$C113)</f>
        <v>55</v>
      </c>
      <c r="AB113" s="94" t="n">
        <f aca="false">VLOOKUP($D113,tblPriorPrice,5)</f>
        <v>33</v>
      </c>
      <c r="AC113" s="190" t="n">
        <f aca="false">AD113-AB113</f>
        <v>0</v>
      </c>
      <c r="AD113" s="191" t="n">
        <f aca="true">AD101+OFFSET($CG$73,$B113,$C113)</f>
        <v>33</v>
      </c>
      <c r="AE113" s="96" t="n">
        <f aca="true">AD113+OFFSET($CU$74,$B113,$C113)</f>
        <v>28</v>
      </c>
      <c r="AF113" s="177" t="n">
        <f aca="true">AD113+OFFSET($DI$74,$B113,$C113)</f>
        <v>55</v>
      </c>
      <c r="AG113" s="94" t="n">
        <f aca="false">VLOOKUP($D113,tblPriorPrice,6)</f>
        <v>1</v>
      </c>
      <c r="AH113" s="190" t="n">
        <f aca="false">AI113-AG113</f>
        <v>0</v>
      </c>
      <c r="AI113" s="191" t="n">
        <f aca="true">AI101+OFFSET($CG$96,$B113,$C113)</f>
        <v>1</v>
      </c>
      <c r="AJ113" s="96" t="n">
        <f aca="true">AI113+OFFSET($CU$96,$B113,$C113)</f>
        <v>1</v>
      </c>
      <c r="AK113" s="97" t="n">
        <f aca="true">AI113+OFFSET($DI$96,$B113,$C113)</f>
        <v>1</v>
      </c>
      <c r="AL113" s="178" t="n">
        <v>28</v>
      </c>
      <c r="AM113" s="165" t="n">
        <v>0.4</v>
      </c>
      <c r="AN113" s="167" t="n">
        <f aca="false">'[3]Pricing Summary'!$AM91</f>
        <v>0.2175</v>
      </c>
      <c r="AO113" s="167" t="n">
        <f aca="false">0.9*AN113</f>
        <v>0.19575</v>
      </c>
      <c r="AP113" s="166" t="n">
        <f aca="false">1.5*AN113</f>
        <v>0.32625</v>
      </c>
      <c r="AQ113" s="167" t="n">
        <f aca="false">AN113</f>
        <v>0.2175</v>
      </c>
      <c r="AR113" s="166" t="n">
        <f aca="false">0.8*AQ113</f>
        <v>0.174</v>
      </c>
      <c r="AS113" s="166" t="n">
        <f aca="false">1.2*AQ113</f>
        <v>0.261</v>
      </c>
      <c r="AT113" s="169" t="n">
        <f aca="false">IF(G113&lt;110,17.94063*(LN(G113/100))+6.727568*(LN(G113/100)^2)+15.06494,(-4.1*G113+2135)/100)*0.5</f>
        <v>1.72195432632388</v>
      </c>
      <c r="AU113" s="169" t="n">
        <f aca="false">(0.75*AT113-AT113)</f>
        <v>-0.43048858158097</v>
      </c>
      <c r="AV113" s="166" t="n">
        <f aca="false">AT113/0.5*1.25-AT113</f>
        <v>2.58293148948582</v>
      </c>
      <c r="AW113" s="168" t="n">
        <f aca="false">IF(L113&lt;15,(15*L113+375)/100,(-4.71*L113+670.65)/100)*0.5</f>
        <v>2.5761</v>
      </c>
      <c r="AX113" s="166" t="n">
        <f aca="false">0.75*AW113-AW113</f>
        <v>-0.644025</v>
      </c>
      <c r="AY113" s="166" t="n">
        <f aca="false">AW113/0.5*1.25-AW113</f>
        <v>3.86415</v>
      </c>
      <c r="AZ113" s="167" t="n">
        <v>0.5</v>
      </c>
      <c r="BA113" s="74"/>
      <c r="BB113" s="230" t="s">
        <v>129</v>
      </c>
      <c r="BC113" s="231" t="n">
        <v>1</v>
      </c>
      <c r="BD113" s="232" t="n">
        <v>1</v>
      </c>
      <c r="BO113" s="11"/>
      <c r="BQ113" s="108" t="n">
        <v>36907.7428240741</v>
      </c>
      <c r="BR113" s="109" t="n">
        <v>36907.743287037</v>
      </c>
      <c r="BS113" s="110" t="n">
        <v>39264</v>
      </c>
      <c r="BT113" s="111" t="n">
        <v>125123.5859375</v>
      </c>
      <c r="BU113" s="112" t="n">
        <v>92353.125</v>
      </c>
      <c r="BV113" s="112" t="n">
        <v>23833.064453125</v>
      </c>
      <c r="BW113" s="112" t="n">
        <v>35749.59375</v>
      </c>
      <c r="BX113" s="113" t="n">
        <v>0</v>
      </c>
      <c r="BZ113" s="110" t="n">
        <v>39326</v>
      </c>
      <c r="CA113" s="185" t="n">
        <v>33</v>
      </c>
      <c r="CB113" s="116" t="n">
        <v>33</v>
      </c>
      <c r="CC113" s="181" t="n">
        <v>33</v>
      </c>
      <c r="CD113" s="181" t="n">
        <v>33</v>
      </c>
      <c r="CE113" s="117" t="n">
        <v>1</v>
      </c>
      <c r="CG113" s="135" t="n">
        <f aca="false">BB26</f>
        <v>2017</v>
      </c>
      <c r="CH113" s="136" t="n">
        <v>0</v>
      </c>
      <c r="CI113" s="137" t="n">
        <v>0</v>
      </c>
      <c r="CJ113" s="137" t="n">
        <v>0</v>
      </c>
      <c r="CK113" s="137" t="n">
        <v>0</v>
      </c>
      <c r="CL113" s="137" t="n">
        <v>0</v>
      </c>
      <c r="CM113" s="137" t="n">
        <v>0</v>
      </c>
      <c r="CN113" s="137" t="n">
        <v>0</v>
      </c>
      <c r="CO113" s="137" t="n">
        <v>0</v>
      </c>
      <c r="CP113" s="137" t="n">
        <v>0</v>
      </c>
      <c r="CQ113" s="137" t="n">
        <v>0</v>
      </c>
      <c r="CR113" s="137" t="n">
        <v>0</v>
      </c>
      <c r="CS113" s="138" t="n">
        <v>0</v>
      </c>
      <c r="CU113" s="135" t="n">
        <f aca="false">BB26</f>
        <v>2017</v>
      </c>
      <c r="CV113" s="136" t="n">
        <v>0</v>
      </c>
      <c r="CW113" s="137" t="n">
        <v>0</v>
      </c>
      <c r="CX113" s="137" t="n">
        <v>0</v>
      </c>
      <c r="CY113" s="137" t="n">
        <v>0</v>
      </c>
      <c r="CZ113" s="137" t="n">
        <v>0</v>
      </c>
      <c r="DA113" s="137" t="n">
        <v>0</v>
      </c>
      <c r="DB113" s="137" t="n">
        <v>0</v>
      </c>
      <c r="DC113" s="137" t="n">
        <v>0</v>
      </c>
      <c r="DD113" s="137" t="n">
        <v>0</v>
      </c>
      <c r="DE113" s="137" t="n">
        <v>0</v>
      </c>
      <c r="DF113" s="137" t="n">
        <v>0</v>
      </c>
      <c r="DG113" s="138" t="n">
        <v>0</v>
      </c>
      <c r="DI113" s="135" t="n">
        <f aca="false">BB26</f>
        <v>2017</v>
      </c>
      <c r="DJ113" s="136" t="n">
        <v>0</v>
      </c>
      <c r="DK113" s="137" t="n">
        <v>0</v>
      </c>
      <c r="DL113" s="137" t="n">
        <v>0</v>
      </c>
      <c r="DM113" s="137" t="n">
        <v>0</v>
      </c>
      <c r="DN113" s="137" t="n">
        <v>0</v>
      </c>
      <c r="DO113" s="137" t="n">
        <v>0</v>
      </c>
      <c r="DP113" s="137" t="n">
        <v>0</v>
      </c>
      <c r="DQ113" s="137" t="n">
        <v>0</v>
      </c>
      <c r="DR113" s="137" t="n">
        <v>0</v>
      </c>
      <c r="DS113" s="137" t="n">
        <v>0</v>
      </c>
      <c r="DT113" s="137" t="n">
        <v>0</v>
      </c>
      <c r="DU113" s="138" t="n">
        <v>0</v>
      </c>
    </row>
    <row r="114" customFormat="false" ht="12.75" hidden="false" customHeight="false" outlineLevel="0" collapsed="false">
      <c r="A114" s="0" t="n">
        <f aca="true">IF(ISERROR(MATCH(D114,iRefDt,0)),"",MATCH(D114,iRefDt,0))</f>
        <v>114</v>
      </c>
      <c r="B114" s="92" t="n">
        <f aca="false">MATCH(YEAR(D114),iSpreads)</f>
        <v>7</v>
      </c>
      <c r="C114" s="0" t="n">
        <f aca="false">MONTH(D114)</f>
        <v>10</v>
      </c>
      <c r="D114" s="93" t="n">
        <f aca="false">DATE(YEAR(D113),MONTH(D113)+1,1)</f>
        <v>39356</v>
      </c>
      <c r="E114" s="94" t="n">
        <f aca="false">VLOOKUP($D114,tblPriorPrice,2)</f>
        <v>35</v>
      </c>
      <c r="F114" s="190" t="n">
        <f aca="false">G114-E114</f>
        <v>0</v>
      </c>
      <c r="G114" s="190" t="n">
        <f aca="true">G102+OFFSET($CG$4,$B114,$C114)</f>
        <v>35</v>
      </c>
      <c r="H114" s="96" t="n">
        <f aca="true">G114+OFFSET($CU$4,$B114,$C114)</f>
        <v>30</v>
      </c>
      <c r="I114" s="96" t="n">
        <f aca="true">G114+OFFSET($DI$4,$B114,$C114)</f>
        <v>56</v>
      </c>
      <c r="J114" s="94" t="n">
        <f aca="false">VLOOKUP($D114,tblPriorPrice,3)</f>
        <v>35</v>
      </c>
      <c r="K114" s="190" t="n">
        <f aca="false">L114-J114</f>
        <v>0</v>
      </c>
      <c r="L114" s="190" t="n">
        <f aca="true">L102+OFFSET($CG$27,$B114,$C114)</f>
        <v>35</v>
      </c>
      <c r="M114" s="96" t="n">
        <f aca="true">$L114+OFFSET($CU$27,$B114,$C114)</f>
        <v>30</v>
      </c>
      <c r="N114" s="97" t="n">
        <f aca="true">$L114+OFFSET($DI$27,$B114,$C114)</f>
        <v>46</v>
      </c>
      <c r="O114" s="59" t="n">
        <f aca="true">IF($A114="",0,INDEX(tblPosn,$A114,2))</f>
        <v>134900.3125</v>
      </c>
      <c r="P114" s="59" t="n">
        <f aca="true">IF($A114="",0,INDEX(tblPosn,$A114,3))</f>
        <v>91277.65625</v>
      </c>
      <c r="Q114" s="59" t="n">
        <f aca="true">IF($A114="",0,INDEX(tblPosn,$A114,4))</f>
        <v>23460.923828125</v>
      </c>
      <c r="R114" s="59" t="n">
        <f aca="true">IF($A114="",0,INDEX(tblPosn,$A114,5))</f>
        <v>23460.923828125</v>
      </c>
      <c r="S114" s="59" t="n">
        <f aca="true">IF($A114="",0,INDEX(tblPosn,$A114,6))</f>
        <v>0</v>
      </c>
      <c r="T114" s="98" t="n">
        <f aca="false">O114*F114+P114*K114+R114*AC114+S114*AH114/0.72+Q114*X114</f>
        <v>0</v>
      </c>
      <c r="V114" s="161" t="n">
        <f aca="false">D114</f>
        <v>39356</v>
      </c>
      <c r="W114" s="94" t="n">
        <f aca="false">VLOOKUP($D114,tblPriorPrice,4)</f>
        <v>35</v>
      </c>
      <c r="X114" s="95" t="n">
        <f aca="false">Y114-W114</f>
        <v>0</v>
      </c>
      <c r="Y114" s="191" t="n">
        <f aca="true">Y102+OFFSET($CG$50,$B114,$C114)</f>
        <v>35</v>
      </c>
      <c r="Z114" s="96" t="n">
        <f aca="true">Y114+OFFSET($CU$51,$B114,$C114)</f>
        <v>30</v>
      </c>
      <c r="AA114" s="177" t="n">
        <f aca="true">Y114+OFFSET($DI$51,$B114,$C114)</f>
        <v>57</v>
      </c>
      <c r="AB114" s="94" t="n">
        <f aca="false">VLOOKUP($D114,tblPriorPrice,5)</f>
        <v>35</v>
      </c>
      <c r="AC114" s="190" t="n">
        <f aca="false">AD114-AB114</f>
        <v>0</v>
      </c>
      <c r="AD114" s="191" t="n">
        <f aca="true">AD102+OFFSET($CG$73,$B114,$C114)</f>
        <v>35</v>
      </c>
      <c r="AE114" s="96" t="n">
        <f aca="true">AD114+OFFSET($CU$74,$B114,$C114)</f>
        <v>30</v>
      </c>
      <c r="AF114" s="177" t="n">
        <f aca="true">AD114+OFFSET($DI$74,$B114,$C114)</f>
        <v>57</v>
      </c>
      <c r="AG114" s="94" t="n">
        <f aca="false">VLOOKUP($D114,tblPriorPrice,6)</f>
        <v>1</v>
      </c>
      <c r="AH114" s="190" t="n">
        <f aca="false">AI114-AG114</f>
        <v>0</v>
      </c>
      <c r="AI114" s="191" t="n">
        <f aca="true">AI102+OFFSET($CG$96,$B114,$C114)</f>
        <v>1</v>
      </c>
      <c r="AJ114" s="96" t="n">
        <f aca="true">AI114+OFFSET($CU$96,$B114,$C114)</f>
        <v>1</v>
      </c>
      <c r="AK114" s="97" t="n">
        <f aca="true">AI114+OFFSET($DI$96,$B114,$C114)</f>
        <v>1</v>
      </c>
      <c r="AL114" s="178" t="n">
        <v>28</v>
      </c>
      <c r="AM114" s="165" t="n">
        <v>0.4</v>
      </c>
      <c r="AN114" s="167" t="n">
        <f aca="false">'[3]Pricing Summary'!$AM92</f>
        <v>0.2175</v>
      </c>
      <c r="AO114" s="167" t="n">
        <f aca="false">0.9*AN114</f>
        <v>0.19575</v>
      </c>
      <c r="AP114" s="166" t="n">
        <f aca="false">1.5*AN114</f>
        <v>0.32625</v>
      </c>
      <c r="AQ114" s="167" t="n">
        <f aca="false">AN114</f>
        <v>0.2175</v>
      </c>
      <c r="AR114" s="166" t="n">
        <f aca="false">0.8*AQ114</f>
        <v>0.174</v>
      </c>
      <c r="AS114" s="166" t="n">
        <f aca="false">1.2*AQ114</f>
        <v>0.261</v>
      </c>
      <c r="AT114" s="169" t="n">
        <f aca="false">IF(G114&lt;110,17.94063*(LN(G114/100))+6.727568*(LN(G114/100)^2)+15.06494,(-4.1*G114+2135)/100)*0.5</f>
        <v>1.82255031269953</v>
      </c>
      <c r="AU114" s="169" t="n">
        <f aca="false">(0.75*AT114-AT114)</f>
        <v>-0.455637578174882</v>
      </c>
      <c r="AV114" s="166" t="n">
        <f aca="false">AT114/0.5*1.25-AT114</f>
        <v>2.73382546904929</v>
      </c>
      <c r="AW114" s="168" t="n">
        <f aca="false">IF(L114&lt;15,(15*L114+375)/100,(-4.71*L114+670.65)/100)*0.5</f>
        <v>2.529</v>
      </c>
      <c r="AX114" s="166" t="n">
        <f aca="false">0.75*AW114-AW114</f>
        <v>-0.63225</v>
      </c>
      <c r="AY114" s="166" t="n">
        <f aca="false">AW114/0.5*1.25-AW114</f>
        <v>3.7935</v>
      </c>
      <c r="AZ114" s="167" t="n">
        <v>0.5</v>
      </c>
      <c r="BA114" s="74"/>
      <c r="BB114" s="233" t="s">
        <v>130</v>
      </c>
      <c r="BC114" s="234" t="n">
        <v>1</v>
      </c>
      <c r="BD114" s="235" t="n">
        <v>1</v>
      </c>
      <c r="BO114" s="11"/>
      <c r="BQ114" s="108" t="n">
        <v>36907.7428240741</v>
      </c>
      <c r="BR114" s="109" t="n">
        <v>36907.743287037</v>
      </c>
      <c r="BS114" s="110" t="n">
        <v>39295</v>
      </c>
      <c r="BT114" s="111" t="n">
        <v>136325.859375</v>
      </c>
      <c r="BU114" s="112" t="n">
        <v>91871.78125</v>
      </c>
      <c r="BV114" s="112" t="n">
        <v>23708.845703125</v>
      </c>
      <c r="BW114" s="112" t="n">
        <v>23708.845703125</v>
      </c>
      <c r="BX114" s="113" t="n">
        <v>0</v>
      </c>
      <c r="BZ114" s="110" t="n">
        <v>39356</v>
      </c>
      <c r="CA114" s="185" t="n">
        <v>35</v>
      </c>
      <c r="CB114" s="116" t="n">
        <v>35</v>
      </c>
      <c r="CC114" s="181" t="n">
        <v>35</v>
      </c>
      <c r="CD114" s="181" t="n">
        <v>35</v>
      </c>
      <c r="CE114" s="117" t="n">
        <v>1</v>
      </c>
      <c r="CG114" s="135" t="n">
        <f aca="false">BB27</f>
        <v>2018</v>
      </c>
      <c r="CH114" s="136" t="n">
        <v>0</v>
      </c>
      <c r="CI114" s="137" t="n">
        <v>0</v>
      </c>
      <c r="CJ114" s="137" t="n">
        <v>0</v>
      </c>
      <c r="CK114" s="137" t="n">
        <v>0</v>
      </c>
      <c r="CL114" s="137" t="n">
        <v>0</v>
      </c>
      <c r="CM114" s="137" t="n">
        <v>0</v>
      </c>
      <c r="CN114" s="137" t="n">
        <v>0</v>
      </c>
      <c r="CO114" s="137" t="n">
        <v>0</v>
      </c>
      <c r="CP114" s="137" t="n">
        <v>0</v>
      </c>
      <c r="CQ114" s="137" t="n">
        <v>0</v>
      </c>
      <c r="CR114" s="137" t="n">
        <v>0</v>
      </c>
      <c r="CS114" s="138" t="n">
        <v>0</v>
      </c>
      <c r="CU114" s="135" t="n">
        <f aca="false">BB27</f>
        <v>2018</v>
      </c>
      <c r="CV114" s="136" t="n">
        <v>0</v>
      </c>
      <c r="CW114" s="137" t="n">
        <v>0</v>
      </c>
      <c r="CX114" s="137" t="n">
        <v>0</v>
      </c>
      <c r="CY114" s="137" t="n">
        <v>0</v>
      </c>
      <c r="CZ114" s="137" t="n">
        <v>0</v>
      </c>
      <c r="DA114" s="137" t="n">
        <v>0</v>
      </c>
      <c r="DB114" s="137" t="n">
        <v>0</v>
      </c>
      <c r="DC114" s="137" t="n">
        <v>0</v>
      </c>
      <c r="DD114" s="137" t="n">
        <v>0</v>
      </c>
      <c r="DE114" s="137" t="n">
        <v>0</v>
      </c>
      <c r="DF114" s="137" t="n">
        <v>0</v>
      </c>
      <c r="DG114" s="138" t="n">
        <v>0</v>
      </c>
      <c r="DI114" s="135" t="n">
        <f aca="false">BB27</f>
        <v>2018</v>
      </c>
      <c r="DJ114" s="136" t="n">
        <v>0</v>
      </c>
      <c r="DK114" s="137" t="n">
        <v>0</v>
      </c>
      <c r="DL114" s="137" t="n">
        <v>0</v>
      </c>
      <c r="DM114" s="137" t="n">
        <v>0</v>
      </c>
      <c r="DN114" s="137" t="n">
        <v>0</v>
      </c>
      <c r="DO114" s="137" t="n">
        <v>0</v>
      </c>
      <c r="DP114" s="137" t="n">
        <v>0</v>
      </c>
      <c r="DQ114" s="137" t="n">
        <v>0</v>
      </c>
      <c r="DR114" s="137" t="n">
        <v>0</v>
      </c>
      <c r="DS114" s="137" t="n">
        <v>0</v>
      </c>
      <c r="DT114" s="137" t="n">
        <v>0</v>
      </c>
      <c r="DU114" s="138" t="n">
        <v>0</v>
      </c>
    </row>
    <row r="115" customFormat="false" ht="12.75" hidden="false" customHeight="false" outlineLevel="0" collapsed="false">
      <c r="A115" s="0" t="n">
        <f aca="true">IF(ISERROR(MATCH(D115,iRefDt,0)),"",MATCH(D115,iRefDt,0))</f>
        <v>115</v>
      </c>
      <c r="B115" s="92" t="n">
        <f aca="false">MATCH(YEAR(D115),iSpreads)</f>
        <v>7</v>
      </c>
      <c r="C115" s="0" t="n">
        <f aca="false">MONTH(D115)</f>
        <v>11</v>
      </c>
      <c r="D115" s="93" t="n">
        <f aca="false">DATE(YEAR(D114),MONTH(D114)+1,1)</f>
        <v>39387</v>
      </c>
      <c r="E115" s="94" t="n">
        <f aca="false">VLOOKUP($D115,tblPriorPrice,2)</f>
        <v>31</v>
      </c>
      <c r="F115" s="190" t="n">
        <f aca="false">G115-E115</f>
        <v>0</v>
      </c>
      <c r="G115" s="190" t="n">
        <f aca="true">G103+OFFSET($CG$4,$B115,$C115)</f>
        <v>31</v>
      </c>
      <c r="H115" s="96" t="n">
        <f aca="true">G115+OFFSET($CU$4,$B115,$C115)</f>
        <v>26</v>
      </c>
      <c r="I115" s="96" t="n">
        <f aca="true">G115+OFFSET($DI$4,$B115,$C115)</f>
        <v>52</v>
      </c>
      <c r="J115" s="94" t="n">
        <f aca="false">VLOOKUP($D115,tblPriorPrice,3)</f>
        <v>31</v>
      </c>
      <c r="K115" s="190" t="n">
        <f aca="false">L115-J115</f>
        <v>0</v>
      </c>
      <c r="L115" s="190" t="n">
        <f aca="true">L103+OFFSET($CG$27,$B115,$C115)</f>
        <v>31</v>
      </c>
      <c r="M115" s="96" t="n">
        <f aca="true">$L115+OFFSET($CU$27,$B115,$C115)</f>
        <v>26</v>
      </c>
      <c r="N115" s="97" t="n">
        <f aca="true">$L115+OFFSET($DI$27,$B115,$C115)</f>
        <v>42</v>
      </c>
      <c r="O115" s="59" t="n">
        <f aca="true">IF($A115="",0,INDEX(tblPosn,$A115,2))</f>
        <v>122536.375</v>
      </c>
      <c r="P115" s="59" t="n">
        <f aca="true">IF($A115="",0,INDEX(tblPosn,$A115,3))</f>
        <v>87525.984375</v>
      </c>
      <c r="Q115" s="59" t="n">
        <f aca="true">IF($A115="",0,INDEX(tblPosn,$A115,4))</f>
        <v>23340.26171875</v>
      </c>
      <c r="R115" s="59" t="n">
        <f aca="true">IF($A115="",0,INDEX(tblPosn,$A115,5))</f>
        <v>29175.326171875</v>
      </c>
      <c r="S115" s="59" t="n">
        <f aca="true">IF($A115="",0,INDEX(tblPosn,$A115,6))</f>
        <v>0</v>
      </c>
      <c r="T115" s="98" t="n">
        <f aca="false">O115*F115+P115*K115+R115*AC115+S115*AH115/0.72+Q115*X115</f>
        <v>0</v>
      </c>
      <c r="V115" s="161" t="n">
        <f aca="false">D115</f>
        <v>39387</v>
      </c>
      <c r="W115" s="94" t="n">
        <f aca="false">VLOOKUP($D115,tblPriorPrice,4)</f>
        <v>31</v>
      </c>
      <c r="X115" s="95" t="n">
        <f aca="false">Y115-W115</f>
        <v>0</v>
      </c>
      <c r="Y115" s="191" t="n">
        <f aca="true">Y103+OFFSET($CG$50,$B115,$C115)</f>
        <v>31</v>
      </c>
      <c r="Z115" s="96" t="n">
        <f aca="true">Y115+OFFSET($CU$51,$B115,$C115)</f>
        <v>26</v>
      </c>
      <c r="AA115" s="177" t="n">
        <f aca="true">Y115+OFFSET($DI$51,$B115,$C115)</f>
        <v>53</v>
      </c>
      <c r="AB115" s="94" t="n">
        <f aca="false">VLOOKUP($D115,tblPriorPrice,5)</f>
        <v>31</v>
      </c>
      <c r="AC115" s="190" t="n">
        <f aca="false">AD115-AB115</f>
        <v>0</v>
      </c>
      <c r="AD115" s="191" t="n">
        <f aca="true">AD103+OFFSET($CG$73,$B115,$C115)</f>
        <v>31</v>
      </c>
      <c r="AE115" s="96" t="n">
        <f aca="true">AD115+OFFSET($CU$74,$B115,$C115)</f>
        <v>26</v>
      </c>
      <c r="AF115" s="177" t="n">
        <f aca="true">AD115+OFFSET($DI$74,$B115,$C115)</f>
        <v>53</v>
      </c>
      <c r="AG115" s="94" t="n">
        <f aca="false">VLOOKUP($D115,tblPriorPrice,6)</f>
        <v>1</v>
      </c>
      <c r="AH115" s="190" t="n">
        <f aca="false">AI115-AG115</f>
        <v>0</v>
      </c>
      <c r="AI115" s="191" t="n">
        <f aca="true">AI103+OFFSET($CG$96,$B115,$C115)</f>
        <v>1</v>
      </c>
      <c r="AJ115" s="96" t="n">
        <f aca="true">AI115+OFFSET($CU$96,$B115,$C115)</f>
        <v>1</v>
      </c>
      <c r="AK115" s="97" t="n">
        <f aca="true">AI115+OFFSET($DI$96,$B115,$C115)</f>
        <v>1</v>
      </c>
      <c r="AL115" s="178" t="n">
        <v>28</v>
      </c>
      <c r="AM115" s="165" t="n">
        <v>0.4</v>
      </c>
      <c r="AN115" s="167" t="n">
        <f aca="false">'[3]Pricing Summary'!$AM93</f>
        <v>0.2175</v>
      </c>
      <c r="AO115" s="167" t="n">
        <f aca="false">0.9*AN115</f>
        <v>0.19575</v>
      </c>
      <c r="AP115" s="166" t="n">
        <f aca="false">1.5*AN115</f>
        <v>0.32625</v>
      </c>
      <c r="AQ115" s="167" t="n">
        <f aca="false">AN115</f>
        <v>0.2175</v>
      </c>
      <c r="AR115" s="166" t="n">
        <f aca="false">0.8*AQ115</f>
        <v>0.174</v>
      </c>
      <c r="AS115" s="166" t="n">
        <f aca="false">1.2*AQ115</f>
        <v>0.261</v>
      </c>
      <c r="AT115" s="169" t="n">
        <f aca="false">IF(G115&lt;110,17.94063*(LN(G115/100))+6.727568*(LN(G115/100)^2)+15.06494,(-4.1*G115+2135)/100)*0.5</f>
        <v>1.64058990686036</v>
      </c>
      <c r="AU115" s="169" t="n">
        <f aca="false">(0.75*AT115-AT115)</f>
        <v>-0.410147476715089</v>
      </c>
      <c r="AV115" s="166" t="n">
        <f aca="false">AT115/0.5*1.25-AT115</f>
        <v>2.46088486029054</v>
      </c>
      <c r="AW115" s="168" t="n">
        <f aca="false">IF(L115&lt;15,(15*L115+375)/100,(-4.71*L115+670.65)/100)*0.5</f>
        <v>2.6232</v>
      </c>
      <c r="AX115" s="166" t="n">
        <f aca="false">0.75*AW115-AW115</f>
        <v>-0.6558</v>
      </c>
      <c r="AY115" s="166" t="n">
        <f aca="false">AW115/0.5*1.25-AW115</f>
        <v>3.9348</v>
      </c>
      <c r="AZ115" s="167" t="n">
        <v>0.5</v>
      </c>
      <c r="BA115" s="74"/>
      <c r="BB115" s="236"/>
      <c r="BC115" s="237" t="s">
        <v>131</v>
      </c>
      <c r="BD115" s="238" t="s">
        <v>132</v>
      </c>
      <c r="BO115" s="11"/>
      <c r="BQ115" s="108" t="n">
        <v>36907.7428240741</v>
      </c>
      <c r="BR115" s="109" t="n">
        <v>36907.743287037</v>
      </c>
      <c r="BS115" s="110" t="n">
        <v>39326</v>
      </c>
      <c r="BT115" s="111" t="n">
        <v>112028.484375</v>
      </c>
      <c r="BU115" s="112" t="n">
        <v>88443.5390625</v>
      </c>
      <c r="BV115" s="112" t="n">
        <v>29481.1796875</v>
      </c>
      <c r="BW115" s="112" t="n">
        <v>35377.41796875</v>
      </c>
      <c r="BX115" s="113" t="n">
        <v>0</v>
      </c>
      <c r="BZ115" s="110" t="n">
        <v>39387</v>
      </c>
      <c r="CA115" s="185" t="n">
        <v>31</v>
      </c>
      <c r="CB115" s="116" t="n">
        <v>31</v>
      </c>
      <c r="CC115" s="181" t="n">
        <v>31</v>
      </c>
      <c r="CD115" s="181" t="n">
        <v>31</v>
      </c>
      <c r="CE115" s="117" t="n">
        <v>1</v>
      </c>
      <c r="CG115" s="135" t="n">
        <f aca="false">BB28</f>
        <v>2019</v>
      </c>
      <c r="CH115" s="136" t="n">
        <v>0</v>
      </c>
      <c r="CI115" s="137" t="n">
        <v>0</v>
      </c>
      <c r="CJ115" s="137" t="n">
        <v>0</v>
      </c>
      <c r="CK115" s="137" t="n">
        <v>0</v>
      </c>
      <c r="CL115" s="137" t="n">
        <v>0</v>
      </c>
      <c r="CM115" s="137" t="n">
        <v>0</v>
      </c>
      <c r="CN115" s="137" t="n">
        <v>0</v>
      </c>
      <c r="CO115" s="137" t="n">
        <v>0</v>
      </c>
      <c r="CP115" s="137" t="n">
        <v>0</v>
      </c>
      <c r="CQ115" s="137" t="n">
        <v>0</v>
      </c>
      <c r="CR115" s="137" t="n">
        <v>0</v>
      </c>
      <c r="CS115" s="138" t="n">
        <v>0</v>
      </c>
      <c r="CU115" s="135" t="n">
        <f aca="false">BB28</f>
        <v>2019</v>
      </c>
      <c r="CV115" s="136" t="n">
        <v>0</v>
      </c>
      <c r="CW115" s="137" t="n">
        <v>0</v>
      </c>
      <c r="CX115" s="137" t="n">
        <v>0</v>
      </c>
      <c r="CY115" s="137" t="n">
        <v>0</v>
      </c>
      <c r="CZ115" s="137" t="n">
        <v>0</v>
      </c>
      <c r="DA115" s="137" t="n">
        <v>0</v>
      </c>
      <c r="DB115" s="137" t="n">
        <v>0</v>
      </c>
      <c r="DC115" s="137" t="n">
        <v>0</v>
      </c>
      <c r="DD115" s="137" t="n">
        <v>0</v>
      </c>
      <c r="DE115" s="137" t="n">
        <v>0</v>
      </c>
      <c r="DF115" s="137" t="n">
        <v>0</v>
      </c>
      <c r="DG115" s="138" t="n">
        <v>0</v>
      </c>
      <c r="DI115" s="135" t="n">
        <f aca="false">BB28</f>
        <v>2019</v>
      </c>
      <c r="DJ115" s="136" t="n">
        <v>0</v>
      </c>
      <c r="DK115" s="137" t="n">
        <v>0</v>
      </c>
      <c r="DL115" s="137" t="n">
        <v>0</v>
      </c>
      <c r="DM115" s="137" t="n">
        <v>0</v>
      </c>
      <c r="DN115" s="137" t="n">
        <v>0</v>
      </c>
      <c r="DO115" s="137" t="n">
        <v>0</v>
      </c>
      <c r="DP115" s="137" t="n">
        <v>0</v>
      </c>
      <c r="DQ115" s="137" t="n">
        <v>0</v>
      </c>
      <c r="DR115" s="137" t="n">
        <v>0</v>
      </c>
      <c r="DS115" s="137" t="n">
        <v>0</v>
      </c>
      <c r="DT115" s="137" t="n">
        <v>0</v>
      </c>
      <c r="DU115" s="138" t="n">
        <v>0</v>
      </c>
    </row>
    <row r="116" customFormat="false" ht="12.75" hidden="false" customHeight="false" outlineLevel="0" collapsed="false">
      <c r="A116" s="0" t="n">
        <f aca="true">IF(ISERROR(MATCH(D116,iRefDt,0)),"",MATCH(D116,iRefDt,0))</f>
        <v>116</v>
      </c>
      <c r="B116" s="92" t="n">
        <f aca="false">MATCH(YEAR(D116),iSpreads)</f>
        <v>7</v>
      </c>
      <c r="C116" s="0" t="n">
        <f aca="false">MONTH(D116)</f>
        <v>12</v>
      </c>
      <c r="D116" s="93" t="n">
        <f aca="false">DATE(YEAR(D115),MONTH(D115)+1,1)</f>
        <v>39417</v>
      </c>
      <c r="E116" s="94" t="n">
        <f aca="false">VLOOKUP($D116,tblPriorPrice,2)</f>
        <v>30</v>
      </c>
      <c r="F116" s="190" t="n">
        <f aca="false">G116-E116</f>
        <v>0</v>
      </c>
      <c r="G116" s="190" t="n">
        <f aca="true">G104+OFFSET($CG$4,$B116,$C116)</f>
        <v>30</v>
      </c>
      <c r="H116" s="96" t="n">
        <f aca="true">G116+OFFSET($CU$4,$B116,$C116)</f>
        <v>25</v>
      </c>
      <c r="I116" s="96" t="n">
        <f aca="true">G116+OFFSET($DI$4,$B116,$C116)</f>
        <v>51</v>
      </c>
      <c r="J116" s="94" t="n">
        <f aca="false">VLOOKUP($D116,tblPriorPrice,3)</f>
        <v>29</v>
      </c>
      <c r="K116" s="190" t="n">
        <f aca="false">L116-J116</f>
        <v>0</v>
      </c>
      <c r="L116" s="190" t="n">
        <f aca="true">L104+OFFSET($CG$27,$B116,$C116)</f>
        <v>29</v>
      </c>
      <c r="M116" s="96" t="n">
        <f aca="true">$L116+OFFSET($CU$27,$B116,$C116)</f>
        <v>24</v>
      </c>
      <c r="N116" s="97" t="n">
        <f aca="true">$L116+OFFSET($DI$27,$B116,$C116)</f>
        <v>40</v>
      </c>
      <c r="O116" s="59" t="n">
        <f aca="true">IF($A116="",0,INDEX(tblPosn,$A116,2))</f>
        <v>116082.203125</v>
      </c>
      <c r="P116" s="59" t="n">
        <f aca="true">IF($A116="",0,INDEX(tblPosn,$A116,3))</f>
        <v>89963.703125</v>
      </c>
      <c r="Q116" s="59" t="n">
        <f aca="true">IF($A116="",0,INDEX(tblPosn,$A116,4))</f>
        <v>29020.55078125</v>
      </c>
      <c r="R116" s="59" t="n">
        <f aca="true">IF($A116="",0,INDEX(tblPosn,$A116,5))</f>
        <v>34824.66015625</v>
      </c>
      <c r="S116" s="59" t="n">
        <f aca="true">IF($A116="",0,INDEX(tblPosn,$A116,6))</f>
        <v>0</v>
      </c>
      <c r="T116" s="98" t="n">
        <f aca="false">O116*F116+P116*K116+R116*AC116+S116*AH116/0.72+Q116*X116</f>
        <v>0</v>
      </c>
      <c r="V116" s="161" t="n">
        <f aca="false">D116</f>
        <v>39417</v>
      </c>
      <c r="W116" s="94" t="n">
        <f aca="false">VLOOKUP($D116,tblPriorPrice,4)</f>
        <v>29</v>
      </c>
      <c r="X116" s="95" t="n">
        <f aca="false">Y116-W116</f>
        <v>0</v>
      </c>
      <c r="Y116" s="191" t="n">
        <f aca="true">Y104+OFFSET($CG$50,$B116,$C116)</f>
        <v>29</v>
      </c>
      <c r="Z116" s="96" t="n">
        <f aca="true">Y116+OFFSET($CU$51,$B116,$C116)</f>
        <v>24</v>
      </c>
      <c r="AA116" s="177" t="n">
        <f aca="true">Y116+OFFSET($DI$51,$B116,$C116)</f>
        <v>51</v>
      </c>
      <c r="AB116" s="94" t="n">
        <f aca="false">VLOOKUP($D116,tblPriorPrice,5)</f>
        <v>29</v>
      </c>
      <c r="AC116" s="190" t="n">
        <f aca="false">AD116-AB116</f>
        <v>0</v>
      </c>
      <c r="AD116" s="191" t="n">
        <f aca="true">AD104+OFFSET($CG$73,$B116,$C116)</f>
        <v>29</v>
      </c>
      <c r="AE116" s="96" t="n">
        <f aca="true">AD116+OFFSET($CU$74,$B116,$C116)</f>
        <v>24</v>
      </c>
      <c r="AF116" s="177" t="n">
        <f aca="true">AD116+OFFSET($DI$74,$B116,$C116)</f>
        <v>51</v>
      </c>
      <c r="AG116" s="94" t="n">
        <f aca="false">VLOOKUP($D116,tblPriorPrice,6)</f>
        <v>1</v>
      </c>
      <c r="AH116" s="190" t="n">
        <f aca="false">AI116-AG116</f>
        <v>0</v>
      </c>
      <c r="AI116" s="191" t="n">
        <f aca="true">AI104+OFFSET($CG$96,$B116,$C116)</f>
        <v>1</v>
      </c>
      <c r="AJ116" s="96" t="n">
        <f aca="true">AI116+OFFSET($CU$96,$B116,$C116)</f>
        <v>1</v>
      </c>
      <c r="AK116" s="97" t="n">
        <f aca="true">AI116+OFFSET($DI$96,$B116,$C116)</f>
        <v>1</v>
      </c>
      <c r="AL116" s="178" t="n">
        <v>29</v>
      </c>
      <c r="AM116" s="165" t="n">
        <v>0.4</v>
      </c>
      <c r="AN116" s="167" t="n">
        <f aca="false">'[3]Pricing Summary'!$AM94</f>
        <v>0.2175</v>
      </c>
      <c r="AO116" s="167" t="n">
        <f aca="false">0.9*AN116</f>
        <v>0.19575</v>
      </c>
      <c r="AP116" s="166" t="n">
        <f aca="false">1.5*AN116</f>
        <v>0.32625</v>
      </c>
      <c r="AQ116" s="167" t="n">
        <f aca="false">AN116</f>
        <v>0.2175</v>
      </c>
      <c r="AR116" s="166" t="n">
        <f aca="false">0.8*AQ116</f>
        <v>0.174</v>
      </c>
      <c r="AS116" s="166" t="n">
        <f aca="false">1.2*AQ116</f>
        <v>0.261</v>
      </c>
      <c r="AT116" s="169" t="n">
        <f aca="false">IF(G116&lt;110,17.94063*(LN(G116/100))+6.727568*(LN(G116/100)^2)+15.06494,(-4.1*G116+2135)/100)*0.5</f>
        <v>1.60842951845599</v>
      </c>
      <c r="AU116" s="169" t="n">
        <f aca="false">(0.75*AT116-AT116)</f>
        <v>-0.402107379613998</v>
      </c>
      <c r="AV116" s="166" t="n">
        <f aca="false">AT116/0.5*1.25-AT116</f>
        <v>2.41264427768399</v>
      </c>
      <c r="AW116" s="168" t="n">
        <f aca="false">IF(L116&lt;15,(15*L116+375)/100,(-4.71*L116+670.65)/100)*0.5</f>
        <v>2.6703</v>
      </c>
      <c r="AX116" s="166" t="n">
        <f aca="false">0.75*AW116-AW116</f>
        <v>-0.667575</v>
      </c>
      <c r="AY116" s="166" t="n">
        <f aca="false">AW116/0.5*1.25-AW116</f>
        <v>4.00545</v>
      </c>
      <c r="AZ116" s="167" t="n">
        <v>0.5</v>
      </c>
      <c r="BA116" s="74"/>
      <c r="BB116" s="239" t="s">
        <v>133</v>
      </c>
      <c r="BC116" s="240" t="n">
        <v>800</v>
      </c>
      <c r="BD116" s="241" t="n">
        <v>2300</v>
      </c>
      <c r="BO116" s="11"/>
      <c r="BQ116" s="108" t="n">
        <v>36907.7428240741</v>
      </c>
      <c r="BR116" s="109" t="n">
        <v>36907.743287037</v>
      </c>
      <c r="BS116" s="110" t="n">
        <v>39356</v>
      </c>
      <c r="BT116" s="111" t="n">
        <v>134900.3125</v>
      </c>
      <c r="BU116" s="112" t="n">
        <v>91277.65625</v>
      </c>
      <c r="BV116" s="112" t="n">
        <v>23460.923828125</v>
      </c>
      <c r="BW116" s="112" t="n">
        <v>23460.923828125</v>
      </c>
      <c r="BX116" s="113" t="n">
        <v>0</v>
      </c>
      <c r="BZ116" s="110" t="n">
        <v>39417</v>
      </c>
      <c r="CA116" s="185" t="n">
        <v>30</v>
      </c>
      <c r="CB116" s="116" t="n">
        <v>29</v>
      </c>
      <c r="CC116" s="181" t="n">
        <v>29</v>
      </c>
      <c r="CD116" s="181" t="n">
        <v>29</v>
      </c>
      <c r="CE116" s="117" t="n">
        <v>1</v>
      </c>
      <c r="CG116" s="152" t="n">
        <f aca="false">BB29</f>
        <v>2020</v>
      </c>
      <c r="CH116" s="153" t="n">
        <v>0</v>
      </c>
      <c r="CI116" s="154" t="n">
        <v>0</v>
      </c>
      <c r="CJ116" s="154" t="n">
        <v>0</v>
      </c>
      <c r="CK116" s="154" t="n">
        <v>0</v>
      </c>
      <c r="CL116" s="154" t="n">
        <v>0</v>
      </c>
      <c r="CM116" s="154" t="n">
        <v>0</v>
      </c>
      <c r="CN116" s="154" t="n">
        <v>0</v>
      </c>
      <c r="CO116" s="154" t="n">
        <v>0</v>
      </c>
      <c r="CP116" s="154" t="n">
        <v>0</v>
      </c>
      <c r="CQ116" s="154" t="n">
        <v>0</v>
      </c>
      <c r="CR116" s="154" t="n">
        <v>0</v>
      </c>
      <c r="CS116" s="155" t="n">
        <v>0</v>
      </c>
      <c r="CU116" s="152" t="n">
        <f aca="false">BB29</f>
        <v>2020</v>
      </c>
      <c r="CV116" s="153" t="n">
        <v>0</v>
      </c>
      <c r="CW116" s="154" t="n">
        <v>0</v>
      </c>
      <c r="CX116" s="154" t="n">
        <v>0</v>
      </c>
      <c r="CY116" s="154" t="n">
        <v>0</v>
      </c>
      <c r="CZ116" s="154" t="n">
        <v>0</v>
      </c>
      <c r="DA116" s="154" t="n">
        <v>0</v>
      </c>
      <c r="DB116" s="154" t="n">
        <v>0</v>
      </c>
      <c r="DC116" s="154" t="n">
        <v>0</v>
      </c>
      <c r="DD116" s="154" t="n">
        <v>0</v>
      </c>
      <c r="DE116" s="154" t="n">
        <v>0</v>
      </c>
      <c r="DF116" s="154" t="n">
        <v>0</v>
      </c>
      <c r="DG116" s="155" t="n">
        <v>0</v>
      </c>
      <c r="DI116" s="152" t="n">
        <f aca="false">BB29</f>
        <v>2020</v>
      </c>
      <c r="DJ116" s="153" t="n">
        <v>0</v>
      </c>
      <c r="DK116" s="154" t="n">
        <v>0</v>
      </c>
      <c r="DL116" s="154" t="n">
        <v>0</v>
      </c>
      <c r="DM116" s="154" t="n">
        <v>0</v>
      </c>
      <c r="DN116" s="154" t="n">
        <v>0</v>
      </c>
      <c r="DO116" s="154" t="n">
        <v>0</v>
      </c>
      <c r="DP116" s="154" t="n">
        <v>0</v>
      </c>
      <c r="DQ116" s="154" t="n">
        <v>0</v>
      </c>
      <c r="DR116" s="154" t="n">
        <v>0</v>
      </c>
      <c r="DS116" s="154" t="n">
        <v>0</v>
      </c>
      <c r="DT116" s="154" t="n">
        <v>0</v>
      </c>
      <c r="DU116" s="155" t="n">
        <v>0</v>
      </c>
    </row>
    <row r="117" customFormat="false" ht="12.75" hidden="false" customHeight="false" outlineLevel="0" collapsed="false">
      <c r="A117" s="0" t="n">
        <f aca="true">IF(ISERROR(MATCH(D117,iRefDt,0)),"",MATCH(D117,iRefDt,0))</f>
        <v>117</v>
      </c>
      <c r="B117" s="92" t="n">
        <f aca="false">MATCH(YEAR(D117),iSpreads)</f>
        <v>8</v>
      </c>
      <c r="C117" s="0" t="n">
        <f aca="false">MONTH(D117)</f>
        <v>1</v>
      </c>
      <c r="D117" s="93" t="n">
        <f aca="false">DATE(YEAR(D116),MONTH(D116)+1,1)</f>
        <v>39448</v>
      </c>
      <c r="E117" s="94" t="n">
        <f aca="false">VLOOKUP($D117,tblPriorPrice,2)</f>
        <v>31</v>
      </c>
      <c r="F117" s="190" t="n">
        <f aca="false">G117-E117</f>
        <v>0</v>
      </c>
      <c r="G117" s="190" t="n">
        <f aca="true">G105+OFFSET($CG$4,$B117,$C117)</f>
        <v>31</v>
      </c>
      <c r="H117" s="96" t="n">
        <f aca="true">G117+OFFSET($CU$4,$B117,$C117)</f>
        <v>26</v>
      </c>
      <c r="I117" s="96" t="n">
        <f aca="true">G117+OFFSET($DI$4,$B117,$C117)</f>
        <v>53</v>
      </c>
      <c r="J117" s="94" t="n">
        <f aca="false">VLOOKUP($D117,tblPriorPrice,3)</f>
        <v>31</v>
      </c>
      <c r="K117" s="190" t="n">
        <f aca="false">L117-J117</f>
        <v>0</v>
      </c>
      <c r="L117" s="190" t="n">
        <f aca="true">L105+OFFSET($CG$27,$B117,$C117)</f>
        <v>31</v>
      </c>
      <c r="M117" s="96" t="n">
        <f aca="true">$L117+OFFSET($CU$27,$B117,$C117)</f>
        <v>26</v>
      </c>
      <c r="N117" s="97" t="n">
        <f aca="true">$L117+OFFSET($DI$27,$B117,$C117)</f>
        <v>43</v>
      </c>
      <c r="O117" s="59" t="n">
        <f aca="true">IF($A117="",0,INDEX(tblPosn,$A117,2))</f>
        <v>127005.859375</v>
      </c>
      <c r="P117" s="59" t="n">
        <f aca="true">IF($A117="",0,INDEX(tblPosn,$A117,3))</f>
        <v>89481.3984375</v>
      </c>
      <c r="Q117" s="59" t="n">
        <f aca="true">IF($A117="",0,INDEX(tblPosn,$A117,4))</f>
        <v>23091.974609375</v>
      </c>
      <c r="R117" s="59" t="n">
        <f aca="true">IF($A117="",0,INDEX(tblPosn,$A117,5))</f>
        <v>28864.96875</v>
      </c>
      <c r="S117" s="59" t="n">
        <f aca="true">IF($A117="",0,INDEX(tblPosn,$A117,6))</f>
        <v>0</v>
      </c>
      <c r="T117" s="98" t="n">
        <f aca="false">O117*F117+P117*K117+R117*AC117+S117*AH117/0.72+Q117*X117</f>
        <v>0</v>
      </c>
      <c r="V117" s="161" t="n">
        <f aca="false">D117</f>
        <v>39448</v>
      </c>
      <c r="W117" s="94" t="n">
        <f aca="false">VLOOKUP($D117,tblPriorPrice,4)</f>
        <v>31</v>
      </c>
      <c r="X117" s="95" t="n">
        <f aca="false">Y117-W117</f>
        <v>0</v>
      </c>
      <c r="Y117" s="191" t="n">
        <f aca="true">Y105+OFFSET($CG$50,$B117,$C117)</f>
        <v>31</v>
      </c>
      <c r="Z117" s="96" t="n">
        <f aca="true">Y117+OFFSET($CU$51,$B117,$C117)</f>
        <v>26</v>
      </c>
      <c r="AA117" s="177" t="n">
        <f aca="true">Y117+OFFSET($DI$51,$B117,$C117)</f>
        <v>54</v>
      </c>
      <c r="AB117" s="94" t="n">
        <f aca="false">VLOOKUP($D117,tblPriorPrice,5)</f>
        <v>31</v>
      </c>
      <c r="AC117" s="190" t="n">
        <f aca="false">AD117-AB117</f>
        <v>0</v>
      </c>
      <c r="AD117" s="191" t="n">
        <f aca="true">AD105+OFFSET($CG$73,$B117,$C117)</f>
        <v>31</v>
      </c>
      <c r="AE117" s="96" t="n">
        <f aca="true">AD117+OFFSET($CU$74,$B117,$C117)</f>
        <v>26</v>
      </c>
      <c r="AF117" s="177" t="n">
        <f aca="true">AD117+OFFSET($DI$74,$B117,$C117)</f>
        <v>54</v>
      </c>
      <c r="AG117" s="94" t="n">
        <f aca="false">VLOOKUP($D117,tblPriorPrice,6)</f>
        <v>1</v>
      </c>
      <c r="AH117" s="190" t="n">
        <f aca="false">AI117-AG117</f>
        <v>0</v>
      </c>
      <c r="AI117" s="191" t="n">
        <f aca="true">AI105+OFFSET($CG$96,$B117,$C117)</f>
        <v>1</v>
      </c>
      <c r="AJ117" s="96" t="n">
        <f aca="true">AI117+OFFSET($CU$96,$B117,$C117)</f>
        <v>1</v>
      </c>
      <c r="AK117" s="97" t="n">
        <f aca="true">AI117+OFFSET($DI$96,$B117,$C117)</f>
        <v>1</v>
      </c>
      <c r="AL117" s="178" t="n">
        <v>29</v>
      </c>
      <c r="AM117" s="165" t="n">
        <v>0.4</v>
      </c>
      <c r="AN117" s="167" t="n">
        <f aca="false">'[3]Pricing Summary'!$AM95</f>
        <v>0.2175</v>
      </c>
      <c r="AO117" s="167" t="n">
        <f aca="false">0.9*AN117</f>
        <v>0.19575</v>
      </c>
      <c r="AP117" s="166" t="n">
        <f aca="false">1.5*AN117</f>
        <v>0.32625</v>
      </c>
      <c r="AQ117" s="167" t="n">
        <f aca="false">AN117</f>
        <v>0.2175</v>
      </c>
      <c r="AR117" s="166" t="n">
        <f aca="false">0.8*AQ117</f>
        <v>0.174</v>
      </c>
      <c r="AS117" s="166" t="n">
        <f aca="false">1.2*AQ117</f>
        <v>0.261</v>
      </c>
      <c r="AT117" s="169" t="n">
        <f aca="false">IF(G117&lt;110,17.94063*(LN(G117/100))+6.727568*(LN(G117/100)^2)+15.06494,(-4.1*G117+2135)/100)*0.5</f>
        <v>1.64058990686036</v>
      </c>
      <c r="AU117" s="169" t="n">
        <f aca="false">(0.75*AT117-AT117)</f>
        <v>-0.410147476715089</v>
      </c>
      <c r="AV117" s="166" t="n">
        <f aca="false">AT117/0.5*1.25-AT117</f>
        <v>2.46088486029054</v>
      </c>
      <c r="AW117" s="168" t="n">
        <f aca="false">IF(L117&lt;15,(15*L117+375)/100,(-4.71*L117+670.65)/100)*0.5</f>
        <v>2.6232</v>
      </c>
      <c r="AX117" s="166" t="n">
        <f aca="false">0.75*AW117-AW117</f>
        <v>-0.6558</v>
      </c>
      <c r="AY117" s="166" t="n">
        <f aca="false">AW117/0.5*1.25-AW117</f>
        <v>3.9348</v>
      </c>
      <c r="AZ117" s="167" t="n">
        <v>0.5</v>
      </c>
      <c r="BA117" s="74"/>
      <c r="BB117" s="242" t="s">
        <v>134</v>
      </c>
      <c r="BC117" s="242"/>
      <c r="BD117" s="242"/>
      <c r="BE117" s="242"/>
      <c r="BF117" s="242"/>
      <c r="BG117" s="242"/>
      <c r="BH117" s="242"/>
      <c r="BI117" s="242"/>
      <c r="BJ117" s="242"/>
      <c r="BK117" s="242"/>
      <c r="BL117" s="242"/>
      <c r="BM117" s="242"/>
      <c r="BN117" s="242"/>
      <c r="BO117" s="243"/>
      <c r="BQ117" s="108" t="n">
        <v>36907.7428240741</v>
      </c>
      <c r="BR117" s="109" t="n">
        <v>36907.743287037</v>
      </c>
      <c r="BS117" s="110" t="n">
        <v>39387</v>
      </c>
      <c r="BT117" s="111" t="n">
        <v>122536.375</v>
      </c>
      <c r="BU117" s="112" t="n">
        <v>87525.984375</v>
      </c>
      <c r="BV117" s="112" t="n">
        <v>23340.26171875</v>
      </c>
      <c r="BW117" s="112" t="n">
        <v>29175.326171875</v>
      </c>
      <c r="BX117" s="113" t="n">
        <v>0</v>
      </c>
      <c r="BZ117" s="110" t="n">
        <v>39448</v>
      </c>
      <c r="CA117" s="185" t="n">
        <v>31</v>
      </c>
      <c r="CB117" s="116" t="n">
        <v>31</v>
      </c>
      <c r="CC117" s="181" t="n">
        <v>31</v>
      </c>
      <c r="CD117" s="181" t="n">
        <v>31</v>
      </c>
      <c r="CE117" s="117" t="n">
        <v>1</v>
      </c>
    </row>
    <row r="118" customFormat="false" ht="12.75" hidden="false" customHeight="false" outlineLevel="0" collapsed="false">
      <c r="A118" s="0" t="n">
        <f aca="true">IF(ISERROR(MATCH(D118,iRefDt,0)),"",MATCH(D118,iRefDt,0))</f>
        <v>118</v>
      </c>
      <c r="B118" s="92" t="n">
        <f aca="false">MATCH(YEAR(D118),iSpreads)</f>
        <v>8</v>
      </c>
      <c r="C118" s="0" t="n">
        <f aca="false">MONTH(D118)</f>
        <v>2</v>
      </c>
      <c r="D118" s="93" t="n">
        <f aca="false">DATE(YEAR(D117),MONTH(D117)+1,1)</f>
        <v>39479</v>
      </c>
      <c r="E118" s="94" t="n">
        <f aca="false">VLOOKUP($D118,tblPriorPrice,2)</f>
        <v>30</v>
      </c>
      <c r="F118" s="190" t="n">
        <f aca="false">G118-E118</f>
        <v>0</v>
      </c>
      <c r="G118" s="190" t="n">
        <f aca="true">G106+OFFSET($CG$4,$B118,$C118)</f>
        <v>30</v>
      </c>
      <c r="H118" s="96" t="n">
        <f aca="true">G118+OFFSET($CU$4,$B118,$C118)</f>
        <v>25</v>
      </c>
      <c r="I118" s="96" t="n">
        <f aca="true">G118+OFFSET($DI$4,$B118,$C118)</f>
        <v>52</v>
      </c>
      <c r="J118" s="94" t="n">
        <f aca="false">VLOOKUP($D118,tblPriorPrice,3)</f>
        <v>30</v>
      </c>
      <c r="K118" s="190" t="n">
        <f aca="false">L118-J118</f>
        <v>0</v>
      </c>
      <c r="L118" s="190" t="n">
        <f aca="true">L106+OFFSET($CG$27,$B118,$C118)</f>
        <v>30</v>
      </c>
      <c r="M118" s="96" t="n">
        <f aca="true">$L118+OFFSET($CU$27,$B118,$C118)</f>
        <v>25</v>
      </c>
      <c r="N118" s="97" t="n">
        <f aca="true">$L118+OFFSET($DI$27,$B118,$C118)</f>
        <v>42</v>
      </c>
      <c r="O118" s="59" t="n">
        <f aca="true">IF($A118="",0,INDEX(tblPosn,$A118,2))</f>
        <v>120625.796875</v>
      </c>
      <c r="P118" s="59" t="n">
        <f aca="true">IF($A118="",0,INDEX(tblPosn,$A118,3))</f>
        <v>83289.2421875</v>
      </c>
      <c r="Q118" s="59" t="n">
        <f aca="true">IF($A118="",0,INDEX(tblPosn,$A118,4))</f>
        <v>22976.34375</v>
      </c>
      <c r="R118" s="59" t="n">
        <f aca="true">IF($A118="",0,INDEX(tblPosn,$A118,5))</f>
        <v>22976.34375</v>
      </c>
      <c r="S118" s="59" t="n">
        <f aca="true">IF($A118="",0,INDEX(tblPosn,$A118,6))</f>
        <v>0</v>
      </c>
      <c r="T118" s="98" t="n">
        <f aca="false">O118*F118+P118*K118+R118*AC118+S118*AH118/0.72+Q118*X118</f>
        <v>0</v>
      </c>
      <c r="V118" s="161" t="n">
        <f aca="false">D118</f>
        <v>39479</v>
      </c>
      <c r="W118" s="94" t="n">
        <f aca="false">VLOOKUP($D118,tblPriorPrice,4)</f>
        <v>30</v>
      </c>
      <c r="X118" s="95" t="n">
        <f aca="false">Y118-W118</f>
        <v>0</v>
      </c>
      <c r="Y118" s="191" t="n">
        <f aca="true">Y106+OFFSET($CG$50,$B118,$C118)</f>
        <v>30</v>
      </c>
      <c r="Z118" s="96" t="n">
        <f aca="true">Y118+OFFSET($CU$51,$B118,$C118)</f>
        <v>25</v>
      </c>
      <c r="AA118" s="177" t="n">
        <f aca="true">Y118+OFFSET($DI$51,$B118,$C118)</f>
        <v>53</v>
      </c>
      <c r="AB118" s="94" t="n">
        <f aca="false">VLOOKUP($D118,tblPriorPrice,5)</f>
        <v>30</v>
      </c>
      <c r="AC118" s="190" t="n">
        <f aca="false">AD118-AB118</f>
        <v>0</v>
      </c>
      <c r="AD118" s="191" t="n">
        <f aca="true">AD106+OFFSET($CG$73,$B118,$C118)</f>
        <v>30</v>
      </c>
      <c r="AE118" s="96" t="n">
        <f aca="true">AD118+OFFSET($CU$74,$B118,$C118)</f>
        <v>25</v>
      </c>
      <c r="AF118" s="177" t="n">
        <f aca="true">AD118+OFFSET($DI$74,$B118,$C118)</f>
        <v>53</v>
      </c>
      <c r="AG118" s="94" t="n">
        <f aca="false">VLOOKUP($D118,tblPriorPrice,6)</f>
        <v>1</v>
      </c>
      <c r="AH118" s="190" t="n">
        <f aca="false">AI118-AG118</f>
        <v>0</v>
      </c>
      <c r="AI118" s="191" t="n">
        <f aca="true">AI106+OFFSET($CG$96,$B118,$C118)</f>
        <v>1</v>
      </c>
      <c r="AJ118" s="96" t="n">
        <f aca="true">AI118+OFFSET($CU$96,$B118,$C118)</f>
        <v>1</v>
      </c>
      <c r="AK118" s="97" t="n">
        <f aca="true">AI118+OFFSET($DI$96,$B118,$C118)</f>
        <v>1</v>
      </c>
      <c r="AL118" s="178" t="n">
        <v>29</v>
      </c>
      <c r="AM118" s="165" t="n">
        <v>0.4</v>
      </c>
      <c r="AN118" s="167" t="n">
        <f aca="false">'[3]Pricing Summary'!$AM96</f>
        <v>0.2125</v>
      </c>
      <c r="AO118" s="167" t="n">
        <f aca="false">0.9*AN118</f>
        <v>0.19125</v>
      </c>
      <c r="AP118" s="166" t="n">
        <f aca="false">1.5*AN118</f>
        <v>0.31875</v>
      </c>
      <c r="AQ118" s="167" t="n">
        <f aca="false">AN118</f>
        <v>0.2125</v>
      </c>
      <c r="AR118" s="166" t="n">
        <f aca="false">0.8*AQ118</f>
        <v>0.17</v>
      </c>
      <c r="AS118" s="166" t="n">
        <f aca="false">1.2*AQ118</f>
        <v>0.255</v>
      </c>
      <c r="AT118" s="169" t="n">
        <f aca="false">IF(G118&lt;110,17.94063*(LN(G118/100))+6.727568*(LN(G118/100)^2)+15.06494,(-4.1*G118+2135)/100)*0.5</f>
        <v>1.60842951845599</v>
      </c>
      <c r="AU118" s="169" t="n">
        <f aca="false">(0.75*AT118-AT118)</f>
        <v>-0.402107379613998</v>
      </c>
      <c r="AV118" s="166" t="n">
        <f aca="false">AT118/0.5*1.25-AT118</f>
        <v>2.41264427768399</v>
      </c>
      <c r="AW118" s="168" t="n">
        <f aca="false">IF(L118&lt;15,(15*L118+375)/100,(-4.71*L118+670.65)/100)*0.5</f>
        <v>2.64675</v>
      </c>
      <c r="AX118" s="166" t="n">
        <f aca="false">0.75*AW118-AW118</f>
        <v>-0.6616875</v>
      </c>
      <c r="AY118" s="166" t="n">
        <f aca="false">AW118/0.5*1.25-AW118</f>
        <v>3.970125</v>
      </c>
      <c r="AZ118" s="167" t="n">
        <v>0.5</v>
      </c>
      <c r="BA118" s="74"/>
      <c r="BB118" s="244" t="s">
        <v>135</v>
      </c>
      <c r="BC118" s="245" t="s">
        <v>100</v>
      </c>
      <c r="BD118" s="246" t="s">
        <v>101</v>
      </c>
      <c r="BE118" s="246" t="s">
        <v>102</v>
      </c>
      <c r="BF118" s="246" t="s">
        <v>103</v>
      </c>
      <c r="BG118" s="246" t="s">
        <v>104</v>
      </c>
      <c r="BH118" s="246" t="s">
        <v>105</v>
      </c>
      <c r="BI118" s="246" t="s">
        <v>106</v>
      </c>
      <c r="BJ118" s="246" t="s">
        <v>107</v>
      </c>
      <c r="BK118" s="246" t="s">
        <v>108</v>
      </c>
      <c r="BL118" s="246" t="s">
        <v>109</v>
      </c>
      <c r="BM118" s="246" t="s">
        <v>110</v>
      </c>
      <c r="BN118" s="246" t="s">
        <v>111</v>
      </c>
      <c r="BO118" s="247" t="s">
        <v>136</v>
      </c>
      <c r="BQ118" s="108" t="n">
        <v>36907.7428240741</v>
      </c>
      <c r="BR118" s="109" t="n">
        <v>36907.743287037</v>
      </c>
      <c r="BS118" s="110" t="n">
        <v>39417</v>
      </c>
      <c r="BT118" s="111" t="n">
        <v>116082.203125</v>
      </c>
      <c r="BU118" s="112" t="n">
        <v>89963.703125</v>
      </c>
      <c r="BV118" s="112" t="n">
        <v>29020.55078125</v>
      </c>
      <c r="BW118" s="112" t="n">
        <v>34824.66015625</v>
      </c>
      <c r="BX118" s="113" t="n">
        <v>0</v>
      </c>
      <c r="BZ118" s="110" t="n">
        <v>39479</v>
      </c>
      <c r="CA118" s="185" t="n">
        <v>30</v>
      </c>
      <c r="CB118" s="116" t="n">
        <v>30</v>
      </c>
      <c r="CC118" s="181" t="n">
        <v>30</v>
      </c>
      <c r="CD118" s="181" t="n">
        <v>30</v>
      </c>
      <c r="CE118" s="117" t="n">
        <v>1</v>
      </c>
    </row>
    <row r="119" customFormat="false" ht="12.75" hidden="false" customHeight="false" outlineLevel="0" collapsed="false">
      <c r="A119" s="0" t="n">
        <f aca="true">IF(ISERROR(MATCH(D119,iRefDt,0)),"",MATCH(D119,iRefDt,0))</f>
        <v>119</v>
      </c>
      <c r="B119" s="92" t="n">
        <f aca="false">MATCH(YEAR(D119),iSpreads)</f>
        <v>8</v>
      </c>
      <c r="C119" s="0" t="n">
        <f aca="false">MONTH(D119)</f>
        <v>3</v>
      </c>
      <c r="D119" s="93" t="n">
        <f aca="false">DATE(YEAR(D118),MONTH(D118)+1,1)</f>
        <v>39508</v>
      </c>
      <c r="E119" s="94" t="n">
        <f aca="false">VLOOKUP($D119,tblPriorPrice,2)</f>
        <v>29</v>
      </c>
      <c r="F119" s="190" t="n">
        <f aca="false">G119-E119</f>
        <v>0</v>
      </c>
      <c r="G119" s="190" t="n">
        <f aca="true">G107+OFFSET($CG$4,$B119,$C119)</f>
        <v>29</v>
      </c>
      <c r="H119" s="96" t="n">
        <f aca="true">G119+OFFSET($CU$4,$B119,$C119)</f>
        <v>24</v>
      </c>
      <c r="I119" s="96" t="n">
        <f aca="true">G119+OFFSET($DI$4,$B119,$C119)</f>
        <v>51</v>
      </c>
      <c r="J119" s="94" t="n">
        <f aca="false">VLOOKUP($D119,tblPriorPrice,3)</f>
        <v>29</v>
      </c>
      <c r="K119" s="190" t="n">
        <f aca="false">L119-J119</f>
        <v>0</v>
      </c>
      <c r="L119" s="190" t="n">
        <f aca="true">L107+OFFSET($CG$27,$B119,$C119)</f>
        <v>29</v>
      </c>
      <c r="M119" s="96" t="n">
        <f aca="true">$L119+OFFSET($CU$27,$B119,$C119)</f>
        <v>24</v>
      </c>
      <c r="N119" s="97" t="n">
        <f aca="true">$L119+OFFSET($DI$27,$B119,$C119)</f>
        <v>41</v>
      </c>
      <c r="O119" s="59" t="n">
        <f aca="true">IF($A119="",0,INDEX(tblPosn,$A119,2))</f>
        <v>119978.734375</v>
      </c>
      <c r="P119" s="59" t="n">
        <f aca="true">IF($A119="",0,INDEX(tblPosn,$A119,3))</f>
        <v>88555.7265625</v>
      </c>
      <c r="Q119" s="59" t="n">
        <f aca="true">IF($A119="",0,INDEX(tblPosn,$A119,4))</f>
        <v>28566.365234375</v>
      </c>
      <c r="R119" s="59" t="n">
        <f aca="true">IF($A119="",0,INDEX(tblPosn,$A119,5))</f>
        <v>28566.365234375</v>
      </c>
      <c r="S119" s="59" t="n">
        <f aca="true">IF($A119="",0,INDEX(tblPosn,$A119,6))</f>
        <v>0</v>
      </c>
      <c r="T119" s="98" t="n">
        <f aca="false">O119*F119+P119*K119+R119*AC119+S119*AH119/0.72+Q119*X119</f>
        <v>0</v>
      </c>
      <c r="V119" s="161" t="n">
        <f aca="false">D119</f>
        <v>39508</v>
      </c>
      <c r="W119" s="94" t="n">
        <f aca="false">VLOOKUP($D119,tblPriorPrice,4)</f>
        <v>29</v>
      </c>
      <c r="X119" s="95" t="n">
        <f aca="false">Y119-W119</f>
        <v>0</v>
      </c>
      <c r="Y119" s="191" t="n">
        <f aca="true">Y107+OFFSET($CG$50,$B119,$C119)</f>
        <v>29</v>
      </c>
      <c r="Z119" s="96" t="n">
        <f aca="true">Y119+OFFSET($CU$51,$B119,$C119)</f>
        <v>24</v>
      </c>
      <c r="AA119" s="177" t="n">
        <f aca="true">Y119+OFFSET($DI$51,$B119,$C119)</f>
        <v>52</v>
      </c>
      <c r="AB119" s="94" t="n">
        <f aca="false">VLOOKUP($D119,tblPriorPrice,5)</f>
        <v>29</v>
      </c>
      <c r="AC119" s="190" t="n">
        <f aca="false">AD119-AB119</f>
        <v>0</v>
      </c>
      <c r="AD119" s="191" t="n">
        <f aca="true">AD107+OFFSET($CG$73,$B119,$C119)</f>
        <v>29</v>
      </c>
      <c r="AE119" s="96" t="n">
        <f aca="true">AD119+OFFSET($CU$74,$B119,$C119)</f>
        <v>24</v>
      </c>
      <c r="AF119" s="177" t="n">
        <f aca="true">AD119+OFFSET($DI$74,$B119,$C119)</f>
        <v>52</v>
      </c>
      <c r="AG119" s="94" t="n">
        <f aca="false">VLOOKUP($D119,tblPriorPrice,6)</f>
        <v>1</v>
      </c>
      <c r="AH119" s="190" t="n">
        <f aca="false">AI119-AG119</f>
        <v>0</v>
      </c>
      <c r="AI119" s="191" t="n">
        <f aca="true">AI107+OFFSET($CG$96,$B119,$C119)</f>
        <v>1</v>
      </c>
      <c r="AJ119" s="96" t="n">
        <f aca="true">AI119+OFFSET($CU$96,$B119,$C119)</f>
        <v>1</v>
      </c>
      <c r="AK119" s="97" t="n">
        <f aca="true">AI119+OFFSET($DI$96,$B119,$C119)</f>
        <v>1</v>
      </c>
      <c r="AL119" s="178" t="n">
        <v>30</v>
      </c>
      <c r="AM119" s="165" t="n">
        <v>0.4</v>
      </c>
      <c r="AN119" s="167" t="n">
        <f aca="false">'[3]Pricing Summary'!$AM97</f>
        <v>0.2075</v>
      </c>
      <c r="AO119" s="167" t="n">
        <f aca="false">0.9*AN119</f>
        <v>0.18675</v>
      </c>
      <c r="AP119" s="166" t="n">
        <f aca="false">1.5*AN119</f>
        <v>0.31125</v>
      </c>
      <c r="AQ119" s="167" t="n">
        <f aca="false">AN119</f>
        <v>0.2075</v>
      </c>
      <c r="AR119" s="166" t="n">
        <f aca="false">0.8*AQ119</f>
        <v>0.166</v>
      </c>
      <c r="AS119" s="166" t="n">
        <f aca="false">1.2*AQ119</f>
        <v>0.249</v>
      </c>
      <c r="AT119" s="169" t="n">
        <f aca="false">IF(G119&lt;110,17.94063*(LN(G119/100))+6.727568*(LN(G119/100)^2)+15.06494,(-4.1*G119+2135)/100)*0.5</f>
        <v>1.58278405940532</v>
      </c>
      <c r="AU119" s="169" t="n">
        <f aca="false">(0.75*AT119-AT119)</f>
        <v>-0.395696014851329</v>
      </c>
      <c r="AV119" s="166" t="n">
        <f aca="false">AT119/0.5*1.25-AT119</f>
        <v>2.37417608910797</v>
      </c>
      <c r="AW119" s="168" t="n">
        <f aca="false">IF(L119&lt;15,(15*L119+375)/100,(-4.71*L119+670.65)/100)*0.5</f>
        <v>2.6703</v>
      </c>
      <c r="AX119" s="166" t="n">
        <f aca="false">0.75*AW119-AW119</f>
        <v>-0.667575</v>
      </c>
      <c r="AY119" s="166" t="n">
        <f aca="false">AW119/0.5*1.25-AW119</f>
        <v>4.00545</v>
      </c>
      <c r="AZ119" s="167" t="n">
        <v>0.5</v>
      </c>
      <c r="BA119" s="74"/>
      <c r="BB119" s="128" t="n">
        <v>100</v>
      </c>
      <c r="BC119" s="248" t="n">
        <v>1</v>
      </c>
      <c r="BD119" s="249" t="n">
        <v>1</v>
      </c>
      <c r="BE119" s="249" t="n">
        <v>1</v>
      </c>
      <c r="BF119" s="249" t="n">
        <v>1</v>
      </c>
      <c r="BG119" s="249" t="n">
        <v>1</v>
      </c>
      <c r="BH119" s="249" t="n">
        <v>1</v>
      </c>
      <c r="BI119" s="249" t="n">
        <v>1</v>
      </c>
      <c r="BJ119" s="249" t="n">
        <v>1</v>
      </c>
      <c r="BK119" s="249" t="n">
        <v>1</v>
      </c>
      <c r="BL119" s="249" t="n">
        <v>1</v>
      </c>
      <c r="BM119" s="249" t="n">
        <v>1</v>
      </c>
      <c r="BN119" s="250" t="n">
        <v>1</v>
      </c>
      <c r="BO119" s="251" t="str">
        <f aca="false">IF(AND(BB119&gt;=BC$116,BB119&lt;=BD$116),"1","2")</f>
        <v>2</v>
      </c>
      <c r="BQ119" s="108" t="n">
        <v>36907.7428240741</v>
      </c>
      <c r="BR119" s="109" t="n">
        <v>36907.743287037</v>
      </c>
      <c r="BS119" s="110" t="n">
        <v>39448</v>
      </c>
      <c r="BT119" s="111" t="n">
        <v>127005.859375</v>
      </c>
      <c r="BU119" s="112" t="n">
        <v>89481.3984375</v>
      </c>
      <c r="BV119" s="112" t="n">
        <v>23091.974609375</v>
      </c>
      <c r="BW119" s="112" t="n">
        <v>28864.96875</v>
      </c>
      <c r="BX119" s="113" t="n">
        <v>0</v>
      </c>
      <c r="BZ119" s="110" t="n">
        <v>39508</v>
      </c>
      <c r="CA119" s="185" t="n">
        <v>29</v>
      </c>
      <c r="CB119" s="116" t="n">
        <v>29</v>
      </c>
      <c r="CC119" s="181" t="n">
        <v>29</v>
      </c>
      <c r="CD119" s="181" t="n">
        <v>29</v>
      </c>
      <c r="CE119" s="117" t="n">
        <v>1</v>
      </c>
    </row>
    <row r="120" customFormat="false" ht="12.75" hidden="false" customHeight="false" outlineLevel="0" collapsed="false">
      <c r="A120" s="0" t="n">
        <f aca="true">IF(ISERROR(MATCH(D120,iRefDt,0)),"",MATCH(D120,iRefDt,0))</f>
        <v>120</v>
      </c>
      <c r="B120" s="92" t="n">
        <f aca="false">MATCH(YEAR(D120),iSpreads)</f>
        <v>8</v>
      </c>
      <c r="C120" s="0" t="n">
        <f aca="false">MONTH(D120)</f>
        <v>4</v>
      </c>
      <c r="D120" s="93" t="n">
        <f aca="false">DATE(YEAR(D119),MONTH(D119)+1,1)</f>
        <v>39539</v>
      </c>
      <c r="E120" s="94" t="n">
        <f aca="false">VLOOKUP($D120,tblPriorPrice,2)</f>
        <v>28</v>
      </c>
      <c r="F120" s="190" t="n">
        <f aca="false">G120-E120</f>
        <v>0</v>
      </c>
      <c r="G120" s="190" t="n">
        <f aca="true">G108+OFFSET($CG$4,$B120,$C120)</f>
        <v>28</v>
      </c>
      <c r="H120" s="96" t="n">
        <f aca="true">G120+OFFSET($CU$4,$B120,$C120)</f>
        <v>23</v>
      </c>
      <c r="I120" s="96" t="n">
        <f aca="true">G120+OFFSET($DI$4,$B120,$C120)</f>
        <v>50</v>
      </c>
      <c r="J120" s="94" t="n">
        <f aca="false">VLOOKUP($D120,tblPriorPrice,3)</f>
        <v>28</v>
      </c>
      <c r="K120" s="190" t="n">
        <f aca="false">L120-J120</f>
        <v>0</v>
      </c>
      <c r="L120" s="190" t="n">
        <f aca="true">L108+OFFSET($CG$27,$B120,$C120)</f>
        <v>28</v>
      </c>
      <c r="M120" s="96" t="n">
        <f aca="true">$L120+OFFSET($CU$27,$B120,$C120)</f>
        <v>23</v>
      </c>
      <c r="N120" s="97" t="n">
        <f aca="true">$L120+OFFSET($DI$27,$B120,$C120)</f>
        <v>40</v>
      </c>
      <c r="O120" s="59" t="n">
        <f aca="true">IF($A120="",0,INDEX(tblPosn,$A120,2))</f>
        <v>125037.921875</v>
      </c>
      <c r="P120" s="59" t="n">
        <f aca="true">IF($A120="",0,INDEX(tblPosn,$A120,3))</f>
        <v>84897.90625</v>
      </c>
      <c r="Q120" s="59" t="n">
        <f aca="true">IF($A120="",0,INDEX(tblPosn,$A120,4))</f>
        <v>22734.16796875</v>
      </c>
      <c r="R120" s="59" t="n">
        <f aca="true">IF($A120="",0,INDEX(tblPosn,$A120,5))</f>
        <v>22734.16796875</v>
      </c>
      <c r="S120" s="59" t="n">
        <f aca="true">IF($A120="",0,INDEX(tblPosn,$A120,6))</f>
        <v>0</v>
      </c>
      <c r="T120" s="98" t="n">
        <f aca="false">O120*F120+P120*K120+R120*AC120+S120*AH120/0.72+Q120*X120</f>
        <v>0</v>
      </c>
      <c r="V120" s="161" t="n">
        <f aca="false">D120</f>
        <v>39539</v>
      </c>
      <c r="W120" s="94" t="n">
        <f aca="false">VLOOKUP($D120,tblPriorPrice,4)</f>
        <v>28</v>
      </c>
      <c r="X120" s="95" t="n">
        <f aca="false">Y120-W120</f>
        <v>0</v>
      </c>
      <c r="Y120" s="191" t="n">
        <f aca="true">Y108+OFFSET($CG$50,$B120,$C120)</f>
        <v>28</v>
      </c>
      <c r="Z120" s="96" t="n">
        <f aca="true">Y120+OFFSET($CU$51,$B120,$C120)</f>
        <v>23</v>
      </c>
      <c r="AA120" s="177" t="n">
        <f aca="true">Y120+OFFSET($DI$51,$B120,$C120)</f>
        <v>51</v>
      </c>
      <c r="AB120" s="94" t="n">
        <f aca="false">VLOOKUP($D120,tblPriorPrice,5)</f>
        <v>28</v>
      </c>
      <c r="AC120" s="190" t="n">
        <f aca="false">AD120-AB120</f>
        <v>0</v>
      </c>
      <c r="AD120" s="191" t="n">
        <f aca="true">AD108+OFFSET($CG$73,$B120,$C120)</f>
        <v>28</v>
      </c>
      <c r="AE120" s="96" t="n">
        <f aca="true">AD120+OFFSET($CU$74,$B120,$C120)</f>
        <v>23</v>
      </c>
      <c r="AF120" s="177" t="n">
        <f aca="true">AD120+OFFSET($DI$74,$B120,$C120)</f>
        <v>51</v>
      </c>
      <c r="AG120" s="94" t="n">
        <f aca="false">VLOOKUP($D120,tblPriorPrice,6)</f>
        <v>1</v>
      </c>
      <c r="AH120" s="190" t="n">
        <f aca="false">AI120-AG120</f>
        <v>0</v>
      </c>
      <c r="AI120" s="191" t="n">
        <f aca="true">AI108+OFFSET($CG$96,$B120,$C120)</f>
        <v>1</v>
      </c>
      <c r="AJ120" s="96" t="n">
        <f aca="true">AI120+OFFSET($CU$96,$B120,$C120)</f>
        <v>1</v>
      </c>
      <c r="AK120" s="97" t="n">
        <f aca="true">AI120+OFFSET($DI$96,$B120,$C120)</f>
        <v>1</v>
      </c>
      <c r="AL120" s="178" t="n">
        <v>30</v>
      </c>
      <c r="AM120" s="165" t="n">
        <v>0.4</v>
      </c>
      <c r="AN120" s="167" t="n">
        <f aca="false">'[3]Pricing Summary'!$AM98</f>
        <v>0.2075</v>
      </c>
      <c r="AO120" s="167" t="n">
        <f aca="false">0.9*AN120</f>
        <v>0.18675</v>
      </c>
      <c r="AP120" s="166" t="n">
        <f aca="false">1.5*AN120</f>
        <v>0.31125</v>
      </c>
      <c r="AQ120" s="167" t="n">
        <f aca="false">AN120</f>
        <v>0.2075</v>
      </c>
      <c r="AR120" s="166" t="n">
        <f aca="false">0.8*AQ120</f>
        <v>0.166</v>
      </c>
      <c r="AS120" s="166" t="n">
        <f aca="false">1.2*AQ120</f>
        <v>0.249</v>
      </c>
      <c r="AT120" s="169" t="n">
        <f aca="false">IF(G120&lt;110,17.94063*(LN(G120/100))+6.727568*(LN(G120/100)^2)+15.06494,(-4.1*G120+2135)/100)*0.5</f>
        <v>1.56438247047004</v>
      </c>
      <c r="AU120" s="169" t="n">
        <f aca="false">(0.75*AT120-AT120)</f>
        <v>-0.39109561761751</v>
      </c>
      <c r="AV120" s="166" t="n">
        <f aca="false">AT120/0.5*1.25-AT120</f>
        <v>2.34657370570506</v>
      </c>
      <c r="AW120" s="168" t="n">
        <f aca="false">IF(L120&lt;15,(15*L120+375)/100,(-4.71*L120+670.65)/100)*0.5</f>
        <v>2.69385</v>
      </c>
      <c r="AX120" s="166" t="n">
        <f aca="false">0.75*AW120-AW120</f>
        <v>-0.6734625</v>
      </c>
      <c r="AY120" s="166" t="n">
        <f aca="false">AW120/0.5*1.25-AW120</f>
        <v>4.040775</v>
      </c>
      <c r="AZ120" s="167" t="n">
        <v>0.5</v>
      </c>
      <c r="BA120" s="74"/>
      <c r="BB120" s="135" t="n">
        <v>200</v>
      </c>
      <c r="BC120" s="252" t="n">
        <v>1</v>
      </c>
      <c r="BD120" s="253" t="n">
        <v>1</v>
      </c>
      <c r="BE120" s="253" t="n">
        <v>1</v>
      </c>
      <c r="BF120" s="253" t="n">
        <v>1</v>
      </c>
      <c r="BG120" s="253" t="n">
        <v>1</v>
      </c>
      <c r="BH120" s="253" t="n">
        <v>1</v>
      </c>
      <c r="BI120" s="253" t="n">
        <v>1</v>
      </c>
      <c r="BJ120" s="253" t="n">
        <v>1</v>
      </c>
      <c r="BK120" s="253" t="n">
        <v>1</v>
      </c>
      <c r="BL120" s="253" t="n">
        <v>1</v>
      </c>
      <c r="BM120" s="253" t="n">
        <v>1</v>
      </c>
      <c r="BN120" s="254" t="n">
        <v>1</v>
      </c>
      <c r="BO120" s="251" t="str">
        <f aca="false">IF(AND(BB120&gt;=BC$116,BB120&lt;=BD$116),"1","2")</f>
        <v>2</v>
      </c>
      <c r="BQ120" s="108" t="n">
        <v>36907.7428240741</v>
      </c>
      <c r="BR120" s="109" t="n">
        <v>36907.743287037</v>
      </c>
      <c r="BS120" s="110" t="n">
        <v>39479</v>
      </c>
      <c r="BT120" s="111" t="n">
        <v>120625.796875</v>
      </c>
      <c r="BU120" s="112" t="n">
        <v>83289.2421875</v>
      </c>
      <c r="BV120" s="112" t="n">
        <v>22976.34375</v>
      </c>
      <c r="BW120" s="112" t="n">
        <v>22976.34375</v>
      </c>
      <c r="BX120" s="113" t="n">
        <v>0</v>
      </c>
      <c r="BZ120" s="110" t="n">
        <v>39539</v>
      </c>
      <c r="CA120" s="185" t="n">
        <v>28</v>
      </c>
      <c r="CB120" s="116" t="n">
        <v>28</v>
      </c>
      <c r="CC120" s="181" t="n">
        <v>28</v>
      </c>
      <c r="CD120" s="181" t="n">
        <v>28</v>
      </c>
      <c r="CE120" s="117" t="n">
        <v>1</v>
      </c>
    </row>
    <row r="121" customFormat="false" ht="12.75" hidden="false" customHeight="false" outlineLevel="0" collapsed="false">
      <c r="A121" s="0" t="n">
        <f aca="true">IF(ISERROR(MATCH(D121,iRefDt,0)),"",MATCH(D121,iRefDt,0))</f>
        <v>121</v>
      </c>
      <c r="B121" s="92" t="n">
        <f aca="false">MATCH(YEAR(D121),iSpreads)</f>
        <v>8</v>
      </c>
      <c r="C121" s="0" t="n">
        <f aca="false">MONTH(D121)</f>
        <v>5</v>
      </c>
      <c r="D121" s="93" t="n">
        <f aca="false">DATE(YEAR(D120),MONTH(D120)+1,1)</f>
        <v>39569</v>
      </c>
      <c r="E121" s="94" t="n">
        <f aca="false">VLOOKUP($D121,tblPriorPrice,2)</f>
        <v>31</v>
      </c>
      <c r="F121" s="190" t="n">
        <f aca="false">G121-E121</f>
        <v>0</v>
      </c>
      <c r="G121" s="190" t="n">
        <f aca="true">G109+OFFSET($CG$4,$B121,$C121)</f>
        <v>31</v>
      </c>
      <c r="H121" s="96" t="n">
        <f aca="true">G121+OFFSET($CU$4,$B121,$C121)</f>
        <v>26</v>
      </c>
      <c r="I121" s="96" t="n">
        <f aca="true">G121+OFFSET($DI$4,$B121,$C121)</f>
        <v>53</v>
      </c>
      <c r="J121" s="94" t="n">
        <f aca="false">VLOOKUP($D121,tblPriorPrice,3)</f>
        <v>31</v>
      </c>
      <c r="K121" s="190" t="n">
        <f aca="false">L121-J121</f>
        <v>0</v>
      </c>
      <c r="L121" s="190" t="n">
        <f aca="true">L109+OFFSET($CG$27,$B121,$C121)</f>
        <v>31</v>
      </c>
      <c r="M121" s="96" t="n">
        <f aca="true">$L121+OFFSET($CU$27,$B121,$C121)</f>
        <v>26</v>
      </c>
      <c r="N121" s="97" t="n">
        <f aca="true">$L121+OFFSET($DI$27,$B121,$C121)</f>
        <v>43</v>
      </c>
      <c r="O121" s="59" t="n">
        <f aca="true">IF($A121="",0,INDEX(tblPosn,$A121,2))</f>
        <v>118708.515625</v>
      </c>
      <c r="P121" s="59" t="n">
        <f aca="true">IF($A121="",0,INDEX(tblPosn,$A121,3))</f>
        <v>87618.1875</v>
      </c>
      <c r="Q121" s="59" t="n">
        <f aca="true">IF($A121="",0,INDEX(tblPosn,$A121,4))</f>
        <v>28263.93359375</v>
      </c>
      <c r="R121" s="59" t="n">
        <f aca="true">IF($A121="",0,INDEX(tblPosn,$A121,5))</f>
        <v>28263.93359375</v>
      </c>
      <c r="S121" s="59" t="n">
        <f aca="true">IF($A121="",0,INDEX(tblPosn,$A121,6))</f>
        <v>0</v>
      </c>
      <c r="T121" s="98" t="n">
        <f aca="false">O121*F121+P121*K121+R121*AC121+S121*AH121/0.72+Q121*X121</f>
        <v>0</v>
      </c>
      <c r="V121" s="161" t="n">
        <f aca="false">D121</f>
        <v>39569</v>
      </c>
      <c r="W121" s="94" t="n">
        <f aca="false">VLOOKUP($D121,tblPriorPrice,4)</f>
        <v>31</v>
      </c>
      <c r="X121" s="95" t="n">
        <f aca="false">Y121-W121</f>
        <v>0</v>
      </c>
      <c r="Y121" s="191" t="n">
        <f aca="true">Y109+OFFSET($CG$50,$B121,$C121)</f>
        <v>31</v>
      </c>
      <c r="Z121" s="96" t="n">
        <f aca="true">Y121+OFFSET($CU$51,$B121,$C121)</f>
        <v>26</v>
      </c>
      <c r="AA121" s="177" t="n">
        <f aca="true">Y121+OFFSET($DI$51,$B121,$C121)</f>
        <v>54</v>
      </c>
      <c r="AB121" s="94" t="n">
        <f aca="false">VLOOKUP($D121,tblPriorPrice,5)</f>
        <v>31</v>
      </c>
      <c r="AC121" s="190" t="n">
        <f aca="false">AD121-AB121</f>
        <v>0</v>
      </c>
      <c r="AD121" s="191" t="n">
        <f aca="true">AD109+OFFSET($CG$73,$B121,$C121)</f>
        <v>31</v>
      </c>
      <c r="AE121" s="96" t="n">
        <f aca="true">AD121+OFFSET($CU$74,$B121,$C121)</f>
        <v>26</v>
      </c>
      <c r="AF121" s="177" t="n">
        <f aca="true">AD121+OFFSET($DI$74,$B121,$C121)</f>
        <v>54</v>
      </c>
      <c r="AG121" s="94" t="n">
        <f aca="false">VLOOKUP($D121,tblPriorPrice,6)</f>
        <v>1</v>
      </c>
      <c r="AH121" s="190" t="n">
        <f aca="false">AI121-AG121</f>
        <v>0</v>
      </c>
      <c r="AI121" s="191" t="n">
        <f aca="true">AI109+OFFSET($CG$96,$B121,$C121)</f>
        <v>1</v>
      </c>
      <c r="AJ121" s="96" t="n">
        <f aca="true">AI121+OFFSET($CU$96,$B121,$C121)</f>
        <v>1</v>
      </c>
      <c r="AK121" s="97" t="n">
        <f aca="true">AI121+OFFSET($DI$96,$B121,$C121)</f>
        <v>1</v>
      </c>
      <c r="AL121" s="178" t="n">
        <v>30</v>
      </c>
      <c r="AM121" s="165" t="n">
        <v>0.4</v>
      </c>
      <c r="AN121" s="167" t="n">
        <f aca="false">'[3]Pricing Summary'!$AM99</f>
        <v>0.2075</v>
      </c>
      <c r="AO121" s="167" t="n">
        <f aca="false">0.9*AN121</f>
        <v>0.18675</v>
      </c>
      <c r="AP121" s="166" t="n">
        <f aca="false">1.5*AN121</f>
        <v>0.31125</v>
      </c>
      <c r="AQ121" s="167" t="n">
        <f aca="false">AN121</f>
        <v>0.2075</v>
      </c>
      <c r="AR121" s="166" t="n">
        <f aca="false">0.8*AQ121</f>
        <v>0.166</v>
      </c>
      <c r="AS121" s="166" t="n">
        <f aca="false">1.2*AQ121</f>
        <v>0.249</v>
      </c>
      <c r="AT121" s="169" t="n">
        <f aca="false">IF(G121&lt;110,17.94063*(LN(G121/100))+6.727568*(LN(G121/100)^2)+15.06494,(-4.1*G121+2135)/100)*0.5</f>
        <v>1.64058990686036</v>
      </c>
      <c r="AU121" s="169" t="n">
        <f aca="false">(0.75*AT121-AT121)</f>
        <v>-0.410147476715089</v>
      </c>
      <c r="AV121" s="166" t="n">
        <f aca="false">AT121/0.5*1.25-AT121</f>
        <v>2.46088486029054</v>
      </c>
      <c r="AW121" s="168" t="n">
        <f aca="false">IF(L121&lt;15,(15*L121+375)/100,(-4.71*L121+670.65)/100)*0.5</f>
        <v>2.6232</v>
      </c>
      <c r="AX121" s="166" t="n">
        <f aca="false">0.75*AW121-AW121</f>
        <v>-0.6558</v>
      </c>
      <c r="AY121" s="166" t="n">
        <f aca="false">AW121/0.5*1.25-AW121</f>
        <v>3.9348</v>
      </c>
      <c r="AZ121" s="167" t="n">
        <v>0.5</v>
      </c>
      <c r="BA121" s="74"/>
      <c r="BB121" s="135" t="n">
        <v>300</v>
      </c>
      <c r="BC121" s="252" t="n">
        <v>1</v>
      </c>
      <c r="BD121" s="253" t="n">
        <v>1</v>
      </c>
      <c r="BE121" s="253" t="n">
        <v>1</v>
      </c>
      <c r="BF121" s="253" t="n">
        <v>1</v>
      </c>
      <c r="BG121" s="253" t="n">
        <v>1</v>
      </c>
      <c r="BH121" s="253" t="n">
        <v>1</v>
      </c>
      <c r="BI121" s="253" t="n">
        <v>1</v>
      </c>
      <c r="BJ121" s="253" t="n">
        <v>1</v>
      </c>
      <c r="BK121" s="253" t="n">
        <v>1</v>
      </c>
      <c r="BL121" s="253" t="n">
        <v>1</v>
      </c>
      <c r="BM121" s="253" t="n">
        <v>1</v>
      </c>
      <c r="BN121" s="254" t="n">
        <v>1</v>
      </c>
      <c r="BO121" s="251" t="str">
        <f aca="false">IF(AND(BB121&gt;=BC$116,BB121&lt;=BD$116),"1","2")</f>
        <v>2</v>
      </c>
      <c r="BQ121" s="108" t="n">
        <v>36907.7428240741</v>
      </c>
      <c r="BR121" s="109" t="n">
        <v>36907.743287037</v>
      </c>
      <c r="BS121" s="110" t="n">
        <v>39508</v>
      </c>
      <c r="BT121" s="111" t="n">
        <v>119978.734375</v>
      </c>
      <c r="BU121" s="112" t="n">
        <v>88555.7265625</v>
      </c>
      <c r="BV121" s="112" t="n">
        <v>28566.365234375</v>
      </c>
      <c r="BW121" s="112" t="n">
        <v>28566.365234375</v>
      </c>
      <c r="BX121" s="113" t="n">
        <v>0</v>
      </c>
      <c r="BZ121" s="110" t="n">
        <v>39569</v>
      </c>
      <c r="CA121" s="185" t="n">
        <v>31</v>
      </c>
      <c r="CB121" s="116" t="n">
        <v>31</v>
      </c>
      <c r="CC121" s="181" t="n">
        <v>31</v>
      </c>
      <c r="CD121" s="181" t="n">
        <v>31</v>
      </c>
      <c r="CE121" s="117" t="n">
        <v>1</v>
      </c>
    </row>
    <row r="122" customFormat="false" ht="12.75" hidden="false" customHeight="false" outlineLevel="0" collapsed="false">
      <c r="A122" s="0" t="n">
        <f aca="true">IF(ISERROR(MATCH(D122,iRefDt,0)),"",MATCH(D122,iRefDt,0))</f>
        <v>122</v>
      </c>
      <c r="B122" s="92" t="n">
        <f aca="false">MATCH(YEAR(D122),iSpreads)</f>
        <v>8</v>
      </c>
      <c r="C122" s="0" t="n">
        <f aca="false">MONTH(D122)</f>
        <v>6</v>
      </c>
      <c r="D122" s="93" t="n">
        <f aca="false">DATE(YEAR(D121),MONTH(D121)+1,1)</f>
        <v>39600</v>
      </c>
      <c r="E122" s="94" t="n">
        <f aca="false">VLOOKUP($D122,tblPriorPrice,2)</f>
        <v>38</v>
      </c>
      <c r="F122" s="190" t="n">
        <f aca="false">G122-E122</f>
        <v>0</v>
      </c>
      <c r="G122" s="190" t="n">
        <f aca="true">G110+OFFSET($CG$4,$B122,$C122)</f>
        <v>38</v>
      </c>
      <c r="H122" s="96" t="n">
        <f aca="true">G122+OFFSET($CU$4,$B122,$C122)</f>
        <v>33</v>
      </c>
      <c r="I122" s="96" t="n">
        <f aca="true">G122+OFFSET($DI$4,$B122,$C122)</f>
        <v>60</v>
      </c>
      <c r="J122" s="94" t="n">
        <f aca="false">VLOOKUP($D122,tblPriorPrice,3)</f>
        <v>38</v>
      </c>
      <c r="K122" s="190" t="n">
        <f aca="false">L122-J122</f>
        <v>0</v>
      </c>
      <c r="L122" s="190" t="n">
        <f aca="true">L110+OFFSET($CG$27,$B122,$C122)</f>
        <v>38</v>
      </c>
      <c r="M122" s="96" t="n">
        <f aca="true">$L122+OFFSET($CU$27,$B122,$C122)</f>
        <v>33</v>
      </c>
      <c r="N122" s="97" t="n">
        <f aca="true">$L122+OFFSET($DI$27,$B122,$C122)</f>
        <v>50</v>
      </c>
      <c r="O122" s="59" t="n">
        <f aca="true">IF($A122="",0,INDEX(tblPosn,$A122,2))</f>
        <v>118093.0859375</v>
      </c>
      <c r="P122" s="59" t="n">
        <f aca="true">IF($A122="",0,INDEX(tblPosn,$A122,3))</f>
        <v>84352.203125</v>
      </c>
      <c r="Q122" s="59" t="n">
        <f aca="true">IF($A122="",0,INDEX(tblPosn,$A122,4))</f>
        <v>22493.921875</v>
      </c>
      <c r="R122" s="59" t="n">
        <f aca="true">IF($A122="",0,INDEX(tblPosn,$A122,5))</f>
        <v>28117.40234375</v>
      </c>
      <c r="S122" s="59" t="n">
        <f aca="true">IF($A122="",0,INDEX(tblPosn,$A122,6))</f>
        <v>0</v>
      </c>
      <c r="T122" s="98" t="n">
        <f aca="false">O122*F122+P122*K122+R122*AC122+S122*AH122/0.72+Q122*X122</f>
        <v>0</v>
      </c>
      <c r="V122" s="161" t="n">
        <f aca="false">D122</f>
        <v>39600</v>
      </c>
      <c r="W122" s="94" t="n">
        <f aca="false">VLOOKUP($D122,tblPriorPrice,4)</f>
        <v>38</v>
      </c>
      <c r="X122" s="95" t="n">
        <f aca="false">Y122-W122</f>
        <v>0</v>
      </c>
      <c r="Y122" s="191" t="n">
        <f aca="true">Y110+OFFSET($CG$50,$B122,$C122)</f>
        <v>38</v>
      </c>
      <c r="Z122" s="96" t="n">
        <f aca="true">Y122+OFFSET($CU$51,$B122,$C122)</f>
        <v>33</v>
      </c>
      <c r="AA122" s="177" t="n">
        <f aca="true">Y122+OFFSET($DI$51,$B122,$C122)</f>
        <v>61</v>
      </c>
      <c r="AB122" s="94" t="n">
        <f aca="false">VLOOKUP($D122,tblPriorPrice,5)</f>
        <v>38</v>
      </c>
      <c r="AC122" s="190" t="n">
        <f aca="false">AD122-AB122</f>
        <v>0</v>
      </c>
      <c r="AD122" s="191" t="n">
        <f aca="true">AD110+OFFSET($CG$73,$B122,$C122)</f>
        <v>38</v>
      </c>
      <c r="AE122" s="96" t="n">
        <f aca="true">AD122+OFFSET($CU$74,$B122,$C122)</f>
        <v>33</v>
      </c>
      <c r="AF122" s="177" t="n">
        <f aca="true">AD122+OFFSET($DI$74,$B122,$C122)</f>
        <v>61</v>
      </c>
      <c r="AG122" s="94" t="n">
        <f aca="false">VLOOKUP($D122,tblPriorPrice,6)</f>
        <v>1</v>
      </c>
      <c r="AH122" s="190" t="n">
        <f aca="false">AI122-AG122</f>
        <v>0</v>
      </c>
      <c r="AI122" s="191" t="n">
        <f aca="true">AI110+OFFSET($CG$96,$B122,$C122)</f>
        <v>1</v>
      </c>
      <c r="AJ122" s="96" t="n">
        <f aca="true">AI122+OFFSET($CU$96,$B122,$C122)</f>
        <v>1</v>
      </c>
      <c r="AK122" s="97" t="n">
        <f aca="true">AI122+OFFSET($DI$96,$B122,$C122)</f>
        <v>1</v>
      </c>
      <c r="AL122" s="178" t="n">
        <v>31</v>
      </c>
      <c r="AM122" s="165" t="n">
        <v>0.4</v>
      </c>
      <c r="AN122" s="167" t="n">
        <f aca="false">'[3]Pricing Summary'!$AM100</f>
        <v>0.2075</v>
      </c>
      <c r="AO122" s="167" t="n">
        <f aca="false">0.9*AN122</f>
        <v>0.18675</v>
      </c>
      <c r="AP122" s="166" t="n">
        <f aca="false">1.5*AN122</f>
        <v>0.31125</v>
      </c>
      <c r="AQ122" s="167" t="n">
        <f aca="false">AN122</f>
        <v>0.2075</v>
      </c>
      <c r="AR122" s="166" t="n">
        <f aca="false">0.8*AQ122</f>
        <v>0.166</v>
      </c>
      <c r="AS122" s="166" t="n">
        <f aca="false">1.2*AQ122</f>
        <v>0.249</v>
      </c>
      <c r="AT122" s="169" t="n">
        <f aca="false">IF(G122&lt;110,17.94063*(LN(G122/100))+6.727568*(LN(G122/100)^2)+15.06494,(-4.1*G122+2135)/100)*0.5</f>
        <v>2.00217447645069</v>
      </c>
      <c r="AU122" s="169" t="n">
        <f aca="false">(0.75*AT122-AT122)</f>
        <v>-0.500543619112672</v>
      </c>
      <c r="AV122" s="166" t="n">
        <f aca="false">AT122/0.5*1.25-AT122</f>
        <v>3.00326171467603</v>
      </c>
      <c r="AW122" s="168" t="n">
        <f aca="false">IF(L122&lt;15,(15*L122+375)/100,(-4.71*L122+670.65)/100)*0.5</f>
        <v>2.45835</v>
      </c>
      <c r="AX122" s="166" t="n">
        <f aca="false">0.75*AW122-AW122</f>
        <v>-0.6145875</v>
      </c>
      <c r="AY122" s="166" t="n">
        <f aca="false">AW122/0.5*1.25-AW122</f>
        <v>3.687525</v>
      </c>
      <c r="AZ122" s="167" t="n">
        <v>0.5</v>
      </c>
      <c r="BA122" s="74"/>
      <c r="BB122" s="135" t="n">
        <v>400</v>
      </c>
      <c r="BC122" s="252" t="n">
        <v>1</v>
      </c>
      <c r="BD122" s="253" t="n">
        <v>1</v>
      </c>
      <c r="BE122" s="253" t="n">
        <v>1</v>
      </c>
      <c r="BF122" s="253" t="n">
        <v>1</v>
      </c>
      <c r="BG122" s="253" t="n">
        <v>1</v>
      </c>
      <c r="BH122" s="253" t="n">
        <v>1</v>
      </c>
      <c r="BI122" s="253" t="n">
        <v>1</v>
      </c>
      <c r="BJ122" s="253" t="n">
        <v>1</v>
      </c>
      <c r="BK122" s="253" t="n">
        <v>1</v>
      </c>
      <c r="BL122" s="253" t="n">
        <v>1</v>
      </c>
      <c r="BM122" s="253" t="n">
        <v>1</v>
      </c>
      <c r="BN122" s="254" t="n">
        <v>1</v>
      </c>
      <c r="BO122" s="251" t="str">
        <f aca="false">IF(AND(BB122&gt;=BC$116,BB122&lt;=BD$116),"1","2")</f>
        <v>2</v>
      </c>
      <c r="BQ122" s="108" t="n">
        <v>36907.7428240741</v>
      </c>
      <c r="BR122" s="109" t="n">
        <v>36907.743287037</v>
      </c>
      <c r="BS122" s="110" t="n">
        <v>39539</v>
      </c>
      <c r="BT122" s="111" t="n">
        <v>125037.921875</v>
      </c>
      <c r="BU122" s="112" t="n">
        <v>84897.90625</v>
      </c>
      <c r="BV122" s="112" t="n">
        <v>22734.16796875</v>
      </c>
      <c r="BW122" s="112" t="n">
        <v>22734.16796875</v>
      </c>
      <c r="BX122" s="113" t="n">
        <v>0</v>
      </c>
      <c r="BZ122" s="110" t="n">
        <v>39600</v>
      </c>
      <c r="CA122" s="185" t="n">
        <v>38</v>
      </c>
      <c r="CB122" s="116" t="n">
        <v>38</v>
      </c>
      <c r="CC122" s="181" t="n">
        <v>38</v>
      </c>
      <c r="CD122" s="181" t="n">
        <v>38</v>
      </c>
      <c r="CE122" s="117" t="n">
        <v>1</v>
      </c>
    </row>
    <row r="123" customFormat="false" ht="12.75" hidden="false" customHeight="false" outlineLevel="0" collapsed="false">
      <c r="A123" s="0" t="n">
        <f aca="true">IF(ISERROR(MATCH(D123,iRefDt,0)),"",MATCH(D123,iRefDt,0))</f>
        <v>123</v>
      </c>
      <c r="B123" s="92" t="n">
        <f aca="false">MATCH(YEAR(D123),iSpreads)</f>
        <v>8</v>
      </c>
      <c r="C123" s="0" t="n">
        <f aca="false">MONTH(D123)</f>
        <v>7</v>
      </c>
      <c r="D123" s="93" t="n">
        <f aca="false">DATE(YEAR(D122),MONTH(D122)+1,1)</f>
        <v>39630</v>
      </c>
      <c r="E123" s="94" t="n">
        <f aca="false">VLOOKUP($D123,tblPriorPrice,2)</f>
        <v>38</v>
      </c>
      <c r="F123" s="190" t="n">
        <f aca="false">G123-E123</f>
        <v>0</v>
      </c>
      <c r="G123" s="190" t="n">
        <f aca="true">G111+OFFSET($CG$4,$B123,$C123)</f>
        <v>38</v>
      </c>
      <c r="H123" s="96" t="n">
        <f aca="true">G123+OFFSET($CU$4,$B123,$C123)</f>
        <v>33</v>
      </c>
      <c r="I123" s="96" t="n">
        <f aca="true">G123+OFFSET($DI$4,$B123,$C123)</f>
        <v>60</v>
      </c>
      <c r="J123" s="94" t="n">
        <f aca="false">VLOOKUP($D123,tblPriorPrice,3)</f>
        <v>38</v>
      </c>
      <c r="K123" s="190" t="n">
        <f aca="false">L123-J123</f>
        <v>0</v>
      </c>
      <c r="L123" s="190" t="n">
        <f aca="true">L111+OFFSET($CG$27,$B123,$C123)</f>
        <v>38</v>
      </c>
      <c r="M123" s="96" t="n">
        <f aca="true">$L123+OFFSET($CU$27,$B123,$C123)</f>
        <v>33</v>
      </c>
      <c r="N123" s="97" t="n">
        <f aca="true">$L123+OFFSET($DI$27,$B123,$C123)</f>
        <v>50</v>
      </c>
      <c r="O123" s="59" t="n">
        <f aca="true">IF($A123="",0,INDEX(tblPosn,$A123,2))</f>
        <v>123043.9765625</v>
      </c>
      <c r="P123" s="59" t="n">
        <f aca="true">IF($A123="",0,INDEX(tblPosn,$A123,3))</f>
        <v>86690.078125</v>
      </c>
      <c r="Q123" s="59" t="n">
        <f aca="true">IF($A123="",0,INDEX(tblPosn,$A123,4))</f>
        <v>22371.6328125</v>
      </c>
      <c r="R123" s="59" t="n">
        <f aca="true">IF($A123="",0,INDEX(tblPosn,$A123,5))</f>
        <v>27964.541015625</v>
      </c>
      <c r="S123" s="59" t="n">
        <f aca="true">IF($A123="",0,INDEX(tblPosn,$A123,6))</f>
        <v>0</v>
      </c>
      <c r="T123" s="98" t="n">
        <f aca="false">O123*F123+P123*K123+R123*AC123+S123*AH123/0.72+Q123*X123</f>
        <v>0</v>
      </c>
      <c r="V123" s="161" t="n">
        <f aca="false">D123</f>
        <v>39630</v>
      </c>
      <c r="W123" s="94" t="n">
        <f aca="false">VLOOKUP($D123,tblPriorPrice,4)</f>
        <v>38</v>
      </c>
      <c r="X123" s="95" t="n">
        <f aca="false">Y123-W123</f>
        <v>0</v>
      </c>
      <c r="Y123" s="191" t="n">
        <f aca="true">Y111+OFFSET($CG$50,$B123,$C123)</f>
        <v>38</v>
      </c>
      <c r="Z123" s="96" t="n">
        <f aca="true">Y123+OFFSET($CU$51,$B123,$C123)</f>
        <v>33</v>
      </c>
      <c r="AA123" s="177" t="n">
        <f aca="true">Y123+OFFSET($DI$51,$B123,$C123)</f>
        <v>61</v>
      </c>
      <c r="AB123" s="94" t="n">
        <f aca="false">VLOOKUP($D123,tblPriorPrice,5)</f>
        <v>38</v>
      </c>
      <c r="AC123" s="190" t="n">
        <f aca="false">AD123-AB123</f>
        <v>0</v>
      </c>
      <c r="AD123" s="191" t="n">
        <f aca="true">AD111+OFFSET($CG$73,$B123,$C123)</f>
        <v>38</v>
      </c>
      <c r="AE123" s="96" t="n">
        <f aca="true">AD123+OFFSET($CU$74,$B123,$C123)</f>
        <v>33</v>
      </c>
      <c r="AF123" s="177" t="n">
        <f aca="true">AD123+OFFSET($DI$74,$B123,$C123)</f>
        <v>61</v>
      </c>
      <c r="AG123" s="94" t="n">
        <f aca="false">VLOOKUP($D123,tblPriorPrice,6)</f>
        <v>1</v>
      </c>
      <c r="AH123" s="190" t="n">
        <f aca="false">AI123-AG123</f>
        <v>0</v>
      </c>
      <c r="AI123" s="191" t="n">
        <f aca="true">AI111+OFFSET($CG$96,$B123,$C123)</f>
        <v>1</v>
      </c>
      <c r="AJ123" s="96" t="n">
        <f aca="true">AI123+OFFSET($CU$96,$B123,$C123)</f>
        <v>1</v>
      </c>
      <c r="AK123" s="97" t="n">
        <f aca="true">AI123+OFFSET($DI$96,$B123,$C123)</f>
        <v>1</v>
      </c>
      <c r="AL123" s="178" t="n">
        <v>31</v>
      </c>
      <c r="AM123" s="165" t="n">
        <v>0.4</v>
      </c>
      <c r="AN123" s="167" t="n">
        <f aca="false">'[3]Pricing Summary'!$AM101</f>
        <v>0.2025</v>
      </c>
      <c r="AO123" s="167" t="n">
        <f aca="false">0.9*AN123</f>
        <v>0.18225</v>
      </c>
      <c r="AP123" s="166" t="n">
        <f aca="false">1.5*AN123</f>
        <v>0.30375</v>
      </c>
      <c r="AQ123" s="167" t="n">
        <f aca="false">AN123</f>
        <v>0.2025</v>
      </c>
      <c r="AR123" s="166" t="n">
        <f aca="false">0.8*AQ123</f>
        <v>0.162</v>
      </c>
      <c r="AS123" s="166" t="n">
        <f aca="false">1.2*AQ123</f>
        <v>0.243</v>
      </c>
      <c r="AT123" s="169" t="n">
        <f aca="false">IF(G123&lt;110,17.94063*(LN(G123/100))+6.727568*(LN(G123/100)^2)+15.06494,(-4.1*G123+2135)/100)*0.5</f>
        <v>2.00217447645069</v>
      </c>
      <c r="AU123" s="169" t="n">
        <f aca="false">(0.75*AT123-AT123)</f>
        <v>-0.500543619112672</v>
      </c>
      <c r="AV123" s="166" t="n">
        <f aca="false">AT123/0.5*1.25-AT123</f>
        <v>3.00326171467603</v>
      </c>
      <c r="AW123" s="168" t="n">
        <f aca="false">IF(L123&lt;15,(15*L123+375)/100,(-4.71*L123+670.65)/100)*0.5</f>
        <v>2.45835</v>
      </c>
      <c r="AX123" s="166" t="n">
        <f aca="false">0.75*AW123-AW123</f>
        <v>-0.6145875</v>
      </c>
      <c r="AY123" s="166" t="n">
        <f aca="false">AW123/0.5*1.25-AW123</f>
        <v>3.687525</v>
      </c>
      <c r="AZ123" s="167" t="n">
        <v>0.5</v>
      </c>
      <c r="BA123" s="74"/>
      <c r="BB123" s="135" t="n">
        <v>500</v>
      </c>
      <c r="BC123" s="252" t="n">
        <v>1</v>
      </c>
      <c r="BD123" s="253" t="n">
        <v>1</v>
      </c>
      <c r="BE123" s="253" t="n">
        <v>1</v>
      </c>
      <c r="BF123" s="253" t="n">
        <v>1</v>
      </c>
      <c r="BG123" s="253" t="n">
        <v>1</v>
      </c>
      <c r="BH123" s="253" t="n">
        <v>1</v>
      </c>
      <c r="BI123" s="253" t="n">
        <v>1</v>
      </c>
      <c r="BJ123" s="253" t="n">
        <v>1</v>
      </c>
      <c r="BK123" s="253" t="n">
        <v>1</v>
      </c>
      <c r="BL123" s="253" t="n">
        <v>1</v>
      </c>
      <c r="BM123" s="253" t="n">
        <v>1</v>
      </c>
      <c r="BN123" s="254" t="n">
        <v>1</v>
      </c>
      <c r="BO123" s="251" t="str">
        <f aca="false">IF(AND(BB123&gt;=BC$116,BB123&lt;=BD$116),"1","2")</f>
        <v>2</v>
      </c>
      <c r="BQ123" s="108" t="n">
        <v>36907.7428240741</v>
      </c>
      <c r="BR123" s="109" t="n">
        <v>36907.743287037</v>
      </c>
      <c r="BS123" s="110" t="n">
        <v>39569</v>
      </c>
      <c r="BT123" s="111" t="n">
        <v>118708.515625</v>
      </c>
      <c r="BU123" s="112" t="n">
        <v>87618.1875</v>
      </c>
      <c r="BV123" s="112" t="n">
        <v>28263.93359375</v>
      </c>
      <c r="BW123" s="112" t="n">
        <v>28263.93359375</v>
      </c>
      <c r="BX123" s="113" t="n">
        <v>0</v>
      </c>
      <c r="BZ123" s="110" t="n">
        <v>39630</v>
      </c>
      <c r="CA123" s="185" t="n">
        <v>38</v>
      </c>
      <c r="CB123" s="116" t="n">
        <v>38</v>
      </c>
      <c r="CC123" s="181" t="n">
        <v>38</v>
      </c>
      <c r="CD123" s="181" t="n">
        <v>38</v>
      </c>
      <c r="CE123" s="117" t="n">
        <v>1</v>
      </c>
    </row>
    <row r="124" customFormat="false" ht="12.75" hidden="false" customHeight="false" outlineLevel="0" collapsed="false">
      <c r="A124" s="0" t="n">
        <f aca="true">IF(ISERROR(MATCH(D124,iRefDt,0)),"",MATCH(D124,iRefDt,0))</f>
        <v>124</v>
      </c>
      <c r="B124" s="92" t="n">
        <f aca="false">MATCH(YEAR(D124),iSpreads)</f>
        <v>8</v>
      </c>
      <c r="C124" s="0" t="n">
        <f aca="false">MONTH(D124)</f>
        <v>8</v>
      </c>
      <c r="D124" s="93" t="n">
        <f aca="false">DATE(YEAR(D123),MONTH(D123)+1,1)</f>
        <v>39661</v>
      </c>
      <c r="E124" s="94" t="n">
        <f aca="false">VLOOKUP($D124,tblPriorPrice,2)</f>
        <v>39</v>
      </c>
      <c r="F124" s="190" t="n">
        <f aca="false">G124-E124</f>
        <v>0</v>
      </c>
      <c r="G124" s="190" t="n">
        <f aca="true">G112+OFFSET($CG$4,$B124,$C124)</f>
        <v>39</v>
      </c>
      <c r="H124" s="96" t="n">
        <f aca="true">G124+OFFSET($CU$4,$B124,$C124)</f>
        <v>34</v>
      </c>
      <c r="I124" s="96" t="n">
        <f aca="true">G124+OFFSET($DI$4,$B124,$C124)</f>
        <v>61</v>
      </c>
      <c r="J124" s="94" t="n">
        <f aca="false">VLOOKUP($D124,tblPriorPrice,3)</f>
        <v>39</v>
      </c>
      <c r="K124" s="190" t="n">
        <f aca="false">L124-J124</f>
        <v>0</v>
      </c>
      <c r="L124" s="190" t="n">
        <f aca="true">L112+OFFSET($CG$27,$B124,$C124)</f>
        <v>39</v>
      </c>
      <c r="M124" s="96" t="n">
        <f aca="true">$L124+OFFSET($CU$27,$B124,$C124)</f>
        <v>34</v>
      </c>
      <c r="N124" s="97" t="n">
        <f aca="true">$L124+OFFSET($DI$27,$B124,$C124)</f>
        <v>51</v>
      </c>
      <c r="O124" s="59" t="n">
        <f aca="true">IF($A124="",0,INDEX(tblPosn,$A124,2))</f>
        <v>116816.203125</v>
      </c>
      <c r="P124" s="59" t="n">
        <f aca="true">IF($A124="",0,INDEX(tblPosn,$A124,3))</f>
        <v>86221.484375</v>
      </c>
      <c r="Q124" s="59" t="n">
        <f aca="true">IF($A124="",0,INDEX(tblPosn,$A124,4))</f>
        <v>27813.3828125</v>
      </c>
      <c r="R124" s="59" t="n">
        <f aca="true">IF($A124="",0,INDEX(tblPosn,$A124,5))</f>
        <v>27813.3828125</v>
      </c>
      <c r="S124" s="59" t="n">
        <f aca="true">IF($A124="",0,INDEX(tblPosn,$A124,6))</f>
        <v>0</v>
      </c>
      <c r="T124" s="98" t="n">
        <f aca="false">O124*F124+P124*K124+R124*AC124+S124*AH124/0.72+Q124*X124</f>
        <v>0</v>
      </c>
      <c r="V124" s="161" t="n">
        <f aca="false">D124</f>
        <v>39661</v>
      </c>
      <c r="W124" s="94" t="n">
        <f aca="false">VLOOKUP($D124,tblPriorPrice,4)</f>
        <v>39</v>
      </c>
      <c r="X124" s="95" t="n">
        <f aca="false">Y124-W124</f>
        <v>0</v>
      </c>
      <c r="Y124" s="191" t="n">
        <f aca="true">Y112+OFFSET($CG$50,$B124,$C124)</f>
        <v>39</v>
      </c>
      <c r="Z124" s="96" t="n">
        <f aca="true">Y124+OFFSET($CU$51,$B124,$C124)</f>
        <v>34</v>
      </c>
      <c r="AA124" s="177" t="n">
        <f aca="true">Y124+OFFSET($DI$51,$B124,$C124)</f>
        <v>62</v>
      </c>
      <c r="AB124" s="94" t="n">
        <f aca="false">VLOOKUP($D124,tblPriorPrice,5)</f>
        <v>39</v>
      </c>
      <c r="AC124" s="190" t="n">
        <f aca="false">AD124-AB124</f>
        <v>0</v>
      </c>
      <c r="AD124" s="191" t="n">
        <f aca="true">AD112+OFFSET($CG$73,$B124,$C124)</f>
        <v>39</v>
      </c>
      <c r="AE124" s="96" t="n">
        <f aca="true">AD124+OFFSET($CU$74,$B124,$C124)</f>
        <v>34</v>
      </c>
      <c r="AF124" s="177" t="n">
        <f aca="true">AD124+OFFSET($DI$74,$B124,$C124)</f>
        <v>62</v>
      </c>
      <c r="AG124" s="94" t="n">
        <f aca="false">VLOOKUP($D124,tblPriorPrice,6)</f>
        <v>1</v>
      </c>
      <c r="AH124" s="190" t="n">
        <f aca="false">AI124-AG124</f>
        <v>0</v>
      </c>
      <c r="AI124" s="191" t="n">
        <f aca="true">AI112+OFFSET($CG$96,$B124,$C124)</f>
        <v>1</v>
      </c>
      <c r="AJ124" s="96" t="n">
        <f aca="true">AI124+OFFSET($CU$96,$B124,$C124)</f>
        <v>1</v>
      </c>
      <c r="AK124" s="97" t="n">
        <f aca="true">AI124+OFFSET($DI$96,$B124,$C124)</f>
        <v>1</v>
      </c>
      <c r="AL124" s="178" t="n">
        <v>31</v>
      </c>
      <c r="AM124" s="165" t="n">
        <v>0.4</v>
      </c>
      <c r="AN124" s="167" t="n">
        <f aca="false">'[3]Pricing Summary'!$AM102</f>
        <v>0.2025</v>
      </c>
      <c r="AO124" s="167" t="n">
        <f aca="false">0.9*AN124</f>
        <v>0.18225</v>
      </c>
      <c r="AP124" s="166" t="n">
        <f aca="false">1.5*AN124</f>
        <v>0.30375</v>
      </c>
      <c r="AQ124" s="167" t="n">
        <f aca="false">AN124</f>
        <v>0.2025</v>
      </c>
      <c r="AR124" s="166" t="n">
        <f aca="false">0.8*AQ124</f>
        <v>0.162</v>
      </c>
      <c r="AS124" s="166" t="n">
        <f aca="false">1.2*AQ124</f>
        <v>0.243</v>
      </c>
      <c r="AT124" s="169" t="n">
        <f aca="false">IF(G124&lt;110,17.94063*(LN(G124/100))+6.727568*(LN(G124/100)^2)+15.06494,(-4.1*G124+2135)/100)*0.5</f>
        <v>2.06836530423771</v>
      </c>
      <c r="AU124" s="169" t="n">
        <f aca="false">(0.75*AT124-AT124)</f>
        <v>-0.517091326059428</v>
      </c>
      <c r="AV124" s="166" t="n">
        <f aca="false">AT124/0.5*1.25-AT124</f>
        <v>3.10254795635657</v>
      </c>
      <c r="AW124" s="168" t="n">
        <f aca="false">IF(L124&lt;15,(15*L124+375)/100,(-4.71*L124+670.65)/100)*0.5</f>
        <v>2.4348</v>
      </c>
      <c r="AX124" s="166" t="n">
        <f aca="false">0.75*AW124-AW124</f>
        <v>-0.6087</v>
      </c>
      <c r="AY124" s="166" t="n">
        <f aca="false">AW124/0.5*1.25-AW124</f>
        <v>3.6522</v>
      </c>
      <c r="AZ124" s="167" t="n">
        <v>0.5</v>
      </c>
      <c r="BA124" s="74"/>
      <c r="BB124" s="135" t="n">
        <v>600</v>
      </c>
      <c r="BC124" s="252" t="n">
        <v>1</v>
      </c>
      <c r="BD124" s="253" t="n">
        <v>1</v>
      </c>
      <c r="BE124" s="253" t="n">
        <v>1</v>
      </c>
      <c r="BF124" s="253" t="n">
        <v>1</v>
      </c>
      <c r="BG124" s="253" t="n">
        <v>1</v>
      </c>
      <c r="BH124" s="253" t="n">
        <v>1</v>
      </c>
      <c r="BI124" s="253" t="n">
        <v>1</v>
      </c>
      <c r="BJ124" s="253" t="n">
        <v>1</v>
      </c>
      <c r="BK124" s="253" t="n">
        <v>1</v>
      </c>
      <c r="BL124" s="253" t="n">
        <v>1</v>
      </c>
      <c r="BM124" s="253" t="n">
        <v>1</v>
      </c>
      <c r="BN124" s="254" t="n">
        <v>1</v>
      </c>
      <c r="BO124" s="251" t="str">
        <f aca="false">IF(AND(BB124&gt;=BC$116,BB124&lt;=BD$116),"1","2")</f>
        <v>2</v>
      </c>
      <c r="BQ124" s="108" t="n">
        <v>36907.7428240741</v>
      </c>
      <c r="BR124" s="109" t="n">
        <v>36907.743287037</v>
      </c>
      <c r="BS124" s="110" t="n">
        <v>39600</v>
      </c>
      <c r="BT124" s="111" t="n">
        <v>118093.0859375</v>
      </c>
      <c r="BU124" s="112" t="n">
        <v>84352.203125</v>
      </c>
      <c r="BV124" s="112" t="n">
        <v>22493.921875</v>
      </c>
      <c r="BW124" s="112" t="n">
        <v>28117.40234375</v>
      </c>
      <c r="BX124" s="113" t="n">
        <v>0</v>
      </c>
      <c r="BZ124" s="110" t="n">
        <v>39661</v>
      </c>
      <c r="CA124" s="185" t="n">
        <v>39</v>
      </c>
      <c r="CB124" s="116" t="n">
        <v>39</v>
      </c>
      <c r="CC124" s="181" t="n">
        <v>39</v>
      </c>
      <c r="CD124" s="181" t="n">
        <v>39</v>
      </c>
      <c r="CE124" s="117" t="n">
        <v>1</v>
      </c>
    </row>
    <row r="125" customFormat="false" ht="12.75" hidden="false" customHeight="false" outlineLevel="0" collapsed="false">
      <c r="A125" s="0" t="n">
        <f aca="true">IF(ISERROR(MATCH(D125,iRefDt,0)),"",MATCH(D125,iRefDt,0))</f>
        <v>125</v>
      </c>
      <c r="B125" s="92" t="n">
        <f aca="false">MATCH(YEAR(D125),iSpreads)</f>
        <v>8</v>
      </c>
      <c r="C125" s="0" t="n">
        <f aca="false">MONTH(D125)</f>
        <v>9</v>
      </c>
      <c r="D125" s="93" t="n">
        <f aca="false">DATE(YEAR(D124),MONTH(D124)+1,1)</f>
        <v>39692</v>
      </c>
      <c r="E125" s="94" t="n">
        <f aca="false">VLOOKUP($D125,tblPriorPrice,2)</f>
        <v>33</v>
      </c>
      <c r="F125" s="190" t="n">
        <f aca="false">G125-E125</f>
        <v>0</v>
      </c>
      <c r="G125" s="190" t="n">
        <f aca="true">G113+OFFSET($CG$4,$B125,$C125)</f>
        <v>33</v>
      </c>
      <c r="H125" s="96" t="n">
        <f aca="true">G125+OFFSET($CU$4,$B125,$C125)</f>
        <v>28</v>
      </c>
      <c r="I125" s="96" t="n">
        <f aca="true">G125+OFFSET($DI$4,$B125,$C125)</f>
        <v>55</v>
      </c>
      <c r="J125" s="94" t="n">
        <f aca="false">VLOOKUP($D125,tblPriorPrice,3)</f>
        <v>33</v>
      </c>
      <c r="K125" s="190" t="n">
        <f aca="false">L125-J125</f>
        <v>0</v>
      </c>
      <c r="L125" s="190" t="n">
        <f aca="true">L113+OFFSET($CG$27,$B125,$C125)</f>
        <v>33</v>
      </c>
      <c r="M125" s="96" t="n">
        <f aca="true">$L125+OFFSET($CU$27,$B125,$C125)</f>
        <v>28</v>
      </c>
      <c r="N125" s="97" t="n">
        <f aca="true">$L125+OFFSET($DI$27,$B125,$C125)</f>
        <v>45</v>
      </c>
      <c r="O125" s="59" t="n">
        <f aca="true">IF($A125="",0,INDEX(tblPosn,$A125,2))</f>
        <v>116198.59375</v>
      </c>
      <c r="P125" s="59" t="n">
        <f aca="true">IF($A125="",0,INDEX(tblPosn,$A125,3))</f>
        <v>82999</v>
      </c>
      <c r="Q125" s="59" t="n">
        <f aca="true">IF($A125="",0,INDEX(tblPosn,$A125,4))</f>
        <v>22133.06640625</v>
      </c>
      <c r="R125" s="59" t="n">
        <f aca="true">IF($A125="",0,INDEX(tblPosn,$A125,5))</f>
        <v>27666.33203125</v>
      </c>
      <c r="S125" s="59" t="n">
        <f aca="true">IF($A125="",0,INDEX(tblPosn,$A125,6))</f>
        <v>0</v>
      </c>
      <c r="T125" s="98" t="n">
        <f aca="false">O125*F125+P125*K125+R125*AC125+S125*AH125/0.72+Q125*X125</f>
        <v>0</v>
      </c>
      <c r="V125" s="161" t="n">
        <f aca="false">D125</f>
        <v>39692</v>
      </c>
      <c r="W125" s="94" t="n">
        <f aca="false">VLOOKUP($D125,tblPriorPrice,4)</f>
        <v>33</v>
      </c>
      <c r="X125" s="95" t="n">
        <f aca="false">Y125-W125</f>
        <v>0</v>
      </c>
      <c r="Y125" s="191" t="n">
        <f aca="true">Y113+OFFSET($CG$50,$B125,$C125)</f>
        <v>33</v>
      </c>
      <c r="Z125" s="96" t="n">
        <f aca="true">Y125+OFFSET($CU$51,$B125,$C125)</f>
        <v>28</v>
      </c>
      <c r="AA125" s="177" t="n">
        <f aca="true">Y125+OFFSET($DI$51,$B125,$C125)</f>
        <v>56</v>
      </c>
      <c r="AB125" s="94" t="n">
        <f aca="false">VLOOKUP($D125,tblPriorPrice,5)</f>
        <v>33</v>
      </c>
      <c r="AC125" s="190" t="n">
        <f aca="false">AD125-AB125</f>
        <v>0</v>
      </c>
      <c r="AD125" s="191" t="n">
        <f aca="true">AD113+OFFSET($CG$73,$B125,$C125)</f>
        <v>33</v>
      </c>
      <c r="AE125" s="96" t="n">
        <f aca="true">AD125+OFFSET($CU$74,$B125,$C125)</f>
        <v>28</v>
      </c>
      <c r="AF125" s="177" t="n">
        <f aca="true">AD125+OFFSET($DI$74,$B125,$C125)</f>
        <v>56</v>
      </c>
      <c r="AG125" s="94" t="n">
        <f aca="false">VLOOKUP($D125,tblPriorPrice,6)</f>
        <v>1</v>
      </c>
      <c r="AH125" s="190" t="n">
        <f aca="false">AI125-AG125</f>
        <v>0</v>
      </c>
      <c r="AI125" s="191" t="n">
        <f aca="true">AI113+OFFSET($CG$96,$B125,$C125)</f>
        <v>1</v>
      </c>
      <c r="AJ125" s="96" t="n">
        <f aca="true">AI125+OFFSET($CU$96,$B125,$C125)</f>
        <v>1</v>
      </c>
      <c r="AK125" s="97" t="n">
        <f aca="true">AI125+OFFSET($DI$96,$B125,$C125)</f>
        <v>1</v>
      </c>
      <c r="AL125" s="178" t="n">
        <v>32</v>
      </c>
      <c r="AM125" s="165" t="n">
        <v>0.4</v>
      </c>
      <c r="AN125" s="167" t="n">
        <f aca="false">'[3]Pricing Summary'!$AM103</f>
        <v>0.2025</v>
      </c>
      <c r="AO125" s="167" t="n">
        <f aca="false">0.9*AN125</f>
        <v>0.18225</v>
      </c>
      <c r="AP125" s="166" t="n">
        <f aca="false">1.5*AN125</f>
        <v>0.30375</v>
      </c>
      <c r="AQ125" s="167" t="n">
        <f aca="false">AN125</f>
        <v>0.2025</v>
      </c>
      <c r="AR125" s="166" t="n">
        <f aca="false">0.8*AQ125</f>
        <v>0.162</v>
      </c>
      <c r="AS125" s="166" t="n">
        <f aca="false">1.2*AQ125</f>
        <v>0.243</v>
      </c>
      <c r="AT125" s="169" t="n">
        <f aca="false">IF(G125&lt;110,17.94063*(LN(G125/100))+6.727568*(LN(G125/100)^2)+15.06494,(-4.1*G125+2135)/100)*0.5</f>
        <v>1.72195432632388</v>
      </c>
      <c r="AU125" s="169" t="n">
        <f aca="false">(0.75*AT125-AT125)</f>
        <v>-0.43048858158097</v>
      </c>
      <c r="AV125" s="166" t="n">
        <f aca="false">AT125/0.5*1.25-AT125</f>
        <v>2.58293148948582</v>
      </c>
      <c r="AW125" s="168" t="n">
        <f aca="false">IF(L125&lt;15,(15*L125+375)/100,(-4.71*L125+670.65)/100)*0.5</f>
        <v>2.5761</v>
      </c>
      <c r="AX125" s="166" t="n">
        <f aca="false">0.75*AW125-AW125</f>
        <v>-0.644025</v>
      </c>
      <c r="AY125" s="166" t="n">
        <f aca="false">AW125/0.5*1.25-AW125</f>
        <v>3.86415</v>
      </c>
      <c r="AZ125" s="167" t="n">
        <v>0.5</v>
      </c>
      <c r="BA125" s="74"/>
      <c r="BB125" s="135" t="n">
        <v>700</v>
      </c>
      <c r="BC125" s="252" t="n">
        <v>1</v>
      </c>
      <c r="BD125" s="253" t="n">
        <v>1</v>
      </c>
      <c r="BE125" s="253" t="n">
        <v>1</v>
      </c>
      <c r="BF125" s="253" t="n">
        <v>1</v>
      </c>
      <c r="BG125" s="253" t="n">
        <v>1</v>
      </c>
      <c r="BH125" s="253" t="n">
        <v>1</v>
      </c>
      <c r="BI125" s="253" t="n">
        <v>1</v>
      </c>
      <c r="BJ125" s="253" t="n">
        <v>1</v>
      </c>
      <c r="BK125" s="253" t="n">
        <v>1</v>
      </c>
      <c r="BL125" s="253" t="n">
        <v>1</v>
      </c>
      <c r="BM125" s="253" t="n">
        <v>1</v>
      </c>
      <c r="BN125" s="254" t="n">
        <v>1</v>
      </c>
      <c r="BO125" s="251" t="str">
        <f aca="false">IF(AND(BB125&gt;=BC$116,BB125&lt;=BD$116),"1","2")</f>
        <v>2</v>
      </c>
      <c r="BQ125" s="108" t="n">
        <v>36907.7428240741</v>
      </c>
      <c r="BR125" s="109" t="n">
        <v>36907.743287037</v>
      </c>
      <c r="BS125" s="110" t="n">
        <v>39630</v>
      </c>
      <c r="BT125" s="111" t="n">
        <v>123043.9765625</v>
      </c>
      <c r="BU125" s="112" t="n">
        <v>86690.078125</v>
      </c>
      <c r="BV125" s="112" t="n">
        <v>22371.6328125</v>
      </c>
      <c r="BW125" s="112" t="n">
        <v>27964.541015625</v>
      </c>
      <c r="BX125" s="113" t="n">
        <v>0</v>
      </c>
      <c r="BZ125" s="110" t="n">
        <v>39692</v>
      </c>
      <c r="CA125" s="185" t="n">
        <v>33</v>
      </c>
      <c r="CB125" s="116" t="n">
        <v>33</v>
      </c>
      <c r="CC125" s="181" t="n">
        <v>33</v>
      </c>
      <c r="CD125" s="181" t="n">
        <v>33</v>
      </c>
      <c r="CE125" s="117" t="n">
        <v>1</v>
      </c>
    </row>
    <row r="126" customFormat="false" ht="12.75" hidden="false" customHeight="false" outlineLevel="0" collapsed="false">
      <c r="A126" s="0" t="n">
        <f aca="true">IF(ISERROR(MATCH(D126,iRefDt,0)),"",MATCH(D126,iRefDt,0))</f>
        <v>126</v>
      </c>
      <c r="B126" s="92" t="n">
        <f aca="false">MATCH(YEAR(D126),iSpreads)</f>
        <v>8</v>
      </c>
      <c r="C126" s="0" t="n">
        <f aca="false">MONTH(D126)</f>
        <v>10</v>
      </c>
      <c r="D126" s="93" t="n">
        <f aca="false">DATE(YEAR(D125),MONTH(D125)+1,1)</f>
        <v>39722</v>
      </c>
      <c r="E126" s="94" t="n">
        <f aca="false">VLOOKUP($D126,tblPriorPrice,2)</f>
        <v>36</v>
      </c>
      <c r="F126" s="190" t="n">
        <f aca="false">G126-E126</f>
        <v>0</v>
      </c>
      <c r="G126" s="190" t="n">
        <f aca="true">G114+OFFSET($CG$4,$B126,$C126)</f>
        <v>36</v>
      </c>
      <c r="H126" s="96" t="n">
        <f aca="true">G126+OFFSET($CU$4,$B126,$C126)</f>
        <v>31</v>
      </c>
      <c r="I126" s="96" t="n">
        <f aca="true">G126+OFFSET($DI$4,$B126,$C126)</f>
        <v>58</v>
      </c>
      <c r="J126" s="94" t="n">
        <f aca="false">VLOOKUP($D126,tblPriorPrice,3)</f>
        <v>36</v>
      </c>
      <c r="K126" s="190" t="n">
        <f aca="false">L126-J126</f>
        <v>0</v>
      </c>
      <c r="L126" s="190" t="n">
        <f aca="true">L114+OFFSET($CG$27,$B126,$C126)</f>
        <v>36</v>
      </c>
      <c r="M126" s="96" t="n">
        <f aca="true">$L126+OFFSET($CU$27,$B126,$C126)</f>
        <v>31</v>
      </c>
      <c r="N126" s="97" t="n">
        <f aca="true">$L126+OFFSET($DI$27,$B126,$C126)</f>
        <v>48</v>
      </c>
      <c r="O126" s="59" t="n">
        <f aca="true">IF($A126="",0,INDEX(tblPosn,$A126,2))</f>
        <v>126571.203125</v>
      </c>
      <c r="P126" s="59" t="n">
        <f aca="true">IF($A126="",0,INDEX(tblPosn,$A126,3))</f>
        <v>85641.9296875</v>
      </c>
      <c r="Q126" s="59" t="n">
        <f aca="true">IF($A126="",0,INDEX(tblPosn,$A126,4))</f>
        <v>22012.3828125</v>
      </c>
      <c r="R126" s="59" t="n">
        <f aca="true">IF($A126="",0,INDEX(tblPosn,$A126,5))</f>
        <v>22012.3828125</v>
      </c>
      <c r="S126" s="59" t="n">
        <f aca="true">IF($A126="",0,INDEX(tblPosn,$A126,6))</f>
        <v>0</v>
      </c>
      <c r="T126" s="98" t="n">
        <f aca="false">O126*F126+P126*K126+R126*AC126+S126*AH126/0.72+Q126*X126</f>
        <v>0</v>
      </c>
      <c r="V126" s="161" t="n">
        <f aca="false">D126</f>
        <v>39722</v>
      </c>
      <c r="W126" s="94" t="n">
        <f aca="false">VLOOKUP($D126,tblPriorPrice,4)</f>
        <v>36</v>
      </c>
      <c r="X126" s="95" t="n">
        <f aca="false">Y126-W126</f>
        <v>0</v>
      </c>
      <c r="Y126" s="191" t="n">
        <f aca="true">Y114+OFFSET($CG$50,$B126,$C126)</f>
        <v>36</v>
      </c>
      <c r="Z126" s="96" t="n">
        <f aca="true">Y126+OFFSET($CU$51,$B126,$C126)</f>
        <v>31</v>
      </c>
      <c r="AA126" s="177" t="n">
        <f aca="true">Y126+OFFSET($DI$51,$B126,$C126)</f>
        <v>59</v>
      </c>
      <c r="AB126" s="94" t="n">
        <f aca="false">VLOOKUP($D126,tblPriorPrice,5)</f>
        <v>36</v>
      </c>
      <c r="AC126" s="190" t="n">
        <f aca="false">AD126-AB126</f>
        <v>0</v>
      </c>
      <c r="AD126" s="191" t="n">
        <f aca="true">AD114+OFFSET($CG$73,$B126,$C126)</f>
        <v>36</v>
      </c>
      <c r="AE126" s="96" t="n">
        <f aca="true">AD126+OFFSET($CU$74,$B126,$C126)</f>
        <v>31</v>
      </c>
      <c r="AF126" s="177" t="n">
        <f aca="true">AD126+OFFSET($DI$74,$B126,$C126)</f>
        <v>59</v>
      </c>
      <c r="AG126" s="94" t="n">
        <f aca="false">VLOOKUP($D126,tblPriorPrice,6)</f>
        <v>1</v>
      </c>
      <c r="AH126" s="190" t="n">
        <f aca="false">AI126-AG126</f>
        <v>0</v>
      </c>
      <c r="AI126" s="191" t="n">
        <f aca="true">AI114+OFFSET($CG$96,$B126,$C126)</f>
        <v>1</v>
      </c>
      <c r="AJ126" s="96" t="n">
        <f aca="true">AI126+OFFSET($CU$96,$B126,$C126)</f>
        <v>1</v>
      </c>
      <c r="AK126" s="97" t="n">
        <f aca="true">AI126+OFFSET($DI$96,$B126,$C126)</f>
        <v>1</v>
      </c>
      <c r="AL126" s="178" t="n">
        <v>32</v>
      </c>
      <c r="AM126" s="165" t="n">
        <v>0.4</v>
      </c>
      <c r="AN126" s="167" t="n">
        <f aca="false">'[3]Pricing Summary'!$AM104</f>
        <v>0.2025</v>
      </c>
      <c r="AO126" s="167" t="n">
        <f aca="false">0.9*AN126</f>
        <v>0.18225</v>
      </c>
      <c r="AP126" s="166" t="n">
        <f aca="false">1.5*AN126</f>
        <v>0.30375</v>
      </c>
      <c r="AQ126" s="167" t="n">
        <f aca="false">AN126</f>
        <v>0.2025</v>
      </c>
      <c r="AR126" s="166" t="n">
        <f aca="false">0.8*AQ126</f>
        <v>0.162</v>
      </c>
      <c r="AS126" s="166" t="n">
        <f aca="false">1.2*AQ126</f>
        <v>0.243</v>
      </c>
      <c r="AT126" s="169" t="n">
        <f aca="false">IF(G126&lt;110,17.94063*(LN(G126/100))+6.727568*(LN(G126/100)^2)+15.06494,(-4.1*G126+2135)/100)*0.5</f>
        <v>1.8789575925079</v>
      </c>
      <c r="AU126" s="169" t="n">
        <f aca="false">(0.75*AT126-AT126)</f>
        <v>-0.469739398126976</v>
      </c>
      <c r="AV126" s="166" t="n">
        <f aca="false">AT126/0.5*1.25-AT126</f>
        <v>2.81843638876186</v>
      </c>
      <c r="AW126" s="168" t="n">
        <f aca="false">IF(L126&lt;15,(15*L126+375)/100,(-4.71*L126+670.65)/100)*0.5</f>
        <v>2.50545</v>
      </c>
      <c r="AX126" s="166" t="n">
        <f aca="false">0.75*AW126-AW126</f>
        <v>-0.6263625</v>
      </c>
      <c r="AY126" s="166" t="n">
        <f aca="false">AW126/0.5*1.25-AW126</f>
        <v>3.758175</v>
      </c>
      <c r="AZ126" s="167" t="n">
        <v>0.5</v>
      </c>
      <c r="BA126" s="74"/>
      <c r="BB126" s="135" t="n">
        <v>800</v>
      </c>
      <c r="BC126" s="252" t="n">
        <v>0.600511425977354</v>
      </c>
      <c r="BD126" s="253" t="n">
        <v>0.600511425977354</v>
      </c>
      <c r="BE126" s="253" t="n">
        <v>0.339531266258712</v>
      </c>
      <c r="BF126" s="253" t="n">
        <v>0.411295129487885</v>
      </c>
      <c r="BG126" s="253" t="n">
        <v>0.516062174605718</v>
      </c>
      <c r="BH126" s="253" t="n">
        <v>0.522884268312299</v>
      </c>
      <c r="BI126" s="253" t="n">
        <v>0.318308603162736</v>
      </c>
      <c r="BJ126" s="253" t="n">
        <v>0.216062929435945</v>
      </c>
      <c r="BK126" s="253" t="n">
        <v>0.491486779671234</v>
      </c>
      <c r="BL126" s="253" t="n">
        <v>0.682901386101833</v>
      </c>
      <c r="BM126" s="253" t="n">
        <v>0.682901386101833</v>
      </c>
      <c r="BN126" s="254" t="n">
        <v>0.682901386101833</v>
      </c>
      <c r="BO126" s="251" t="str">
        <f aca="false">IF(AND(BB126&gt;=BC$116,BB126&lt;=BD$116),"1","2")</f>
        <v>1</v>
      </c>
      <c r="BQ126" s="108" t="n">
        <v>36907.7428240741</v>
      </c>
      <c r="BR126" s="109" t="n">
        <v>36907.743287037</v>
      </c>
      <c r="BS126" s="110" t="n">
        <v>39661</v>
      </c>
      <c r="BT126" s="111" t="n">
        <v>116816.203125</v>
      </c>
      <c r="BU126" s="112" t="n">
        <v>86221.484375</v>
      </c>
      <c r="BV126" s="112" t="n">
        <v>27813.3828125</v>
      </c>
      <c r="BW126" s="112" t="n">
        <v>27813.3828125</v>
      </c>
      <c r="BX126" s="113" t="n">
        <v>0</v>
      </c>
      <c r="BZ126" s="110" t="n">
        <v>39722</v>
      </c>
      <c r="CA126" s="185" t="n">
        <v>36</v>
      </c>
      <c r="CB126" s="116" t="n">
        <v>36</v>
      </c>
      <c r="CC126" s="181" t="n">
        <v>36</v>
      </c>
      <c r="CD126" s="181" t="n">
        <v>36</v>
      </c>
      <c r="CE126" s="117" t="n">
        <v>1</v>
      </c>
    </row>
    <row r="127" customFormat="false" ht="12.75" hidden="false" customHeight="false" outlineLevel="0" collapsed="false">
      <c r="A127" s="0" t="n">
        <f aca="true">IF(ISERROR(MATCH(D127,iRefDt,0)),"",MATCH(D127,iRefDt,0))</f>
        <v>127</v>
      </c>
      <c r="B127" s="92" t="n">
        <f aca="false">MATCH(YEAR(D127),iSpreads)</f>
        <v>8</v>
      </c>
      <c r="C127" s="0" t="n">
        <f aca="false">MONTH(D127)</f>
        <v>11</v>
      </c>
      <c r="D127" s="93" t="n">
        <f aca="false">DATE(YEAR(D126),MONTH(D126)+1,1)</f>
        <v>39753</v>
      </c>
      <c r="E127" s="94" t="n">
        <f aca="false">VLOOKUP($D127,tblPriorPrice,2)</f>
        <v>31</v>
      </c>
      <c r="F127" s="190" t="n">
        <f aca="false">G127-E127</f>
        <v>0</v>
      </c>
      <c r="G127" s="190" t="n">
        <f aca="true">G115+OFFSET($CG$4,$B127,$C127)</f>
        <v>31</v>
      </c>
      <c r="H127" s="96" t="n">
        <f aca="true">G127+OFFSET($CU$4,$B127,$C127)</f>
        <v>26</v>
      </c>
      <c r="I127" s="96" t="n">
        <f aca="true">G127+OFFSET($DI$4,$B127,$C127)</f>
        <v>53</v>
      </c>
      <c r="J127" s="94" t="n">
        <f aca="false">VLOOKUP($D127,tblPriorPrice,3)</f>
        <v>31</v>
      </c>
      <c r="K127" s="190" t="n">
        <f aca="false">L127-J127</f>
        <v>0</v>
      </c>
      <c r="L127" s="190" t="n">
        <f aca="true">L115+OFFSET($CG$27,$B127,$C127)</f>
        <v>31</v>
      </c>
      <c r="M127" s="96" t="n">
        <f aca="true">$L127+OFFSET($CU$27,$B127,$C127)</f>
        <v>26</v>
      </c>
      <c r="N127" s="97" t="n">
        <f aca="true">$L127+OFFSET($DI$27,$B127,$C127)</f>
        <v>43</v>
      </c>
      <c r="O127" s="59" t="n">
        <f aca="true">IF($A127="",0,INDEX(tblPosn,$A127,2))</f>
        <v>104001.1328125</v>
      </c>
      <c r="P127" s="59" t="n">
        <f aca="true">IF($A127="",0,INDEX(tblPosn,$A127,3))</f>
        <v>82106.15625</v>
      </c>
      <c r="Q127" s="59" t="n">
        <f aca="true">IF($A127="",0,INDEX(tblPosn,$A127,4))</f>
        <v>27368.71875</v>
      </c>
      <c r="R127" s="59" t="n">
        <f aca="true">IF($A127="",0,INDEX(tblPosn,$A127,5))</f>
        <v>32842.4609375</v>
      </c>
      <c r="S127" s="59" t="n">
        <f aca="true">IF($A127="",0,INDEX(tblPosn,$A127,6))</f>
        <v>0</v>
      </c>
      <c r="T127" s="98" t="n">
        <f aca="false">O127*F127+P127*K127+R127*AC127+S127*AH127/0.72+Q127*X127</f>
        <v>0</v>
      </c>
      <c r="V127" s="161" t="n">
        <f aca="false">D127</f>
        <v>39753</v>
      </c>
      <c r="W127" s="94" t="n">
        <f aca="false">VLOOKUP($D127,tblPriorPrice,4)</f>
        <v>31</v>
      </c>
      <c r="X127" s="95" t="n">
        <f aca="false">Y127-W127</f>
        <v>0</v>
      </c>
      <c r="Y127" s="191" t="n">
        <f aca="true">Y115+OFFSET($CG$50,$B127,$C127)</f>
        <v>31</v>
      </c>
      <c r="Z127" s="96" t="n">
        <f aca="true">Y127+OFFSET($CU$51,$B127,$C127)</f>
        <v>26</v>
      </c>
      <c r="AA127" s="177" t="n">
        <f aca="true">Y127+OFFSET($DI$51,$B127,$C127)</f>
        <v>54</v>
      </c>
      <c r="AB127" s="94" t="n">
        <f aca="false">VLOOKUP($D127,tblPriorPrice,5)</f>
        <v>31</v>
      </c>
      <c r="AC127" s="190" t="n">
        <f aca="false">AD127-AB127</f>
        <v>0</v>
      </c>
      <c r="AD127" s="191" t="n">
        <f aca="true">AD115+OFFSET($CG$73,$B127,$C127)</f>
        <v>31</v>
      </c>
      <c r="AE127" s="96" t="n">
        <f aca="true">AD127+OFFSET($CU$74,$B127,$C127)</f>
        <v>26</v>
      </c>
      <c r="AF127" s="177" t="n">
        <f aca="true">AD127+OFFSET($DI$74,$B127,$C127)</f>
        <v>54</v>
      </c>
      <c r="AG127" s="94" t="n">
        <f aca="false">VLOOKUP($D127,tblPriorPrice,6)</f>
        <v>1</v>
      </c>
      <c r="AH127" s="190" t="n">
        <f aca="false">AI127-AG127</f>
        <v>0</v>
      </c>
      <c r="AI127" s="191" t="n">
        <f aca="true">AI115+OFFSET($CG$96,$B127,$C127)</f>
        <v>1</v>
      </c>
      <c r="AJ127" s="96" t="n">
        <f aca="true">AI127+OFFSET($CU$96,$B127,$C127)</f>
        <v>1</v>
      </c>
      <c r="AK127" s="97" t="n">
        <f aca="true">AI127+OFFSET($DI$96,$B127,$C127)</f>
        <v>1</v>
      </c>
      <c r="AL127" s="178" t="n">
        <v>32</v>
      </c>
      <c r="AM127" s="165" t="n">
        <v>0.4</v>
      </c>
      <c r="AN127" s="167" t="n">
        <f aca="false">'[3]Pricing Summary'!$AM105</f>
        <v>0.2025</v>
      </c>
      <c r="AO127" s="167" t="n">
        <f aca="false">0.9*AN127</f>
        <v>0.18225</v>
      </c>
      <c r="AP127" s="166" t="n">
        <f aca="false">1.5*AN127</f>
        <v>0.30375</v>
      </c>
      <c r="AQ127" s="167" t="n">
        <f aca="false">AN127</f>
        <v>0.2025</v>
      </c>
      <c r="AR127" s="166" t="n">
        <f aca="false">0.8*AQ127</f>
        <v>0.162</v>
      </c>
      <c r="AS127" s="166" t="n">
        <f aca="false">1.2*AQ127</f>
        <v>0.243</v>
      </c>
      <c r="AT127" s="169" t="n">
        <f aca="false">IF(G127&lt;110,17.94063*(LN(G127/100))+6.727568*(LN(G127/100)^2)+15.06494,(-4.1*G127+2135)/100)*0.5</f>
        <v>1.64058990686036</v>
      </c>
      <c r="AU127" s="169" t="n">
        <f aca="false">(0.75*AT127-AT127)</f>
        <v>-0.410147476715089</v>
      </c>
      <c r="AV127" s="166" t="n">
        <f aca="false">AT127/0.5*1.25-AT127</f>
        <v>2.46088486029054</v>
      </c>
      <c r="AW127" s="168" t="n">
        <f aca="false">IF(L127&lt;15,(15*L127+375)/100,(-4.71*L127+670.65)/100)*0.5</f>
        <v>2.6232</v>
      </c>
      <c r="AX127" s="166" t="n">
        <f aca="false">0.75*AW127-AW127</f>
        <v>-0.6558</v>
      </c>
      <c r="AY127" s="166" t="n">
        <f aca="false">AW127/0.5*1.25-AW127</f>
        <v>3.9348</v>
      </c>
      <c r="AZ127" s="167" t="n">
        <v>0.5</v>
      </c>
      <c r="BA127" s="74"/>
      <c r="BB127" s="135" t="n">
        <v>900</v>
      </c>
      <c r="BC127" s="252" t="n">
        <v>0.953196635308738</v>
      </c>
      <c r="BD127" s="253" t="n">
        <v>0.953196635308738</v>
      </c>
      <c r="BE127" s="253" t="n">
        <v>0.501967183448056</v>
      </c>
      <c r="BF127" s="253" t="n">
        <v>0.498128978845246</v>
      </c>
      <c r="BG127" s="253" t="n">
        <v>0.566156720435175</v>
      </c>
      <c r="BH127" s="253" t="n">
        <v>0.823219154846777</v>
      </c>
      <c r="BI127" s="253" t="n">
        <v>0.511437577657637</v>
      </c>
      <c r="BJ127" s="253" t="n">
        <v>0.262572063317715</v>
      </c>
      <c r="BK127" s="253" t="n">
        <v>0.499458925663098</v>
      </c>
      <c r="BL127" s="253" t="n">
        <v>0.990171136720384</v>
      </c>
      <c r="BM127" s="253" t="n">
        <v>0.990171136720384</v>
      </c>
      <c r="BN127" s="254" t="n">
        <v>0.990171136720384</v>
      </c>
      <c r="BO127" s="251" t="str">
        <f aca="false">IF(AND(BB127&gt;=BC$116,BB127&lt;=BD$116),"1","2")</f>
        <v>1</v>
      </c>
      <c r="BQ127" s="108" t="n">
        <v>36907.7428240741</v>
      </c>
      <c r="BR127" s="109" t="n">
        <v>36907.743287037</v>
      </c>
      <c r="BS127" s="110" t="n">
        <v>39692</v>
      </c>
      <c r="BT127" s="111" t="n">
        <v>116198.59375</v>
      </c>
      <c r="BU127" s="112" t="n">
        <v>82999</v>
      </c>
      <c r="BV127" s="112" t="n">
        <v>22133.06640625</v>
      </c>
      <c r="BW127" s="112" t="n">
        <v>27666.33203125</v>
      </c>
      <c r="BX127" s="113" t="n">
        <v>0</v>
      </c>
      <c r="BZ127" s="110" t="n">
        <v>39753</v>
      </c>
      <c r="CA127" s="185" t="n">
        <v>31</v>
      </c>
      <c r="CB127" s="116" t="n">
        <v>31</v>
      </c>
      <c r="CC127" s="181" t="n">
        <v>31</v>
      </c>
      <c r="CD127" s="181" t="n">
        <v>31</v>
      </c>
      <c r="CE127" s="117" t="n">
        <v>1</v>
      </c>
    </row>
    <row r="128" customFormat="false" ht="12.75" hidden="false" customHeight="false" outlineLevel="0" collapsed="false">
      <c r="A128" s="0" t="n">
        <f aca="true">IF(ISERROR(MATCH(D128,iRefDt,0)),"",MATCH(D128,iRefDt,0))</f>
        <v>128</v>
      </c>
      <c r="B128" s="92" t="n">
        <f aca="false">MATCH(YEAR(D128),iSpreads)</f>
        <v>8</v>
      </c>
      <c r="C128" s="0" t="n">
        <f aca="false">MONTH(D128)</f>
        <v>12</v>
      </c>
      <c r="D128" s="93" t="n">
        <f aca="false">DATE(YEAR(D127),MONTH(D127)+1,1)</f>
        <v>39783</v>
      </c>
      <c r="E128" s="94" t="n">
        <f aca="false">VLOOKUP($D128,tblPriorPrice,2)</f>
        <v>30</v>
      </c>
      <c r="F128" s="190" t="n">
        <f aca="false">G128-E128</f>
        <v>0</v>
      </c>
      <c r="G128" s="190" t="n">
        <f aca="true">G116+OFFSET($CG$4,$B128,$C128)</f>
        <v>30</v>
      </c>
      <c r="H128" s="96" t="n">
        <f aca="true">G128+OFFSET($CU$4,$B128,$C128)</f>
        <v>25</v>
      </c>
      <c r="I128" s="96" t="n">
        <f aca="true">G128+OFFSET($DI$4,$B128,$C128)</f>
        <v>52</v>
      </c>
      <c r="J128" s="94" t="n">
        <f aca="false">VLOOKUP($D128,tblPriorPrice,3)</f>
        <v>30</v>
      </c>
      <c r="K128" s="190" t="n">
        <f aca="false">L128-J128</f>
        <v>0</v>
      </c>
      <c r="L128" s="190" t="n">
        <f aca="true">L116+OFFSET($CG$27,$B128,$C128)</f>
        <v>30</v>
      </c>
      <c r="M128" s="96" t="n">
        <f aca="true">$L128+OFFSET($CU$27,$B128,$C128)</f>
        <v>25</v>
      </c>
      <c r="N128" s="97" t="n">
        <f aca="true">$L128+OFFSET($DI$27,$B128,$C128)</f>
        <v>42</v>
      </c>
      <c r="O128" s="59" t="n">
        <f aca="true">IF($A128="",0,INDEX(tblPosn,$A128,2))</f>
        <v>119770.7421875</v>
      </c>
      <c r="P128" s="59" t="n">
        <f aca="true">IF($A128="",0,INDEX(tblPosn,$A128,3))</f>
        <v>84383.9296875</v>
      </c>
      <c r="Q128" s="59" t="n">
        <f aca="true">IF($A128="",0,INDEX(tblPosn,$A128,4))</f>
        <v>21776.498046875</v>
      </c>
      <c r="R128" s="59" t="n">
        <f aca="true">IF($A128="",0,INDEX(tblPosn,$A128,5))</f>
        <v>27220.623046875</v>
      </c>
      <c r="S128" s="59" t="n">
        <f aca="true">IF($A128="",0,INDEX(tblPosn,$A128,6))</f>
        <v>0</v>
      </c>
      <c r="T128" s="98" t="n">
        <f aca="false">O128*F128+P128*K128+R128*AC128+S128*AH128/0.72+Q128*X128</f>
        <v>0</v>
      </c>
      <c r="V128" s="161" t="n">
        <f aca="false">D128</f>
        <v>39783</v>
      </c>
      <c r="W128" s="94" t="n">
        <f aca="false">VLOOKUP($D128,tblPriorPrice,4)</f>
        <v>30</v>
      </c>
      <c r="X128" s="95" t="n">
        <f aca="false">Y128-W128</f>
        <v>0</v>
      </c>
      <c r="Y128" s="191" t="n">
        <f aca="true">Y116+OFFSET($CG$50,$B128,$C128)</f>
        <v>30</v>
      </c>
      <c r="Z128" s="96" t="n">
        <f aca="true">Y128+OFFSET($CU$51,$B128,$C128)</f>
        <v>25</v>
      </c>
      <c r="AA128" s="177" t="n">
        <f aca="true">Y128+OFFSET($DI$51,$B128,$C128)</f>
        <v>53</v>
      </c>
      <c r="AB128" s="94" t="n">
        <f aca="false">VLOOKUP($D128,tblPriorPrice,5)</f>
        <v>30</v>
      </c>
      <c r="AC128" s="190" t="n">
        <f aca="false">AD128-AB128</f>
        <v>0</v>
      </c>
      <c r="AD128" s="191" t="n">
        <f aca="true">AD116+OFFSET($CG$73,$B128,$C128)</f>
        <v>30</v>
      </c>
      <c r="AE128" s="96" t="n">
        <f aca="true">AD128+OFFSET($CU$74,$B128,$C128)</f>
        <v>25</v>
      </c>
      <c r="AF128" s="177" t="n">
        <f aca="true">AD128+OFFSET($DI$74,$B128,$C128)</f>
        <v>53</v>
      </c>
      <c r="AG128" s="94" t="n">
        <f aca="false">VLOOKUP($D128,tblPriorPrice,6)</f>
        <v>1</v>
      </c>
      <c r="AH128" s="190" t="n">
        <f aca="false">AI128-AG128</f>
        <v>0</v>
      </c>
      <c r="AI128" s="191" t="n">
        <f aca="true">AI116+OFFSET($CG$96,$B128,$C128)</f>
        <v>1</v>
      </c>
      <c r="AJ128" s="96" t="n">
        <f aca="true">AI128+OFFSET($CU$96,$B128,$C128)</f>
        <v>1</v>
      </c>
      <c r="AK128" s="97" t="n">
        <f aca="true">AI128+OFFSET($DI$96,$B128,$C128)</f>
        <v>1</v>
      </c>
      <c r="AL128" s="178" t="n">
        <v>33</v>
      </c>
      <c r="AM128" s="165" t="n">
        <v>0.4</v>
      </c>
      <c r="AN128" s="167" t="n">
        <f aca="false">'[3]Pricing Summary'!$AM106</f>
        <v>0.205</v>
      </c>
      <c r="AO128" s="167" t="n">
        <f aca="false">0.9*AN128</f>
        <v>0.1845</v>
      </c>
      <c r="AP128" s="166" t="n">
        <f aca="false">1.5*AN128</f>
        <v>0.3075</v>
      </c>
      <c r="AQ128" s="167" t="n">
        <f aca="false">AN128</f>
        <v>0.205</v>
      </c>
      <c r="AR128" s="166" t="n">
        <f aca="false">0.8*AQ128</f>
        <v>0.164</v>
      </c>
      <c r="AS128" s="166" t="n">
        <f aca="false">1.2*AQ128</f>
        <v>0.246</v>
      </c>
      <c r="AT128" s="169" t="n">
        <f aca="false">IF(G128&lt;110,17.94063*(LN(G128/100))+6.727568*(LN(G128/100)^2)+15.06494,(-4.1*G128+2135)/100)*0.5</f>
        <v>1.60842951845599</v>
      </c>
      <c r="AU128" s="169" t="n">
        <f aca="false">(0.75*AT128-AT128)</f>
        <v>-0.402107379613998</v>
      </c>
      <c r="AV128" s="166" t="n">
        <f aca="false">AT128/0.5*1.25-AT128</f>
        <v>2.41264427768399</v>
      </c>
      <c r="AW128" s="168" t="n">
        <f aca="false">IF(L128&lt;15,(15*L128+375)/100,(-4.71*L128+670.65)/100)*0.5</f>
        <v>2.64675</v>
      </c>
      <c r="AX128" s="166" t="n">
        <f aca="false">0.75*AW128-AW128</f>
        <v>-0.6616875</v>
      </c>
      <c r="AY128" s="166" t="n">
        <f aca="false">AW128/0.5*1.25-AW128</f>
        <v>3.970125</v>
      </c>
      <c r="AZ128" s="167" t="n">
        <v>0.5</v>
      </c>
      <c r="BA128" s="74"/>
      <c r="BB128" s="135" t="n">
        <v>1000</v>
      </c>
      <c r="BC128" s="252" t="n">
        <v>0.882899262287594</v>
      </c>
      <c r="BD128" s="253" t="n">
        <v>0.882899262287594</v>
      </c>
      <c r="BE128" s="253" t="n">
        <v>1.1351435199226</v>
      </c>
      <c r="BF128" s="253" t="n">
        <v>0.616115588899563</v>
      </c>
      <c r="BG128" s="253" t="n">
        <v>1.47606070114032</v>
      </c>
      <c r="BH128" s="253" t="n">
        <v>1.11480830830196</v>
      </c>
      <c r="BI128" s="253" t="n">
        <v>0.81963360950737</v>
      </c>
      <c r="BJ128" s="253" t="n">
        <v>0.366215501889375</v>
      </c>
      <c r="BK128" s="253" t="n">
        <v>0.511942645680263</v>
      </c>
      <c r="BL128" s="253" t="n">
        <v>1.01935673921645</v>
      </c>
      <c r="BM128" s="253" t="n">
        <v>1.01935673921645</v>
      </c>
      <c r="BN128" s="254" t="n">
        <v>1.01935673921645</v>
      </c>
      <c r="BO128" s="251" t="str">
        <f aca="false">IF(AND(BB128&gt;=BC$116,BB128&lt;=BD$116),"1","2")</f>
        <v>1</v>
      </c>
      <c r="BQ128" s="108" t="n">
        <v>36907.7428240741</v>
      </c>
      <c r="BR128" s="109" t="n">
        <v>36907.743287037</v>
      </c>
      <c r="BS128" s="110" t="n">
        <v>39722</v>
      </c>
      <c r="BT128" s="111" t="n">
        <v>126571.203125</v>
      </c>
      <c r="BU128" s="112" t="n">
        <v>85641.9296875</v>
      </c>
      <c r="BV128" s="112" t="n">
        <v>22012.3828125</v>
      </c>
      <c r="BW128" s="112" t="n">
        <v>22012.3828125</v>
      </c>
      <c r="BX128" s="113" t="n">
        <v>0</v>
      </c>
      <c r="BZ128" s="110" t="n">
        <v>39783</v>
      </c>
      <c r="CA128" s="185" t="n">
        <v>30</v>
      </c>
      <c r="CB128" s="116" t="n">
        <v>30</v>
      </c>
      <c r="CC128" s="181" t="n">
        <v>30</v>
      </c>
      <c r="CD128" s="181" t="n">
        <v>30</v>
      </c>
      <c r="CE128" s="117" t="n">
        <v>1</v>
      </c>
    </row>
    <row r="129" customFormat="false" ht="12.75" hidden="false" customHeight="false" outlineLevel="0" collapsed="false">
      <c r="A129" s="0" t="n">
        <f aca="true">IF(ISERROR(MATCH(D129,iRefDt,0)),"",MATCH(D129,iRefDt,0))</f>
        <v>129</v>
      </c>
      <c r="B129" s="92" t="n">
        <f aca="false">MATCH(YEAR(D129),iSpreads)</f>
        <v>9</v>
      </c>
      <c r="C129" s="0" t="n">
        <f aca="false">MONTH(D129)</f>
        <v>1</v>
      </c>
      <c r="D129" s="93" t="n">
        <f aca="false">DATE(YEAR(D128),MONTH(D128)+1,1)</f>
        <v>39814</v>
      </c>
      <c r="E129" s="94" t="n">
        <f aca="false">VLOOKUP($D129,tblPriorPrice,2)</f>
        <v>31</v>
      </c>
      <c r="F129" s="190" t="n">
        <f aca="false">G129-E129</f>
        <v>0</v>
      </c>
      <c r="G129" s="190" t="n">
        <f aca="true">G117+OFFSET($CG$4,$B129,$C129)</f>
        <v>31</v>
      </c>
      <c r="H129" s="96" t="n">
        <f aca="true">G129+OFFSET($CU$4,$B129,$C129)</f>
        <v>26</v>
      </c>
      <c r="I129" s="96" t="n">
        <f aca="true">G129+OFFSET($DI$4,$B129,$C129)</f>
        <v>54</v>
      </c>
      <c r="J129" s="94" t="n">
        <f aca="false">VLOOKUP($D129,tblPriorPrice,3)</f>
        <v>31</v>
      </c>
      <c r="K129" s="190" t="n">
        <f aca="false">L129-J129</f>
        <v>0</v>
      </c>
      <c r="L129" s="190" t="n">
        <f aca="true">L117+OFFSET($CG$27,$B129,$C129)</f>
        <v>31</v>
      </c>
      <c r="M129" s="96" t="n">
        <f aca="true">$L129+OFFSET($CU$27,$B129,$C129)</f>
        <v>26</v>
      </c>
      <c r="N129" s="97" t="n">
        <f aca="true">$L129+OFFSET($DI$27,$B129,$C129)</f>
        <v>44</v>
      </c>
      <c r="O129" s="59" t="n">
        <f aca="true">IF($A129="",0,INDEX(tblPosn,$A129,2))</f>
        <v>113693.8046875</v>
      </c>
      <c r="P129" s="59" t="n">
        <f aca="true">IF($A129="",0,INDEX(tblPosn,$A129,3))</f>
        <v>83916.859375</v>
      </c>
      <c r="Q129" s="59" t="n">
        <f aca="true">IF($A129="",0,INDEX(tblPosn,$A129,4))</f>
        <v>27069.955078125</v>
      </c>
      <c r="R129" s="59" t="n">
        <f aca="true">IF($A129="",0,INDEX(tblPosn,$A129,5))</f>
        <v>27069.955078125</v>
      </c>
      <c r="S129" s="59" t="n">
        <f aca="true">IF($A129="",0,INDEX(tblPosn,$A129,6))</f>
        <v>0</v>
      </c>
      <c r="T129" s="98" t="n">
        <f aca="false">O129*F129+P129*K129+R129*AC129+S129*AH129/0.72+Q129*X129</f>
        <v>0</v>
      </c>
      <c r="V129" s="161" t="n">
        <f aca="false">D129</f>
        <v>39814</v>
      </c>
      <c r="W129" s="94" t="n">
        <f aca="false">VLOOKUP($D129,tblPriorPrice,4)</f>
        <v>31</v>
      </c>
      <c r="X129" s="95" t="n">
        <f aca="false">Y129-W129</f>
        <v>0</v>
      </c>
      <c r="Y129" s="191" t="n">
        <f aca="true">Y117+OFFSET($CG$50,$B129,$C129)</f>
        <v>31</v>
      </c>
      <c r="Z129" s="96" t="n">
        <f aca="true">Y129+OFFSET($CU$51,$B129,$C129)</f>
        <v>26</v>
      </c>
      <c r="AA129" s="177" t="n">
        <f aca="true">Y129+OFFSET($DI$51,$B129,$C129)</f>
        <v>55</v>
      </c>
      <c r="AB129" s="94" t="n">
        <f aca="false">VLOOKUP($D129,tblPriorPrice,5)</f>
        <v>31</v>
      </c>
      <c r="AC129" s="190" t="n">
        <f aca="false">AD129-AB129</f>
        <v>0</v>
      </c>
      <c r="AD129" s="191" t="n">
        <f aca="true">AD117+OFFSET($CG$73,$B129,$C129)</f>
        <v>31</v>
      </c>
      <c r="AE129" s="96" t="n">
        <f aca="true">AD129+OFFSET($CU$74,$B129,$C129)</f>
        <v>26</v>
      </c>
      <c r="AF129" s="177" t="n">
        <f aca="true">AD129+OFFSET($DI$74,$B129,$C129)</f>
        <v>55</v>
      </c>
      <c r="AG129" s="94" t="n">
        <f aca="false">VLOOKUP($D129,tblPriorPrice,6)</f>
        <v>1</v>
      </c>
      <c r="AH129" s="190" t="n">
        <f aca="false">AI129-AG129</f>
        <v>0</v>
      </c>
      <c r="AI129" s="191" t="n">
        <f aca="true">AI117+OFFSET($CG$96,$B129,$C129)</f>
        <v>1</v>
      </c>
      <c r="AJ129" s="96" t="n">
        <f aca="true">AI129+OFFSET($CU$96,$B129,$C129)</f>
        <v>1</v>
      </c>
      <c r="AK129" s="97" t="n">
        <f aca="true">AI129+OFFSET($DI$96,$B129,$C129)</f>
        <v>1</v>
      </c>
      <c r="AL129" s="178" t="n">
        <v>33</v>
      </c>
      <c r="AM129" s="165" t="n">
        <v>0.4</v>
      </c>
      <c r="AN129" s="167" t="n">
        <f aca="false">'[3]Pricing Summary'!$AM107</f>
        <v>0.205</v>
      </c>
      <c r="AO129" s="167" t="n">
        <f aca="false">0.9*AN129</f>
        <v>0.1845</v>
      </c>
      <c r="AP129" s="166" t="n">
        <f aca="false">1.5*AN129</f>
        <v>0.3075</v>
      </c>
      <c r="AQ129" s="167" t="n">
        <f aca="false">AN129</f>
        <v>0.205</v>
      </c>
      <c r="AR129" s="166" t="n">
        <f aca="false">0.8*AQ129</f>
        <v>0.164</v>
      </c>
      <c r="AS129" s="166" t="n">
        <f aca="false">1.2*AQ129</f>
        <v>0.246</v>
      </c>
      <c r="AT129" s="169" t="n">
        <f aca="false">IF(G129&lt;110,17.94063*(LN(G129/100))+6.727568*(LN(G129/100)^2)+15.06494,(-4.1*G129+2135)/100)*0.5</f>
        <v>1.64058990686036</v>
      </c>
      <c r="AU129" s="169" t="n">
        <f aca="false">(0.75*AT129-AT129)</f>
        <v>-0.410147476715089</v>
      </c>
      <c r="AV129" s="166" t="n">
        <f aca="false">AT129/0.5*1.25-AT129</f>
        <v>2.46088486029054</v>
      </c>
      <c r="AW129" s="168" t="n">
        <f aca="false">IF(L129&lt;15,(15*L129+375)/100,(-4.71*L129+670.65)/100)*0.5</f>
        <v>2.6232</v>
      </c>
      <c r="AX129" s="166" t="n">
        <f aca="false">0.75*AW129-AW129</f>
        <v>-0.6558</v>
      </c>
      <c r="AY129" s="166" t="n">
        <f aca="false">AW129/0.5*1.25-AW129</f>
        <v>3.9348</v>
      </c>
      <c r="AZ129" s="167" t="n">
        <v>0.5</v>
      </c>
      <c r="BA129" s="74"/>
      <c r="BB129" s="135" t="n">
        <v>1100</v>
      </c>
      <c r="BC129" s="252" t="n">
        <v>0.969983415698975</v>
      </c>
      <c r="BD129" s="253" t="n">
        <v>0.969983415698975</v>
      </c>
      <c r="BE129" s="253" t="n">
        <v>1.24377045063301</v>
      </c>
      <c r="BF129" s="253" t="n">
        <v>1.1428177011842</v>
      </c>
      <c r="BG129" s="253" t="n">
        <v>1.94346281602376</v>
      </c>
      <c r="BH129" s="253" t="n">
        <v>1.05108095215941</v>
      </c>
      <c r="BI129" s="253" t="n">
        <v>1.20067842822025</v>
      </c>
      <c r="BJ129" s="253" t="n">
        <v>1.00410190075112</v>
      </c>
      <c r="BK129" s="253" t="n">
        <v>0.577830551923507</v>
      </c>
      <c r="BL129" s="253" t="n">
        <v>1.0207791799027</v>
      </c>
      <c r="BM129" s="253" t="n">
        <v>1.0207791799027</v>
      </c>
      <c r="BN129" s="254" t="n">
        <v>1.0207791799027</v>
      </c>
      <c r="BO129" s="251" t="str">
        <f aca="false">IF(AND(BB129&gt;=BC$116,BB129&lt;=BD$116),"1","2")</f>
        <v>1</v>
      </c>
      <c r="BQ129" s="108" t="n">
        <v>36907.7428240741</v>
      </c>
      <c r="BR129" s="109" t="n">
        <v>36907.743287037</v>
      </c>
      <c r="BS129" s="110" t="n">
        <v>39753</v>
      </c>
      <c r="BT129" s="111" t="n">
        <v>104001.1328125</v>
      </c>
      <c r="BU129" s="112" t="n">
        <v>82106.15625</v>
      </c>
      <c r="BV129" s="112" t="n">
        <v>27368.71875</v>
      </c>
      <c r="BW129" s="112" t="n">
        <v>32842.4609375</v>
      </c>
      <c r="BX129" s="113" t="n">
        <v>0</v>
      </c>
      <c r="BZ129" s="110" t="n">
        <v>39814</v>
      </c>
      <c r="CA129" s="185" t="n">
        <v>31</v>
      </c>
      <c r="CB129" s="116" t="n">
        <v>31</v>
      </c>
      <c r="CC129" s="181" t="n">
        <v>31</v>
      </c>
      <c r="CD129" s="181" t="n">
        <v>31</v>
      </c>
      <c r="CE129" s="117" t="n">
        <v>1</v>
      </c>
    </row>
    <row r="130" customFormat="false" ht="12.75" hidden="false" customHeight="false" outlineLevel="0" collapsed="false">
      <c r="A130" s="0" t="n">
        <f aca="true">IF(ISERROR(MATCH(D130,iRefDt,0)),"",MATCH(D130,iRefDt,0))</f>
        <v>130</v>
      </c>
      <c r="B130" s="92" t="n">
        <f aca="false">MATCH(YEAR(D130),iSpreads)</f>
        <v>9</v>
      </c>
      <c r="C130" s="0" t="n">
        <f aca="false">MONTH(D130)</f>
        <v>2</v>
      </c>
      <c r="D130" s="93" t="n">
        <f aca="false">DATE(YEAR(D129),MONTH(D129)+1,1)</f>
        <v>39845</v>
      </c>
      <c r="E130" s="94" t="n">
        <f aca="false">VLOOKUP($D130,tblPriorPrice,2)</f>
        <v>30</v>
      </c>
      <c r="F130" s="190" t="n">
        <f aca="false">G130-E130</f>
        <v>0</v>
      </c>
      <c r="G130" s="190" t="n">
        <f aca="true">G118+OFFSET($CG$4,$B130,$C130)</f>
        <v>30</v>
      </c>
      <c r="H130" s="96" t="n">
        <f aca="true">G130+OFFSET($CU$4,$B130,$C130)</f>
        <v>25</v>
      </c>
      <c r="I130" s="96" t="n">
        <f aca="true">G130+OFFSET($DI$4,$B130,$C130)</f>
        <v>53</v>
      </c>
      <c r="J130" s="94" t="n">
        <f aca="false">VLOOKUP($D130,tblPriorPrice,3)</f>
        <v>30</v>
      </c>
      <c r="K130" s="190" t="n">
        <f aca="false">L130-J130</f>
        <v>0</v>
      </c>
      <c r="L130" s="190" t="n">
        <f aca="true">L118+OFFSET($CG$27,$B130,$C130)</f>
        <v>30</v>
      </c>
      <c r="M130" s="96" t="n">
        <f aca="true">$L130+OFFSET($CU$27,$B130,$C130)</f>
        <v>25</v>
      </c>
      <c r="N130" s="97" t="n">
        <f aca="true">$L130+OFFSET($DI$27,$B130,$C130)</f>
        <v>43</v>
      </c>
      <c r="O130" s="59" t="n">
        <f aca="true">IF($A130="",0,INDEX(tblPosn,$A130,2))</f>
        <v>107741.5</v>
      </c>
      <c r="P130" s="59" t="n">
        <f aca="true">IF($A130="",0,INDEX(tblPosn,$A130,3))</f>
        <v>75419.046875</v>
      </c>
      <c r="Q130" s="59" t="n">
        <f aca="true">IF($A130="",0,INDEX(tblPosn,$A130,4))</f>
        <v>21548.298828125</v>
      </c>
      <c r="R130" s="59" t="n">
        <f aca="true">IF($A130="",0,INDEX(tblPosn,$A130,5))</f>
        <v>21548.298828125</v>
      </c>
      <c r="S130" s="59" t="n">
        <f aca="true">IF($A130="",0,INDEX(tblPosn,$A130,6))</f>
        <v>0</v>
      </c>
      <c r="T130" s="98" t="n">
        <f aca="false">O130*F130+P130*K130+R130*AC130+S130*AH130/0.72+Q130*X130</f>
        <v>0</v>
      </c>
      <c r="V130" s="161" t="n">
        <f aca="false">D130</f>
        <v>39845</v>
      </c>
      <c r="W130" s="94" t="n">
        <f aca="false">VLOOKUP($D130,tblPriorPrice,4)</f>
        <v>30</v>
      </c>
      <c r="X130" s="95" t="n">
        <f aca="false">Y130-W130</f>
        <v>0</v>
      </c>
      <c r="Y130" s="191" t="n">
        <f aca="true">Y118+OFFSET($CG$50,$B130,$C130)</f>
        <v>30</v>
      </c>
      <c r="Z130" s="96" t="n">
        <f aca="true">Y130+OFFSET($CU$51,$B130,$C130)</f>
        <v>25</v>
      </c>
      <c r="AA130" s="177" t="n">
        <f aca="true">Y130+OFFSET($DI$51,$B130,$C130)</f>
        <v>54</v>
      </c>
      <c r="AB130" s="94" t="n">
        <f aca="false">VLOOKUP($D130,tblPriorPrice,5)</f>
        <v>30</v>
      </c>
      <c r="AC130" s="190" t="n">
        <f aca="false">AD130-AB130</f>
        <v>0</v>
      </c>
      <c r="AD130" s="191" t="n">
        <f aca="true">AD118+OFFSET($CG$73,$B130,$C130)</f>
        <v>30</v>
      </c>
      <c r="AE130" s="96" t="n">
        <f aca="true">AD130+OFFSET($CU$74,$B130,$C130)</f>
        <v>25</v>
      </c>
      <c r="AF130" s="177" t="n">
        <f aca="true">AD130+OFFSET($DI$74,$B130,$C130)</f>
        <v>54</v>
      </c>
      <c r="AG130" s="94" t="n">
        <f aca="false">VLOOKUP($D130,tblPriorPrice,6)</f>
        <v>1</v>
      </c>
      <c r="AH130" s="190" t="n">
        <f aca="false">AI130-AG130</f>
        <v>0</v>
      </c>
      <c r="AI130" s="191" t="n">
        <f aca="true">AI118+OFFSET($CG$96,$B130,$C130)</f>
        <v>1</v>
      </c>
      <c r="AJ130" s="96" t="n">
        <f aca="true">AI130+OFFSET($CU$96,$B130,$C130)</f>
        <v>1</v>
      </c>
      <c r="AK130" s="97" t="n">
        <f aca="true">AI130+OFFSET($DI$96,$B130,$C130)</f>
        <v>1</v>
      </c>
      <c r="AL130" s="178" t="n">
        <v>33</v>
      </c>
      <c r="AM130" s="165" t="n">
        <v>0.4</v>
      </c>
      <c r="AN130" s="167" t="n">
        <f aca="false">'[3]Pricing Summary'!$AM108</f>
        <v>0.2</v>
      </c>
      <c r="AO130" s="167" t="n">
        <f aca="false">0.9*AN130</f>
        <v>0.18</v>
      </c>
      <c r="AP130" s="166" t="n">
        <f aca="false">1.5*AN130</f>
        <v>0.3</v>
      </c>
      <c r="AQ130" s="167" t="n">
        <f aca="false">AN130</f>
        <v>0.2</v>
      </c>
      <c r="AR130" s="166" t="n">
        <f aca="false">0.8*AQ130</f>
        <v>0.16</v>
      </c>
      <c r="AS130" s="166" t="n">
        <f aca="false">1.2*AQ130</f>
        <v>0.24</v>
      </c>
      <c r="AT130" s="169" t="n">
        <f aca="false">IF(G130&lt;110,17.94063*(LN(G130/100))+6.727568*(LN(G130/100)^2)+15.06494,(-4.1*G130+2135)/100)*0.5</f>
        <v>1.60842951845599</v>
      </c>
      <c r="AU130" s="169" t="n">
        <f aca="false">(0.75*AT130-AT130)</f>
        <v>-0.402107379613998</v>
      </c>
      <c r="AV130" s="166" t="n">
        <f aca="false">AT130/0.5*1.25-AT130</f>
        <v>2.41264427768399</v>
      </c>
      <c r="AW130" s="168" t="n">
        <f aca="false">IF(L130&lt;15,(15*L130+375)/100,(-4.71*L130+670.65)/100)*0.5</f>
        <v>2.64675</v>
      </c>
      <c r="AX130" s="166" t="n">
        <f aca="false">0.75*AW130-AW130</f>
        <v>-0.6616875</v>
      </c>
      <c r="AY130" s="166" t="n">
        <f aca="false">AW130/0.5*1.25-AW130</f>
        <v>3.970125</v>
      </c>
      <c r="AZ130" s="167" t="n">
        <v>0.5</v>
      </c>
      <c r="BA130" s="74"/>
      <c r="BB130" s="135" t="n">
        <v>1200</v>
      </c>
      <c r="BC130" s="252" t="n">
        <v>1.00868203027575</v>
      </c>
      <c r="BD130" s="253" t="n">
        <v>1.00868203027575</v>
      </c>
      <c r="BE130" s="253" t="n">
        <v>1.04460533655344</v>
      </c>
      <c r="BF130" s="253" t="n">
        <v>1.04539139227184</v>
      </c>
      <c r="BG130" s="253" t="n">
        <v>1.80652590370291</v>
      </c>
      <c r="BH130" s="253" t="n">
        <v>1.02034224160958</v>
      </c>
      <c r="BI130" s="253" t="n">
        <v>1.32372892160075</v>
      </c>
      <c r="BJ130" s="253" t="n">
        <v>1.22575745673832</v>
      </c>
      <c r="BK130" s="253" t="n">
        <v>0.668153558372137</v>
      </c>
      <c r="BL130" s="253" t="n">
        <v>0.974059125457282</v>
      </c>
      <c r="BM130" s="253" t="n">
        <v>0.974059125457282</v>
      </c>
      <c r="BN130" s="254" t="n">
        <v>0.974059125457282</v>
      </c>
      <c r="BO130" s="251" t="str">
        <f aca="false">IF(AND(BB130&gt;=BC$116,BB130&lt;=BD$116),"1","2")</f>
        <v>1</v>
      </c>
      <c r="BQ130" s="108" t="n">
        <v>36907.7428240741</v>
      </c>
      <c r="BR130" s="109" t="n">
        <v>36907.743287037</v>
      </c>
      <c r="BS130" s="110" t="n">
        <v>39783</v>
      </c>
      <c r="BT130" s="111" t="n">
        <v>119770.7421875</v>
      </c>
      <c r="BU130" s="112" t="n">
        <v>84383.9296875</v>
      </c>
      <c r="BV130" s="112" t="n">
        <v>21776.498046875</v>
      </c>
      <c r="BW130" s="112" t="n">
        <v>27220.623046875</v>
      </c>
      <c r="BX130" s="113" t="n">
        <v>0</v>
      </c>
      <c r="BZ130" s="110" t="n">
        <v>39845</v>
      </c>
      <c r="CA130" s="185" t="n">
        <v>30</v>
      </c>
      <c r="CB130" s="116" t="n">
        <v>30</v>
      </c>
      <c r="CC130" s="181" t="n">
        <v>30</v>
      </c>
      <c r="CD130" s="181" t="n">
        <v>30</v>
      </c>
      <c r="CE130" s="117" t="n">
        <v>1</v>
      </c>
    </row>
    <row r="131" customFormat="false" ht="12.75" hidden="false" customHeight="false" outlineLevel="0" collapsed="false">
      <c r="A131" s="0" t="n">
        <f aca="true">IF(ISERROR(MATCH(D131,iRefDt,0)),"",MATCH(D131,iRefDt,0))</f>
        <v>131</v>
      </c>
      <c r="B131" s="92" t="n">
        <f aca="false">MATCH(YEAR(D131),iSpreads)</f>
        <v>9</v>
      </c>
      <c r="C131" s="0" t="n">
        <f aca="false">MONTH(D131)</f>
        <v>3</v>
      </c>
      <c r="D131" s="93" t="n">
        <f aca="false">DATE(YEAR(D130),MONTH(D130)+1,1)</f>
        <v>39873</v>
      </c>
      <c r="E131" s="94" t="n">
        <f aca="false">VLOOKUP($D131,tblPriorPrice,2)</f>
        <v>29</v>
      </c>
      <c r="F131" s="190" t="n">
        <f aca="false">G131-E131</f>
        <v>0</v>
      </c>
      <c r="G131" s="190" t="n">
        <f aca="true">G119+OFFSET($CG$4,$B131,$C131)</f>
        <v>29</v>
      </c>
      <c r="H131" s="96" t="n">
        <f aca="true">G131+OFFSET($CU$4,$B131,$C131)</f>
        <v>24</v>
      </c>
      <c r="I131" s="96" t="n">
        <f aca="true">G131+OFFSET($DI$4,$B131,$C131)</f>
        <v>52</v>
      </c>
      <c r="J131" s="94" t="n">
        <f aca="false">VLOOKUP($D131,tblPriorPrice,3)</f>
        <v>29</v>
      </c>
      <c r="K131" s="190" t="n">
        <f aca="false">L131-J131</f>
        <v>0</v>
      </c>
      <c r="L131" s="190" t="n">
        <f aca="true">L119+OFFSET($CG$27,$B131,$C131)</f>
        <v>29</v>
      </c>
      <c r="M131" s="96" t="n">
        <f aca="true">$L131+OFFSET($CU$27,$B131,$C131)</f>
        <v>24</v>
      </c>
      <c r="N131" s="97" t="n">
        <f aca="true">$L131+OFFSET($DI$27,$B131,$C131)</f>
        <v>42</v>
      </c>
      <c r="O131" s="59" t="n">
        <f aca="true">IF($A131="",0,INDEX(tblPosn,$A131,2))</f>
        <v>117864.6953125</v>
      </c>
      <c r="P131" s="59" t="n">
        <f aca="true">IF($A131="",0,INDEX(tblPosn,$A131,3))</f>
        <v>83041.03125</v>
      </c>
      <c r="Q131" s="59" t="n">
        <f aca="true">IF($A131="",0,INDEX(tblPosn,$A131,4))</f>
        <v>21429.9453125</v>
      </c>
      <c r="R131" s="59" t="n">
        <f aca="true">IF($A131="",0,INDEX(tblPosn,$A131,5))</f>
        <v>26787.4296875</v>
      </c>
      <c r="S131" s="59" t="n">
        <f aca="true">IF($A131="",0,INDEX(tblPosn,$A131,6))</f>
        <v>0</v>
      </c>
      <c r="T131" s="98" t="n">
        <f aca="false">O131*F131+P131*K131+R131*AC131+S131*AH131/0.72+Q131*X131</f>
        <v>0</v>
      </c>
      <c r="V131" s="161" t="n">
        <f aca="false">D131</f>
        <v>39873</v>
      </c>
      <c r="W131" s="94" t="n">
        <f aca="false">VLOOKUP($D131,tblPriorPrice,4)</f>
        <v>29</v>
      </c>
      <c r="X131" s="95" t="n">
        <f aca="false">Y131-W131</f>
        <v>0</v>
      </c>
      <c r="Y131" s="191" t="n">
        <f aca="true">Y119+OFFSET($CG$50,$B131,$C131)</f>
        <v>29</v>
      </c>
      <c r="Z131" s="96" t="n">
        <f aca="true">Y131+OFFSET($CU$51,$B131,$C131)</f>
        <v>24</v>
      </c>
      <c r="AA131" s="177" t="n">
        <f aca="true">Y131+OFFSET($DI$51,$B131,$C131)</f>
        <v>53</v>
      </c>
      <c r="AB131" s="94" t="n">
        <f aca="false">VLOOKUP($D131,tblPriorPrice,5)</f>
        <v>29</v>
      </c>
      <c r="AC131" s="190" t="n">
        <f aca="false">AD131-AB131</f>
        <v>0</v>
      </c>
      <c r="AD131" s="191" t="n">
        <f aca="true">AD119+OFFSET($CG$73,$B131,$C131)</f>
        <v>29</v>
      </c>
      <c r="AE131" s="96" t="n">
        <f aca="true">AD131+OFFSET($CU$74,$B131,$C131)</f>
        <v>24</v>
      </c>
      <c r="AF131" s="177" t="n">
        <f aca="true">AD131+OFFSET($DI$74,$B131,$C131)</f>
        <v>53</v>
      </c>
      <c r="AG131" s="94" t="n">
        <f aca="false">VLOOKUP($D131,tblPriorPrice,6)</f>
        <v>1</v>
      </c>
      <c r="AH131" s="190" t="n">
        <f aca="false">AI131-AG131</f>
        <v>0</v>
      </c>
      <c r="AI131" s="191" t="n">
        <f aca="true">AI119+OFFSET($CG$96,$B131,$C131)</f>
        <v>1</v>
      </c>
      <c r="AJ131" s="96" t="n">
        <f aca="true">AI131+OFFSET($CU$96,$B131,$C131)</f>
        <v>1</v>
      </c>
      <c r="AK131" s="97" t="n">
        <f aca="true">AI131+OFFSET($DI$96,$B131,$C131)</f>
        <v>1</v>
      </c>
      <c r="AL131" s="178" t="n">
        <v>34</v>
      </c>
      <c r="AM131" s="165" t="n">
        <v>0.4</v>
      </c>
      <c r="AN131" s="167" t="n">
        <f aca="false">'[3]Pricing Summary'!$AM109</f>
        <v>0.19</v>
      </c>
      <c r="AO131" s="167" t="n">
        <f aca="false">0.9*AN131</f>
        <v>0.171</v>
      </c>
      <c r="AP131" s="166" t="n">
        <f aca="false">1.5*AN131</f>
        <v>0.285</v>
      </c>
      <c r="AQ131" s="167" t="n">
        <f aca="false">AN131</f>
        <v>0.19</v>
      </c>
      <c r="AR131" s="166" t="n">
        <f aca="false">0.8*AQ131</f>
        <v>0.152</v>
      </c>
      <c r="AS131" s="166" t="n">
        <f aca="false">1.2*AQ131</f>
        <v>0.228</v>
      </c>
      <c r="AT131" s="169" t="n">
        <f aca="false">IF(G131&lt;110,17.94063*(LN(G131/100))+6.727568*(LN(G131/100)^2)+15.06494,(-4.1*G131+2135)/100)*0.5</f>
        <v>1.58278405940532</v>
      </c>
      <c r="AU131" s="169" t="n">
        <f aca="false">(0.75*AT131-AT131)</f>
        <v>-0.395696014851329</v>
      </c>
      <c r="AV131" s="166" t="n">
        <f aca="false">AT131/0.5*1.25-AT131</f>
        <v>2.37417608910797</v>
      </c>
      <c r="AW131" s="168" t="n">
        <f aca="false">IF(L131&lt;15,(15*L131+375)/100,(-4.71*L131+670.65)/100)*0.5</f>
        <v>2.6703</v>
      </c>
      <c r="AX131" s="166" t="n">
        <f aca="false">0.75*AW131-AW131</f>
        <v>-0.667575</v>
      </c>
      <c r="AY131" s="166" t="n">
        <f aca="false">AW131/0.5*1.25-AW131</f>
        <v>4.00545</v>
      </c>
      <c r="AZ131" s="167" t="n">
        <v>0.5</v>
      </c>
      <c r="BA131" s="74"/>
      <c r="BB131" s="135" t="n">
        <v>1300</v>
      </c>
      <c r="BC131" s="252" t="n">
        <v>0.798108612876025</v>
      </c>
      <c r="BD131" s="253" t="n">
        <v>0.798108612876025</v>
      </c>
      <c r="BE131" s="253" t="n">
        <v>0.661776617484266</v>
      </c>
      <c r="BF131" s="253" t="n">
        <v>1.44260590401352</v>
      </c>
      <c r="BG131" s="253" t="n">
        <v>1.43294974777509</v>
      </c>
      <c r="BH131" s="253" t="n">
        <v>1.62571180347206</v>
      </c>
      <c r="BI131" s="253" t="n">
        <v>1.69308325851808</v>
      </c>
      <c r="BJ131" s="253" t="n">
        <v>2.06584002744066</v>
      </c>
      <c r="BK131" s="253" t="n">
        <v>1.21990751984913</v>
      </c>
      <c r="BL131" s="253" t="n">
        <v>0.984169331955171</v>
      </c>
      <c r="BM131" s="253" t="n">
        <v>0.984169331955171</v>
      </c>
      <c r="BN131" s="254" t="n">
        <v>0.984169331955171</v>
      </c>
      <c r="BO131" s="251" t="str">
        <f aca="false">IF(AND(BB131&gt;=BC$116,BB131&lt;=BD$116),"1","2")</f>
        <v>1</v>
      </c>
      <c r="BQ131" s="108" t="n">
        <v>36907.7428240741</v>
      </c>
      <c r="BR131" s="109" t="n">
        <v>36907.743287037</v>
      </c>
      <c r="BS131" s="110" t="n">
        <v>39814</v>
      </c>
      <c r="BT131" s="111" t="n">
        <v>113693.8046875</v>
      </c>
      <c r="BU131" s="112" t="n">
        <v>83916.859375</v>
      </c>
      <c r="BV131" s="112" t="n">
        <v>27069.955078125</v>
      </c>
      <c r="BW131" s="112" t="n">
        <v>27069.955078125</v>
      </c>
      <c r="BX131" s="113" t="n">
        <v>0</v>
      </c>
      <c r="BZ131" s="110" t="n">
        <v>39873</v>
      </c>
      <c r="CA131" s="185" t="n">
        <v>29</v>
      </c>
      <c r="CB131" s="116" t="n">
        <v>29</v>
      </c>
      <c r="CC131" s="181" t="n">
        <v>29</v>
      </c>
      <c r="CD131" s="181" t="n">
        <v>29</v>
      </c>
      <c r="CE131" s="117" t="n">
        <v>1</v>
      </c>
    </row>
    <row r="132" customFormat="false" ht="12.75" hidden="false" customHeight="false" outlineLevel="0" collapsed="false">
      <c r="A132" s="0" t="n">
        <f aca="true">IF(ISERROR(MATCH(D132,iRefDt,0)),"",MATCH(D132,iRefDt,0))</f>
        <v>132</v>
      </c>
      <c r="B132" s="92" t="n">
        <f aca="false">MATCH(YEAR(D132),iSpreads)</f>
        <v>9</v>
      </c>
      <c r="C132" s="0" t="n">
        <f aca="false">MONTH(D132)</f>
        <v>4</v>
      </c>
      <c r="D132" s="93" t="n">
        <f aca="false">DATE(YEAR(D131),MONTH(D131)+1,1)</f>
        <v>39904</v>
      </c>
      <c r="E132" s="94" t="n">
        <f aca="false">VLOOKUP($D132,tblPriorPrice,2)</f>
        <v>28</v>
      </c>
      <c r="F132" s="190" t="n">
        <f aca="false">G132-E132</f>
        <v>0</v>
      </c>
      <c r="G132" s="190" t="n">
        <f aca="true">G120+OFFSET($CG$4,$B132,$C132)</f>
        <v>28</v>
      </c>
      <c r="H132" s="96" t="n">
        <f aca="true">G132+OFFSET($CU$4,$B132,$C132)</f>
        <v>23</v>
      </c>
      <c r="I132" s="96" t="n">
        <f aca="true">G132+OFFSET($DI$4,$B132,$C132)</f>
        <v>51</v>
      </c>
      <c r="J132" s="94" t="n">
        <f aca="false">VLOOKUP($D132,tblPriorPrice,3)</f>
        <v>28</v>
      </c>
      <c r="K132" s="190" t="n">
        <f aca="false">L132-J132</f>
        <v>0</v>
      </c>
      <c r="L132" s="190" t="n">
        <f aca="true">L120+OFFSET($CG$27,$B132,$C132)</f>
        <v>28</v>
      </c>
      <c r="M132" s="96" t="n">
        <f aca="true">$L132+OFFSET($CU$27,$B132,$C132)</f>
        <v>23</v>
      </c>
      <c r="N132" s="97" t="n">
        <f aca="true">$L132+OFFSET($DI$27,$B132,$C132)</f>
        <v>41</v>
      </c>
      <c r="O132" s="59" t="n">
        <f aca="true">IF($A132="",0,INDEX(tblPosn,$A132,2))</f>
        <v>117234.15625</v>
      </c>
      <c r="P132" s="59" t="n">
        <f aca="true">IF($A132="",0,INDEX(tblPosn,$A132,3))</f>
        <v>79599.328125</v>
      </c>
      <c r="Q132" s="59" t="n">
        <f aca="true">IF($A132="",0,INDEX(tblPosn,$A132,4))</f>
        <v>21315.302734375</v>
      </c>
      <c r="R132" s="59" t="n">
        <f aca="true">IF($A132="",0,INDEX(tblPosn,$A132,5))</f>
        <v>21315.302734375</v>
      </c>
      <c r="S132" s="59" t="n">
        <f aca="true">IF($A132="",0,INDEX(tblPosn,$A132,6))</f>
        <v>0</v>
      </c>
      <c r="T132" s="98" t="n">
        <f aca="false">O132*F132+P132*K132+R132*AC132+S132*AH132/0.72+Q132*X132</f>
        <v>0</v>
      </c>
      <c r="V132" s="161" t="n">
        <f aca="false">D132</f>
        <v>39904</v>
      </c>
      <c r="W132" s="94" t="n">
        <f aca="false">VLOOKUP($D132,tblPriorPrice,4)</f>
        <v>28</v>
      </c>
      <c r="X132" s="95" t="n">
        <f aca="false">Y132-W132</f>
        <v>0</v>
      </c>
      <c r="Y132" s="191" t="n">
        <f aca="true">Y120+OFFSET($CG$50,$B132,$C132)</f>
        <v>28</v>
      </c>
      <c r="Z132" s="96" t="n">
        <f aca="true">Y132+OFFSET($CU$51,$B132,$C132)</f>
        <v>23</v>
      </c>
      <c r="AA132" s="177" t="n">
        <f aca="true">Y132+OFFSET($DI$51,$B132,$C132)</f>
        <v>52</v>
      </c>
      <c r="AB132" s="94" t="n">
        <f aca="false">VLOOKUP($D132,tblPriorPrice,5)</f>
        <v>28</v>
      </c>
      <c r="AC132" s="190" t="n">
        <f aca="false">AD132-AB132</f>
        <v>0</v>
      </c>
      <c r="AD132" s="191" t="n">
        <f aca="true">AD120+OFFSET($CG$73,$B132,$C132)</f>
        <v>28</v>
      </c>
      <c r="AE132" s="96" t="n">
        <f aca="true">AD132+OFFSET($CU$74,$B132,$C132)</f>
        <v>23</v>
      </c>
      <c r="AF132" s="177" t="n">
        <f aca="true">AD132+OFFSET($DI$74,$B132,$C132)</f>
        <v>52</v>
      </c>
      <c r="AG132" s="94" t="n">
        <f aca="false">VLOOKUP($D132,tblPriorPrice,6)</f>
        <v>1</v>
      </c>
      <c r="AH132" s="190" t="n">
        <f aca="false">AI132-AG132</f>
        <v>0</v>
      </c>
      <c r="AI132" s="191" t="n">
        <f aca="true">AI120+OFFSET($CG$96,$B132,$C132)</f>
        <v>1</v>
      </c>
      <c r="AJ132" s="96" t="n">
        <f aca="true">AI132+OFFSET($CU$96,$B132,$C132)</f>
        <v>1</v>
      </c>
      <c r="AK132" s="97" t="n">
        <f aca="true">AI132+OFFSET($DI$96,$B132,$C132)</f>
        <v>1</v>
      </c>
      <c r="AL132" s="178" t="n">
        <v>34</v>
      </c>
      <c r="AM132" s="165" t="n">
        <v>0.4</v>
      </c>
      <c r="AN132" s="167" t="n">
        <f aca="false">'[3]Pricing Summary'!$AM110</f>
        <v>0.19</v>
      </c>
      <c r="AO132" s="167" t="n">
        <f aca="false">0.9*AN132</f>
        <v>0.171</v>
      </c>
      <c r="AP132" s="166" t="n">
        <f aca="false">1.5*AN132</f>
        <v>0.285</v>
      </c>
      <c r="AQ132" s="167" t="n">
        <f aca="false">AN132</f>
        <v>0.19</v>
      </c>
      <c r="AR132" s="166" t="n">
        <f aca="false">0.8*AQ132</f>
        <v>0.152</v>
      </c>
      <c r="AS132" s="166" t="n">
        <f aca="false">1.2*AQ132</f>
        <v>0.228</v>
      </c>
      <c r="AT132" s="169" t="n">
        <f aca="false">IF(G132&lt;110,17.94063*(LN(G132/100))+6.727568*(LN(G132/100)^2)+15.06494,(-4.1*G132+2135)/100)*0.5</f>
        <v>1.56438247047004</v>
      </c>
      <c r="AU132" s="169" t="n">
        <f aca="false">(0.75*AT132-AT132)</f>
        <v>-0.39109561761751</v>
      </c>
      <c r="AV132" s="166" t="n">
        <f aca="false">AT132/0.5*1.25-AT132</f>
        <v>2.34657370570506</v>
      </c>
      <c r="AW132" s="168" t="n">
        <f aca="false">IF(L132&lt;15,(15*L132+375)/100,(-4.71*L132+670.65)/100)*0.5</f>
        <v>2.69385</v>
      </c>
      <c r="AX132" s="166" t="n">
        <f aca="false">0.75*AW132-AW132</f>
        <v>-0.6734625</v>
      </c>
      <c r="AY132" s="166" t="n">
        <f aca="false">AW132/0.5*1.25-AW132</f>
        <v>4.040775</v>
      </c>
      <c r="AZ132" s="167" t="n">
        <v>0.5</v>
      </c>
      <c r="BA132" s="74"/>
      <c r="BB132" s="135" t="n">
        <v>1400</v>
      </c>
      <c r="BC132" s="252" t="n">
        <v>0.763585343661414</v>
      </c>
      <c r="BD132" s="253" t="n">
        <v>0.763585343661414</v>
      </c>
      <c r="BE132" s="253" t="n">
        <v>0.82733940722568</v>
      </c>
      <c r="BF132" s="253" t="n">
        <v>1.44194030068255</v>
      </c>
      <c r="BG132" s="253" t="n">
        <v>0.76322402189917</v>
      </c>
      <c r="BH132" s="253" t="n">
        <v>0.971867719806433</v>
      </c>
      <c r="BI132" s="253" t="n">
        <v>1.51765135706537</v>
      </c>
      <c r="BJ132" s="253" t="n">
        <v>2.07177316150454</v>
      </c>
      <c r="BK132" s="253" t="n">
        <v>1.21854037063448</v>
      </c>
      <c r="BL132" s="253" t="n">
        <v>0.964036785503227</v>
      </c>
      <c r="BM132" s="253" t="n">
        <v>0.964036785503227</v>
      </c>
      <c r="BN132" s="254" t="n">
        <v>0.964036785503227</v>
      </c>
      <c r="BO132" s="251" t="str">
        <f aca="false">IF(AND(BB132&gt;=BC$116,BB132&lt;=BD$116),"1","2")</f>
        <v>1</v>
      </c>
      <c r="BQ132" s="108" t="n">
        <v>36907.7428240741</v>
      </c>
      <c r="BR132" s="109" t="n">
        <v>36907.743287037</v>
      </c>
      <c r="BS132" s="110" t="n">
        <v>39845</v>
      </c>
      <c r="BT132" s="111" t="n">
        <v>107741.5</v>
      </c>
      <c r="BU132" s="112" t="n">
        <v>75419.046875</v>
      </c>
      <c r="BV132" s="112" t="n">
        <v>21548.298828125</v>
      </c>
      <c r="BW132" s="112" t="n">
        <v>21548.298828125</v>
      </c>
      <c r="BX132" s="113" t="n">
        <v>0</v>
      </c>
      <c r="BZ132" s="110" t="n">
        <v>39904</v>
      </c>
      <c r="CA132" s="185" t="n">
        <v>28</v>
      </c>
      <c r="CB132" s="116" t="n">
        <v>28</v>
      </c>
      <c r="CC132" s="181" t="n">
        <v>28</v>
      </c>
      <c r="CD132" s="181" t="n">
        <v>28</v>
      </c>
      <c r="CE132" s="117" t="n">
        <v>1</v>
      </c>
    </row>
    <row r="133" customFormat="false" ht="12.75" hidden="false" customHeight="false" outlineLevel="0" collapsed="false">
      <c r="A133" s="0" t="n">
        <f aca="true">IF(ISERROR(MATCH(D133,iRefDt,0)),"",MATCH(D133,iRefDt,0))</f>
        <v>133</v>
      </c>
      <c r="B133" s="92" t="n">
        <f aca="false">MATCH(YEAR(D133),iSpreads)</f>
        <v>9</v>
      </c>
      <c r="C133" s="0" t="n">
        <f aca="false">MONTH(D133)</f>
        <v>5</v>
      </c>
      <c r="D133" s="93" t="n">
        <f aca="false">DATE(YEAR(D132),MONTH(D132)+1,1)</f>
        <v>39934</v>
      </c>
      <c r="E133" s="94" t="n">
        <f aca="false">VLOOKUP($D133,tblPriorPrice,2)</f>
        <v>32</v>
      </c>
      <c r="F133" s="190" t="n">
        <f aca="false">G133-E133</f>
        <v>0</v>
      </c>
      <c r="G133" s="190" t="n">
        <f aca="true">G121+OFFSET($CG$4,$B133,$C133)</f>
        <v>32</v>
      </c>
      <c r="H133" s="96" t="n">
        <f aca="true">G133+OFFSET($CU$4,$B133,$C133)</f>
        <v>27</v>
      </c>
      <c r="I133" s="96" t="n">
        <f aca="true">G133+OFFSET($DI$4,$B133,$C133)</f>
        <v>55</v>
      </c>
      <c r="J133" s="94" t="n">
        <f aca="false">VLOOKUP($D133,tblPriorPrice,3)</f>
        <v>32</v>
      </c>
      <c r="K133" s="190" t="n">
        <f aca="false">L133-J133</f>
        <v>0</v>
      </c>
      <c r="L133" s="190" t="n">
        <f aca="true">L121+OFFSET($CG$27,$B133,$C133)</f>
        <v>32</v>
      </c>
      <c r="M133" s="96" t="n">
        <f aca="true">$L133+OFFSET($CU$27,$B133,$C133)</f>
        <v>27</v>
      </c>
      <c r="N133" s="97" t="n">
        <f aca="true">$L133+OFFSET($DI$27,$B133,$C133)</f>
        <v>45</v>
      </c>
      <c r="O133" s="59" t="n">
        <f aca="true">IF($A133="",0,INDEX(tblPosn,$A133,2))</f>
        <v>105981.2734375</v>
      </c>
      <c r="P133" s="59" t="n">
        <f aca="true">IF($A133="",0,INDEX(tblPosn,$A133,3))</f>
        <v>82135.484375</v>
      </c>
      <c r="Q133" s="59" t="n">
        <f aca="true">IF($A133="",0,INDEX(tblPosn,$A133,4))</f>
        <v>26495.318359375</v>
      </c>
      <c r="R133" s="59" t="n">
        <f aca="true">IF($A133="",0,INDEX(tblPosn,$A133,5))</f>
        <v>31794.380859375</v>
      </c>
      <c r="S133" s="59" t="n">
        <f aca="true">IF($A133="",0,INDEX(tblPosn,$A133,6))</f>
        <v>0</v>
      </c>
      <c r="T133" s="98" t="n">
        <f aca="false">O133*F133+P133*K133+R133*AC133+S133*AH133/0.72+Q133*X133</f>
        <v>0</v>
      </c>
      <c r="V133" s="161" t="n">
        <f aca="false">D133</f>
        <v>39934</v>
      </c>
      <c r="W133" s="94" t="n">
        <f aca="false">VLOOKUP($D133,tblPriorPrice,4)</f>
        <v>32</v>
      </c>
      <c r="X133" s="95" t="n">
        <f aca="false">Y133-W133</f>
        <v>0</v>
      </c>
      <c r="Y133" s="191" t="n">
        <f aca="true">Y121+OFFSET($CG$50,$B133,$C133)</f>
        <v>32</v>
      </c>
      <c r="Z133" s="96" t="n">
        <f aca="true">Y133+OFFSET($CU$51,$B133,$C133)</f>
        <v>27</v>
      </c>
      <c r="AA133" s="177" t="n">
        <f aca="true">Y133+OFFSET($DI$51,$B133,$C133)</f>
        <v>56</v>
      </c>
      <c r="AB133" s="94" t="n">
        <f aca="false">VLOOKUP($D133,tblPriorPrice,5)</f>
        <v>32</v>
      </c>
      <c r="AC133" s="190" t="n">
        <f aca="false">AD133-AB133</f>
        <v>0</v>
      </c>
      <c r="AD133" s="191" t="n">
        <f aca="true">AD121+OFFSET($CG$73,$B133,$C133)</f>
        <v>32</v>
      </c>
      <c r="AE133" s="96" t="n">
        <f aca="true">AD133+OFFSET($CU$74,$B133,$C133)</f>
        <v>27</v>
      </c>
      <c r="AF133" s="177" t="n">
        <f aca="true">AD133+OFFSET($DI$74,$B133,$C133)</f>
        <v>56</v>
      </c>
      <c r="AG133" s="94" t="n">
        <f aca="false">VLOOKUP($D133,tblPriorPrice,6)</f>
        <v>1</v>
      </c>
      <c r="AH133" s="190" t="n">
        <f aca="false">AI133-AG133</f>
        <v>0</v>
      </c>
      <c r="AI133" s="191" t="n">
        <f aca="true">AI121+OFFSET($CG$96,$B133,$C133)</f>
        <v>1</v>
      </c>
      <c r="AJ133" s="96" t="n">
        <f aca="true">AI133+OFFSET($CU$96,$B133,$C133)</f>
        <v>1</v>
      </c>
      <c r="AK133" s="97" t="n">
        <f aca="true">AI133+OFFSET($DI$96,$B133,$C133)</f>
        <v>1</v>
      </c>
      <c r="AL133" s="178" t="n">
        <v>34</v>
      </c>
      <c r="AM133" s="165" t="n">
        <v>0.4</v>
      </c>
      <c r="AN133" s="167" t="n">
        <f aca="false">'[3]Pricing Summary'!$AM111</f>
        <v>0.19</v>
      </c>
      <c r="AO133" s="167" t="n">
        <f aca="false">0.9*AN133</f>
        <v>0.171</v>
      </c>
      <c r="AP133" s="166" t="n">
        <f aca="false">1.5*AN133</f>
        <v>0.285</v>
      </c>
      <c r="AQ133" s="167" t="n">
        <f aca="false">AN133</f>
        <v>0.19</v>
      </c>
      <c r="AR133" s="166" t="n">
        <f aca="false">0.8*AQ133</f>
        <v>0.152</v>
      </c>
      <c r="AS133" s="166" t="n">
        <f aca="false">1.2*AQ133</f>
        <v>0.228</v>
      </c>
      <c r="AT133" s="169" t="n">
        <f aca="false">IF(G133&lt;110,17.94063*(LN(G133/100))+6.727568*(LN(G133/100)^2)+15.06494,(-4.1*G133+2135)/100)*0.5</f>
        <v>1.67862159684781</v>
      </c>
      <c r="AU133" s="169" t="n">
        <f aca="false">(0.75*AT133-AT133)</f>
        <v>-0.419655399211954</v>
      </c>
      <c r="AV133" s="166" t="n">
        <f aca="false">AT133/0.5*1.25-AT133</f>
        <v>2.51793239527172</v>
      </c>
      <c r="AW133" s="168" t="n">
        <f aca="false">IF(L133&lt;15,(15*L133+375)/100,(-4.71*L133+670.65)/100)*0.5</f>
        <v>2.59965</v>
      </c>
      <c r="AX133" s="166" t="n">
        <f aca="false">0.75*AW133-AW133</f>
        <v>-0.6499125</v>
      </c>
      <c r="AY133" s="166" t="n">
        <f aca="false">AW133/0.5*1.25-AW133</f>
        <v>3.899475</v>
      </c>
      <c r="AZ133" s="167" t="n">
        <v>0.5</v>
      </c>
      <c r="BA133" s="74"/>
      <c r="BB133" s="135" t="n">
        <v>1500</v>
      </c>
      <c r="BC133" s="252" t="n">
        <v>0.718974900856435</v>
      </c>
      <c r="BD133" s="253" t="n">
        <v>0.718974900856435</v>
      </c>
      <c r="BE133" s="253" t="n">
        <v>0.734056578542401</v>
      </c>
      <c r="BF133" s="253" t="n">
        <v>1.49388363641161</v>
      </c>
      <c r="BG133" s="253" t="n">
        <v>1.41976843049252</v>
      </c>
      <c r="BH133" s="253" t="n">
        <v>0.994629771069995</v>
      </c>
      <c r="BI133" s="253" t="n">
        <v>1.42059422250504</v>
      </c>
      <c r="BJ133" s="253" t="n">
        <v>1.73722309613127</v>
      </c>
      <c r="BK133" s="253" t="n">
        <v>1.2223330098001</v>
      </c>
      <c r="BL133" s="253" t="n">
        <v>0.892785331971965</v>
      </c>
      <c r="BM133" s="253" t="n">
        <v>0.892785331971965</v>
      </c>
      <c r="BN133" s="254" t="n">
        <v>0.892785331971965</v>
      </c>
      <c r="BO133" s="251" t="str">
        <f aca="false">IF(AND(BB133&gt;=BC$116,BB133&lt;=BD$116),"1","2")</f>
        <v>1</v>
      </c>
      <c r="BQ133" s="108" t="n">
        <v>36907.7428240741</v>
      </c>
      <c r="BR133" s="109" t="n">
        <v>36907.743287037</v>
      </c>
      <c r="BS133" s="110" t="n">
        <v>39873</v>
      </c>
      <c r="BT133" s="111" t="n">
        <v>117864.6953125</v>
      </c>
      <c r="BU133" s="112" t="n">
        <v>83041.03125</v>
      </c>
      <c r="BV133" s="112" t="n">
        <v>21429.9453125</v>
      </c>
      <c r="BW133" s="112" t="n">
        <v>26787.4296875</v>
      </c>
      <c r="BX133" s="113" t="n">
        <v>0</v>
      </c>
      <c r="BZ133" s="110" t="n">
        <v>39934</v>
      </c>
      <c r="CA133" s="185" t="n">
        <v>32</v>
      </c>
      <c r="CB133" s="116" t="n">
        <v>32</v>
      </c>
      <c r="CC133" s="181" t="n">
        <v>32</v>
      </c>
      <c r="CD133" s="181" t="n">
        <v>32</v>
      </c>
      <c r="CE133" s="117" t="n">
        <v>1</v>
      </c>
    </row>
    <row r="134" customFormat="false" ht="12.75" hidden="false" customHeight="false" outlineLevel="0" collapsed="false">
      <c r="A134" s="0" t="n">
        <f aca="true">IF(ISERROR(MATCH(D134,iRefDt,0)),"",MATCH(D134,iRefDt,0))</f>
        <v>134</v>
      </c>
      <c r="B134" s="92" t="n">
        <f aca="false">MATCH(YEAR(D134),iSpreads)</f>
        <v>9</v>
      </c>
      <c r="C134" s="0" t="n">
        <f aca="false">MONTH(D134)</f>
        <v>6</v>
      </c>
      <c r="D134" s="93" t="n">
        <f aca="false">DATE(YEAR(D133),MONTH(D133)+1,1)</f>
        <v>39965</v>
      </c>
      <c r="E134" s="94" t="n">
        <f aca="false">VLOOKUP($D134,tblPriorPrice,2)</f>
        <v>38</v>
      </c>
      <c r="F134" s="190" t="n">
        <f aca="false">G134-E134</f>
        <v>0</v>
      </c>
      <c r="G134" s="190" t="n">
        <f aca="true">G122+OFFSET($CG$4,$B134,$C134)</f>
        <v>38</v>
      </c>
      <c r="H134" s="96" t="n">
        <f aca="true">G134+OFFSET($CU$4,$B134,$C134)</f>
        <v>33</v>
      </c>
      <c r="I134" s="96" t="n">
        <f aca="true">G134+OFFSET($DI$4,$B134,$C134)</f>
        <v>61</v>
      </c>
      <c r="J134" s="94" t="n">
        <f aca="false">VLOOKUP($D134,tblPriorPrice,3)</f>
        <v>38</v>
      </c>
      <c r="K134" s="190" t="n">
        <f aca="false">L134-J134</f>
        <v>0</v>
      </c>
      <c r="L134" s="190" t="n">
        <f aca="true">L122+OFFSET($CG$27,$B134,$C134)</f>
        <v>38</v>
      </c>
      <c r="M134" s="96" t="n">
        <f aca="true">$L134+OFFSET($CU$27,$B134,$C134)</f>
        <v>33</v>
      </c>
      <c r="N134" s="97" t="n">
        <f aca="true">$L134+OFFSET($DI$27,$B134,$C134)</f>
        <v>51</v>
      </c>
      <c r="O134" s="59" t="n">
        <f aca="true">IF($A134="",0,INDEX(tblPosn,$A134,2))</f>
        <v>115960.78125</v>
      </c>
      <c r="P134" s="59" t="n">
        <f aca="true">IF($A134="",0,INDEX(tblPosn,$A134,3))</f>
        <v>79064.171875</v>
      </c>
      <c r="Q134" s="59" t="n">
        <f aca="true">IF($A134="",0,INDEX(tblPosn,$A134,4))</f>
        <v>21083.77734375</v>
      </c>
      <c r="R134" s="59" t="n">
        <f aca="true">IF($A134="",0,INDEX(tblPosn,$A134,5))</f>
        <v>21083.77734375</v>
      </c>
      <c r="S134" s="59" t="n">
        <f aca="true">IF($A134="",0,INDEX(tblPosn,$A134,6))</f>
        <v>0</v>
      </c>
      <c r="T134" s="98" t="n">
        <f aca="false">O134*F134+P134*K134+R134*AC134+S134*AH134/0.72+Q134*X134</f>
        <v>0</v>
      </c>
      <c r="V134" s="161" t="n">
        <f aca="false">D134</f>
        <v>39965</v>
      </c>
      <c r="W134" s="94" t="n">
        <f aca="false">VLOOKUP($D134,tblPriorPrice,4)</f>
        <v>38</v>
      </c>
      <c r="X134" s="95" t="n">
        <f aca="false">Y134-W134</f>
        <v>0</v>
      </c>
      <c r="Y134" s="191" t="n">
        <f aca="true">Y122+OFFSET($CG$50,$B134,$C134)</f>
        <v>38</v>
      </c>
      <c r="Z134" s="96" t="n">
        <f aca="true">Y134+OFFSET($CU$51,$B134,$C134)</f>
        <v>33</v>
      </c>
      <c r="AA134" s="177" t="n">
        <f aca="true">Y134+OFFSET($DI$51,$B134,$C134)</f>
        <v>62</v>
      </c>
      <c r="AB134" s="94" t="n">
        <f aca="false">VLOOKUP($D134,tblPriorPrice,5)</f>
        <v>38</v>
      </c>
      <c r="AC134" s="190" t="n">
        <f aca="false">AD134-AB134</f>
        <v>0</v>
      </c>
      <c r="AD134" s="191" t="n">
        <f aca="true">AD122+OFFSET($CG$73,$B134,$C134)</f>
        <v>38</v>
      </c>
      <c r="AE134" s="96" t="n">
        <f aca="true">AD134+OFFSET($CU$74,$B134,$C134)</f>
        <v>33</v>
      </c>
      <c r="AF134" s="177" t="n">
        <f aca="true">AD134+OFFSET($DI$74,$B134,$C134)</f>
        <v>62</v>
      </c>
      <c r="AG134" s="94" t="n">
        <f aca="false">VLOOKUP($D134,tblPriorPrice,6)</f>
        <v>1</v>
      </c>
      <c r="AH134" s="190" t="n">
        <f aca="false">AI134-AG134</f>
        <v>0</v>
      </c>
      <c r="AI134" s="191" t="n">
        <f aca="true">AI122+OFFSET($CG$96,$B134,$C134)</f>
        <v>1</v>
      </c>
      <c r="AJ134" s="96" t="n">
        <f aca="true">AI134+OFFSET($CU$96,$B134,$C134)</f>
        <v>1</v>
      </c>
      <c r="AK134" s="97" t="n">
        <f aca="true">AI134+OFFSET($DI$96,$B134,$C134)</f>
        <v>1</v>
      </c>
      <c r="AL134" s="178" t="n">
        <v>35</v>
      </c>
      <c r="AM134" s="165" t="n">
        <v>0.4</v>
      </c>
      <c r="AN134" s="167" t="n">
        <f aca="false">'[3]Pricing Summary'!$AM112</f>
        <v>0.19</v>
      </c>
      <c r="AO134" s="167" t="n">
        <f aca="false">0.9*AN134</f>
        <v>0.171</v>
      </c>
      <c r="AP134" s="166" t="n">
        <f aca="false">1.5*AN134</f>
        <v>0.285</v>
      </c>
      <c r="AQ134" s="167" t="n">
        <f aca="false">AN134</f>
        <v>0.19</v>
      </c>
      <c r="AR134" s="166" t="n">
        <f aca="false">0.8*AQ134</f>
        <v>0.152</v>
      </c>
      <c r="AS134" s="166" t="n">
        <f aca="false">1.2*AQ134</f>
        <v>0.228</v>
      </c>
      <c r="AT134" s="169" t="n">
        <f aca="false">IF(G134&lt;110,17.94063*(LN(G134/100))+6.727568*(LN(G134/100)^2)+15.06494,(-4.1*G134+2135)/100)*0.5</f>
        <v>2.00217447645069</v>
      </c>
      <c r="AU134" s="169" t="n">
        <f aca="false">(0.75*AT134-AT134)</f>
        <v>-0.500543619112672</v>
      </c>
      <c r="AV134" s="166" t="n">
        <f aca="false">AT134/0.5*1.25-AT134</f>
        <v>3.00326171467603</v>
      </c>
      <c r="AW134" s="168" t="n">
        <f aca="false">IF(L134&lt;15,(15*L134+375)/100,(-4.71*L134+670.65)/100)*0.5</f>
        <v>2.45835</v>
      </c>
      <c r="AX134" s="166" t="n">
        <f aca="false">0.75*AW134-AW134</f>
        <v>-0.6145875</v>
      </c>
      <c r="AY134" s="166" t="n">
        <f aca="false">AW134/0.5*1.25-AW134</f>
        <v>3.687525</v>
      </c>
      <c r="AZ134" s="167" t="n">
        <v>0.5</v>
      </c>
      <c r="BA134" s="74"/>
      <c r="BB134" s="135" t="n">
        <v>1600</v>
      </c>
      <c r="BC134" s="252" t="n">
        <v>0.685376039450298</v>
      </c>
      <c r="BD134" s="253" t="n">
        <v>0.685376039450298</v>
      </c>
      <c r="BE134" s="253" t="n">
        <v>0.679712539465328</v>
      </c>
      <c r="BF134" s="253" t="n">
        <v>1.44930715015295</v>
      </c>
      <c r="BG134" s="253" t="n">
        <v>0.758260317651171</v>
      </c>
      <c r="BH134" s="253" t="n">
        <v>1.48930645282174</v>
      </c>
      <c r="BI134" s="253" t="n">
        <v>1.1516641968171</v>
      </c>
      <c r="BJ134" s="253" t="n">
        <v>1.68840729442958</v>
      </c>
      <c r="BK134" s="253" t="n">
        <v>1.38063533606149</v>
      </c>
      <c r="BL134" s="253" t="n">
        <v>0.80977484575409</v>
      </c>
      <c r="BM134" s="253" t="n">
        <v>0.80977484575409</v>
      </c>
      <c r="BN134" s="254" t="n">
        <v>0.80977484575409</v>
      </c>
      <c r="BO134" s="251" t="str">
        <f aca="false">IF(AND(BB134&gt;=BC$116,BB134&lt;=BD$116),"1","2")</f>
        <v>1</v>
      </c>
      <c r="BQ134" s="108" t="n">
        <v>36907.7428240741</v>
      </c>
      <c r="BR134" s="109" t="n">
        <v>36907.743287037</v>
      </c>
      <c r="BS134" s="110" t="n">
        <v>39904</v>
      </c>
      <c r="BT134" s="111" t="n">
        <v>117234.15625</v>
      </c>
      <c r="BU134" s="112" t="n">
        <v>79599.328125</v>
      </c>
      <c r="BV134" s="112" t="n">
        <v>21315.302734375</v>
      </c>
      <c r="BW134" s="112" t="n">
        <v>21315.302734375</v>
      </c>
      <c r="BX134" s="113" t="n">
        <v>0</v>
      </c>
      <c r="BZ134" s="110" t="n">
        <v>39965</v>
      </c>
      <c r="CA134" s="185" t="n">
        <v>38</v>
      </c>
      <c r="CB134" s="116" t="n">
        <v>38</v>
      </c>
      <c r="CC134" s="181" t="n">
        <v>38</v>
      </c>
      <c r="CD134" s="181" t="n">
        <v>38</v>
      </c>
      <c r="CE134" s="117" t="n">
        <v>1</v>
      </c>
    </row>
    <row r="135" customFormat="false" ht="12.75" hidden="false" customHeight="false" outlineLevel="0" collapsed="false">
      <c r="A135" s="0" t="n">
        <f aca="true">IF(ISERROR(MATCH(D135,iRefDt,0)),"",MATCH(D135,iRefDt,0))</f>
        <v>135</v>
      </c>
      <c r="B135" s="92" t="n">
        <f aca="false">MATCH(YEAR(D135),iSpreads)</f>
        <v>9</v>
      </c>
      <c r="C135" s="0" t="n">
        <f aca="false">MONTH(D135)</f>
        <v>7</v>
      </c>
      <c r="D135" s="93" t="n">
        <f aca="false">DATE(YEAR(D134),MONTH(D134)+1,1)</f>
        <v>39995</v>
      </c>
      <c r="E135" s="94" t="n">
        <f aca="false">VLOOKUP($D135,tblPriorPrice,2)</f>
        <v>38</v>
      </c>
      <c r="F135" s="190" t="n">
        <f aca="false">G135-E135</f>
        <v>0</v>
      </c>
      <c r="G135" s="190" t="n">
        <f aca="true">G123+OFFSET($CG$4,$B135,$C135)</f>
        <v>38</v>
      </c>
      <c r="H135" s="96" t="n">
        <f aca="true">G135+OFFSET($CU$4,$B135,$C135)</f>
        <v>33</v>
      </c>
      <c r="I135" s="96" t="n">
        <f aca="true">G135+OFFSET($DI$4,$B135,$C135)</f>
        <v>61</v>
      </c>
      <c r="J135" s="94" t="n">
        <f aca="false">VLOOKUP($D135,tblPriorPrice,3)</f>
        <v>38</v>
      </c>
      <c r="K135" s="190" t="n">
        <f aca="false">L135-J135</f>
        <v>0</v>
      </c>
      <c r="L135" s="190" t="n">
        <f aca="true">L123+OFFSET($CG$27,$B135,$C135)</f>
        <v>38</v>
      </c>
      <c r="M135" s="96" t="n">
        <f aca="true">$L135+OFFSET($CU$27,$B135,$C135)</f>
        <v>33</v>
      </c>
      <c r="N135" s="97" t="n">
        <f aca="true">$L135+OFFSET($DI$27,$B135,$C135)</f>
        <v>51</v>
      </c>
      <c r="O135" s="59" t="n">
        <f aca="true">IF($A135="",0,INDEX(tblPosn,$A135,2))</f>
        <v>115312.8203125</v>
      </c>
      <c r="P135" s="59" t="n">
        <f aca="true">IF($A135="",0,INDEX(tblPosn,$A135,3))</f>
        <v>81243.1171875</v>
      </c>
      <c r="Q135" s="59" t="n">
        <f aca="true">IF($A135="",0,INDEX(tblPosn,$A135,4))</f>
        <v>20965.966796875</v>
      </c>
      <c r="R135" s="59" t="n">
        <f aca="true">IF($A135="",0,INDEX(tblPosn,$A135,5))</f>
        <v>26207.458984375</v>
      </c>
      <c r="S135" s="59" t="n">
        <f aca="true">IF($A135="",0,INDEX(tblPosn,$A135,6))</f>
        <v>0</v>
      </c>
      <c r="T135" s="98" t="n">
        <f aca="false">O135*F135+P135*K135+R135*AC135+S135*AH135/0.72+Q135*X135</f>
        <v>0</v>
      </c>
      <c r="V135" s="161" t="n">
        <f aca="false">D135</f>
        <v>39995</v>
      </c>
      <c r="W135" s="94" t="n">
        <f aca="false">VLOOKUP($D135,tblPriorPrice,4)</f>
        <v>38</v>
      </c>
      <c r="X135" s="95" t="n">
        <f aca="false">Y135-W135</f>
        <v>0</v>
      </c>
      <c r="Y135" s="191" t="n">
        <f aca="true">Y123+OFFSET($CG$50,$B135,$C135)</f>
        <v>38</v>
      </c>
      <c r="Z135" s="96" t="n">
        <f aca="true">Y135+OFFSET($CU$51,$B135,$C135)</f>
        <v>33</v>
      </c>
      <c r="AA135" s="177" t="n">
        <f aca="true">Y135+OFFSET($DI$51,$B135,$C135)</f>
        <v>62</v>
      </c>
      <c r="AB135" s="94" t="n">
        <f aca="false">VLOOKUP($D135,tblPriorPrice,5)</f>
        <v>38</v>
      </c>
      <c r="AC135" s="190" t="n">
        <f aca="false">AD135-AB135</f>
        <v>0</v>
      </c>
      <c r="AD135" s="191" t="n">
        <f aca="true">AD123+OFFSET($CG$73,$B135,$C135)</f>
        <v>38</v>
      </c>
      <c r="AE135" s="96" t="n">
        <f aca="true">AD135+OFFSET($CU$74,$B135,$C135)</f>
        <v>33</v>
      </c>
      <c r="AF135" s="177" t="n">
        <f aca="true">AD135+OFFSET($DI$74,$B135,$C135)</f>
        <v>62</v>
      </c>
      <c r="AG135" s="94" t="n">
        <f aca="false">VLOOKUP($D135,tblPriorPrice,6)</f>
        <v>1</v>
      </c>
      <c r="AH135" s="190" t="n">
        <f aca="false">AI135-AG135</f>
        <v>0</v>
      </c>
      <c r="AI135" s="191" t="n">
        <f aca="true">AI123+OFFSET($CG$96,$B135,$C135)</f>
        <v>1</v>
      </c>
      <c r="AJ135" s="96" t="n">
        <f aca="true">AI135+OFFSET($CU$96,$B135,$C135)</f>
        <v>1</v>
      </c>
      <c r="AK135" s="97" t="n">
        <f aca="true">AI135+OFFSET($DI$96,$B135,$C135)</f>
        <v>1</v>
      </c>
      <c r="AL135" s="178" t="n">
        <v>35</v>
      </c>
      <c r="AM135" s="165" t="n">
        <v>0.4</v>
      </c>
      <c r="AN135" s="167" t="n">
        <f aca="false">'[3]Pricing Summary'!$AM113</f>
        <v>0.19</v>
      </c>
      <c r="AO135" s="167" t="n">
        <f aca="false">0.9*AN135</f>
        <v>0.171</v>
      </c>
      <c r="AP135" s="166" t="n">
        <f aca="false">1.5*AN135</f>
        <v>0.285</v>
      </c>
      <c r="AQ135" s="167" t="n">
        <f aca="false">AN135</f>
        <v>0.19</v>
      </c>
      <c r="AR135" s="166" t="n">
        <f aca="false">0.8*AQ135</f>
        <v>0.152</v>
      </c>
      <c r="AS135" s="166" t="n">
        <f aca="false">1.2*AQ135</f>
        <v>0.228</v>
      </c>
      <c r="AT135" s="169" t="n">
        <f aca="false">IF(G135&lt;110,17.94063*(LN(G135/100))+6.727568*(LN(G135/100)^2)+15.06494,(-4.1*G135+2135)/100)*0.5</f>
        <v>2.00217447645069</v>
      </c>
      <c r="AU135" s="169" t="n">
        <f aca="false">(0.75*AT135-AT135)</f>
        <v>-0.500543619112672</v>
      </c>
      <c r="AV135" s="166" t="n">
        <f aca="false">AT135/0.5*1.25-AT135</f>
        <v>3.00326171467603</v>
      </c>
      <c r="AW135" s="168" t="n">
        <f aca="false">IF(L135&lt;15,(15*L135+375)/100,(-4.71*L135+670.65)/100)*0.5</f>
        <v>2.45835</v>
      </c>
      <c r="AX135" s="166" t="n">
        <f aca="false">0.75*AW135-AW135</f>
        <v>-0.6145875</v>
      </c>
      <c r="AY135" s="166" t="n">
        <f aca="false">AW135/0.5*1.25-AW135</f>
        <v>3.687525</v>
      </c>
      <c r="AZ135" s="167" t="n">
        <v>0.5</v>
      </c>
      <c r="BA135" s="74"/>
      <c r="BB135" s="135" t="n">
        <v>1700</v>
      </c>
      <c r="BC135" s="252" t="n">
        <v>1.14690412037034</v>
      </c>
      <c r="BD135" s="253" t="n">
        <v>1.14690412037034</v>
      </c>
      <c r="BE135" s="253" t="n">
        <v>1.21956339768203</v>
      </c>
      <c r="BF135" s="253" t="n">
        <v>1.58316234952999</v>
      </c>
      <c r="BG135" s="253" t="n">
        <v>0.883184702421999</v>
      </c>
      <c r="BH135" s="253" t="n">
        <v>1.60107093963049</v>
      </c>
      <c r="BI135" s="253" t="n">
        <v>2.03346332883921</v>
      </c>
      <c r="BJ135" s="253" t="n">
        <v>1.86404497621134</v>
      </c>
      <c r="BK135" s="253" t="n">
        <v>1.80363976035779</v>
      </c>
      <c r="BL135" s="253" t="n">
        <v>1.48439380699896</v>
      </c>
      <c r="BM135" s="253" t="n">
        <v>1.48439380699896</v>
      </c>
      <c r="BN135" s="254" t="n">
        <v>1.48439380699896</v>
      </c>
      <c r="BO135" s="251" t="str">
        <f aca="false">IF(AND(BB135&gt;=BC$116,BB135&lt;=BD$116),"1","2")</f>
        <v>1</v>
      </c>
      <c r="BQ135" s="108" t="n">
        <v>36907.7428240741</v>
      </c>
      <c r="BR135" s="109" t="n">
        <v>36907.743287037</v>
      </c>
      <c r="BS135" s="110" t="n">
        <v>39934</v>
      </c>
      <c r="BT135" s="111" t="n">
        <v>105981.2734375</v>
      </c>
      <c r="BU135" s="112" t="n">
        <v>82135.484375</v>
      </c>
      <c r="BV135" s="112" t="n">
        <v>26495.318359375</v>
      </c>
      <c r="BW135" s="112" t="n">
        <v>31794.380859375</v>
      </c>
      <c r="BX135" s="113" t="n">
        <v>0</v>
      </c>
      <c r="BZ135" s="110" t="n">
        <v>39995</v>
      </c>
      <c r="CA135" s="185" t="n">
        <v>38</v>
      </c>
      <c r="CB135" s="116" t="n">
        <v>38</v>
      </c>
      <c r="CC135" s="181" t="n">
        <v>38</v>
      </c>
      <c r="CD135" s="181" t="n">
        <v>38</v>
      </c>
      <c r="CE135" s="117" t="n">
        <v>1</v>
      </c>
    </row>
    <row r="136" customFormat="false" ht="12.75" hidden="false" customHeight="false" outlineLevel="0" collapsed="false">
      <c r="A136" s="0" t="n">
        <f aca="true">IF(ISERROR(MATCH(D136,iRefDt,0)),"",MATCH(D136,iRefDt,0))</f>
        <v>136</v>
      </c>
      <c r="B136" s="92" t="n">
        <f aca="false">MATCH(YEAR(D136),iSpreads)</f>
        <v>9</v>
      </c>
      <c r="C136" s="0" t="n">
        <f aca="false">MONTH(D136)</f>
        <v>8</v>
      </c>
      <c r="D136" s="93" t="n">
        <f aca="false">DATE(YEAR(D135),MONTH(D135)+1,1)</f>
        <v>40026</v>
      </c>
      <c r="E136" s="94" t="n">
        <f aca="false">VLOOKUP($D136,tblPriorPrice,2)</f>
        <v>40</v>
      </c>
      <c r="F136" s="190" t="n">
        <f aca="false">G136-E136</f>
        <v>0</v>
      </c>
      <c r="G136" s="190" t="n">
        <f aca="true">G124+OFFSET($CG$4,$B136,$C136)</f>
        <v>40</v>
      </c>
      <c r="H136" s="96" t="n">
        <f aca="true">G136+OFFSET($CU$4,$B136,$C136)</f>
        <v>35</v>
      </c>
      <c r="I136" s="96" t="n">
        <f aca="true">G136+OFFSET($DI$4,$B136,$C136)</f>
        <v>63</v>
      </c>
      <c r="J136" s="94" t="n">
        <f aca="false">VLOOKUP($D136,tblPriorPrice,3)</f>
        <v>40</v>
      </c>
      <c r="K136" s="190" t="n">
        <f aca="false">L136-J136</f>
        <v>0</v>
      </c>
      <c r="L136" s="190" t="n">
        <f aca="true">L124+OFFSET($CG$27,$B136,$C136)</f>
        <v>40</v>
      </c>
      <c r="M136" s="96" t="n">
        <f aca="true">$L136+OFFSET($CU$27,$B136,$C136)</f>
        <v>35</v>
      </c>
      <c r="N136" s="97" t="n">
        <f aca="true">$L136+OFFSET($DI$27,$B136,$C136)</f>
        <v>53</v>
      </c>
      <c r="O136" s="59" t="n">
        <f aca="true">IF($A136="",0,INDEX(tblPosn,$A136,2))</f>
        <v>109459.84375</v>
      </c>
      <c r="P136" s="59" t="n">
        <f aca="true">IF($A136="",0,INDEX(tblPosn,$A136,3))</f>
        <v>80791.7890625</v>
      </c>
      <c r="Q136" s="59" t="n">
        <f aca="true">IF($A136="",0,INDEX(tblPosn,$A136,4))</f>
        <v>26061.8671875</v>
      </c>
      <c r="R136" s="59" t="n">
        <f aca="true">IF($A136="",0,INDEX(tblPosn,$A136,5))</f>
        <v>26061.8671875</v>
      </c>
      <c r="S136" s="59" t="n">
        <f aca="true">IF($A136="",0,INDEX(tblPosn,$A136,6))</f>
        <v>0</v>
      </c>
      <c r="T136" s="98" t="n">
        <f aca="false">O136*F136+P136*K136+R136*AC136+S136*AH136/0.72+Q136*X136</f>
        <v>0</v>
      </c>
      <c r="V136" s="161" t="n">
        <f aca="false">D136</f>
        <v>40026</v>
      </c>
      <c r="W136" s="94" t="n">
        <f aca="false">VLOOKUP($D136,tblPriorPrice,4)</f>
        <v>40</v>
      </c>
      <c r="X136" s="95" t="n">
        <f aca="false">Y136-W136</f>
        <v>0</v>
      </c>
      <c r="Y136" s="191" t="n">
        <f aca="true">Y124+OFFSET($CG$50,$B136,$C136)</f>
        <v>40</v>
      </c>
      <c r="Z136" s="96" t="n">
        <f aca="true">Y136+OFFSET($CU$51,$B136,$C136)</f>
        <v>35</v>
      </c>
      <c r="AA136" s="177" t="n">
        <f aca="true">Y136+OFFSET($DI$51,$B136,$C136)</f>
        <v>64</v>
      </c>
      <c r="AB136" s="94" t="n">
        <f aca="false">VLOOKUP($D136,tblPriorPrice,5)</f>
        <v>40</v>
      </c>
      <c r="AC136" s="190" t="n">
        <f aca="false">AD136-AB136</f>
        <v>0</v>
      </c>
      <c r="AD136" s="191" t="n">
        <f aca="true">AD124+OFFSET($CG$73,$B136,$C136)</f>
        <v>40</v>
      </c>
      <c r="AE136" s="96" t="n">
        <f aca="true">AD136+OFFSET($CU$74,$B136,$C136)</f>
        <v>35</v>
      </c>
      <c r="AF136" s="177" t="n">
        <f aca="true">AD136+OFFSET($DI$74,$B136,$C136)</f>
        <v>64</v>
      </c>
      <c r="AG136" s="94" t="n">
        <f aca="false">VLOOKUP($D136,tblPriorPrice,6)</f>
        <v>1</v>
      </c>
      <c r="AH136" s="190" t="n">
        <f aca="false">AI136-AG136</f>
        <v>0</v>
      </c>
      <c r="AI136" s="191" t="n">
        <f aca="true">AI124+OFFSET($CG$96,$B136,$C136)</f>
        <v>1</v>
      </c>
      <c r="AJ136" s="96" t="n">
        <f aca="true">AI136+OFFSET($CU$96,$B136,$C136)</f>
        <v>1</v>
      </c>
      <c r="AK136" s="97" t="n">
        <f aca="true">AI136+OFFSET($DI$96,$B136,$C136)</f>
        <v>1</v>
      </c>
      <c r="AL136" s="178" t="n">
        <v>35</v>
      </c>
      <c r="AM136" s="165" t="n">
        <v>0.4</v>
      </c>
      <c r="AN136" s="167" t="n">
        <f aca="false">'[3]Pricing Summary'!$AM114</f>
        <v>0.19</v>
      </c>
      <c r="AO136" s="167" t="n">
        <f aca="false">0.9*AN136</f>
        <v>0.171</v>
      </c>
      <c r="AP136" s="166" t="n">
        <f aca="false">1.5*AN136</f>
        <v>0.285</v>
      </c>
      <c r="AQ136" s="167" t="n">
        <f aca="false">AN136</f>
        <v>0.19</v>
      </c>
      <c r="AR136" s="166" t="n">
        <f aca="false">0.8*AQ136</f>
        <v>0.152</v>
      </c>
      <c r="AS136" s="166" t="n">
        <f aca="false">1.2*AQ136</f>
        <v>0.228</v>
      </c>
      <c r="AT136" s="169" t="n">
        <f aca="false">IF(G136&lt;110,17.94063*(LN(G136/100))+6.727568*(LN(G136/100)^2)+15.06494,(-4.1*G136+2135)/100)*0.5</f>
        <v>2.13724855703929</v>
      </c>
      <c r="AU136" s="169" t="n">
        <f aca="false">(0.75*AT136-AT136)</f>
        <v>-0.534312139259822</v>
      </c>
      <c r="AV136" s="166" t="n">
        <f aca="false">AT136/0.5*1.25-AT136</f>
        <v>3.20587283555893</v>
      </c>
      <c r="AW136" s="168" t="n">
        <f aca="false">IF(L136&lt;15,(15*L136+375)/100,(-4.71*L136+670.65)/100)*0.5</f>
        <v>2.41125</v>
      </c>
      <c r="AX136" s="166" t="n">
        <f aca="false">0.75*AW136-AW136</f>
        <v>-0.6028125</v>
      </c>
      <c r="AY136" s="166" t="n">
        <f aca="false">AW136/0.5*1.25-AW136</f>
        <v>3.616875</v>
      </c>
      <c r="AZ136" s="167" t="n">
        <v>0.5</v>
      </c>
      <c r="BA136" s="74"/>
      <c r="BB136" s="135" t="n">
        <v>1800</v>
      </c>
      <c r="BC136" s="252" t="n">
        <v>1.99699114724029</v>
      </c>
      <c r="BD136" s="253" t="n">
        <v>1.99699114724029</v>
      </c>
      <c r="BE136" s="253" t="n">
        <v>1.21180597208253</v>
      </c>
      <c r="BF136" s="253" t="n">
        <v>1.31276416166513</v>
      </c>
      <c r="BG136" s="253" t="n">
        <v>1.25293592851286</v>
      </c>
      <c r="BH136" s="253" t="n">
        <v>1.53895359784464</v>
      </c>
      <c r="BI136" s="253" t="n">
        <v>1.53766802548823</v>
      </c>
      <c r="BJ136" s="253" t="n">
        <v>1.1571079553173</v>
      </c>
      <c r="BK136" s="253" t="n">
        <v>1.12626971914107</v>
      </c>
      <c r="BL136" s="253" t="n">
        <v>1.01645943993571</v>
      </c>
      <c r="BM136" s="253" t="n">
        <v>1.01645943993571</v>
      </c>
      <c r="BN136" s="254" t="n">
        <v>1.01645943993571</v>
      </c>
      <c r="BO136" s="251" t="str">
        <f aca="false">IF(AND(BB136&gt;=BC$116,BB136&lt;=BD$116),"1","2")</f>
        <v>1</v>
      </c>
      <c r="BQ136" s="108" t="n">
        <v>36907.7428240741</v>
      </c>
      <c r="BR136" s="109" t="n">
        <v>36907.743287037</v>
      </c>
      <c r="BS136" s="110" t="n">
        <v>39965</v>
      </c>
      <c r="BT136" s="111" t="n">
        <v>115960.78125</v>
      </c>
      <c r="BU136" s="112" t="n">
        <v>79064.171875</v>
      </c>
      <c r="BV136" s="112" t="n">
        <v>21083.77734375</v>
      </c>
      <c r="BW136" s="112" t="n">
        <v>21083.77734375</v>
      </c>
      <c r="BX136" s="113" t="n">
        <v>0</v>
      </c>
      <c r="BZ136" s="110" t="n">
        <v>40026</v>
      </c>
      <c r="CA136" s="185" t="n">
        <v>40</v>
      </c>
      <c r="CB136" s="116" t="n">
        <v>40</v>
      </c>
      <c r="CC136" s="181" t="n">
        <v>40</v>
      </c>
      <c r="CD136" s="181" t="n">
        <v>40</v>
      </c>
      <c r="CE136" s="117" t="n">
        <v>1</v>
      </c>
    </row>
    <row r="137" customFormat="false" ht="12.75" hidden="false" customHeight="false" outlineLevel="0" collapsed="false">
      <c r="A137" s="0" t="n">
        <f aca="true">IF(ISERROR(MATCH(D137,iRefDt,0)),"",MATCH(D137,iRefDt,0))</f>
        <v>137</v>
      </c>
      <c r="B137" s="92" t="n">
        <f aca="false">MATCH(YEAR(D137),iSpreads)</f>
        <v>9</v>
      </c>
      <c r="C137" s="0" t="n">
        <f aca="false">MONTH(D137)</f>
        <v>9</v>
      </c>
      <c r="D137" s="93" t="n">
        <f aca="false">DATE(YEAR(D136),MONTH(D136)+1,1)</f>
        <v>40057</v>
      </c>
      <c r="E137" s="94" t="n">
        <f aca="false">VLOOKUP($D137,tblPriorPrice,2)</f>
        <v>34</v>
      </c>
      <c r="F137" s="190" t="n">
        <f aca="false">G137-E137</f>
        <v>0</v>
      </c>
      <c r="G137" s="190" t="n">
        <f aca="true">G125+OFFSET($CG$4,$B137,$C137)</f>
        <v>34</v>
      </c>
      <c r="H137" s="96" t="n">
        <f aca="true">G137+OFFSET($CU$4,$B137,$C137)</f>
        <v>29</v>
      </c>
      <c r="I137" s="96" t="n">
        <f aca="true">G137+OFFSET($DI$4,$B137,$C137)</f>
        <v>57</v>
      </c>
      <c r="J137" s="94" t="n">
        <f aca="false">VLOOKUP($D137,tblPriorPrice,3)</f>
        <v>34</v>
      </c>
      <c r="K137" s="190" t="n">
        <f aca="false">L137-J137</f>
        <v>0</v>
      </c>
      <c r="L137" s="190" t="n">
        <f aca="true">L125+OFFSET($CG$27,$B137,$C137)</f>
        <v>34</v>
      </c>
      <c r="M137" s="96" t="n">
        <f aca="true">$L137+OFFSET($CU$27,$B137,$C137)</f>
        <v>29</v>
      </c>
      <c r="N137" s="97" t="n">
        <f aca="true">$L137+OFFSET($DI$27,$B137,$C137)</f>
        <v>47</v>
      </c>
      <c r="O137" s="59" t="n">
        <f aca="true">IF($A137="",0,INDEX(tblPosn,$A137,2))</f>
        <v>108865.1015625</v>
      </c>
      <c r="P137" s="59" t="n">
        <f aca="true">IF($A137="",0,INDEX(tblPosn,$A137,3))</f>
        <v>77760.7890625</v>
      </c>
      <c r="Q137" s="59" t="n">
        <f aca="true">IF($A137="",0,INDEX(tblPosn,$A137,4))</f>
        <v>20736.2109375</v>
      </c>
      <c r="R137" s="59" t="n">
        <f aca="true">IF($A137="",0,INDEX(tblPosn,$A137,5))</f>
        <v>25920.263671875</v>
      </c>
      <c r="S137" s="59" t="n">
        <f aca="true">IF($A137="",0,INDEX(tblPosn,$A137,6))</f>
        <v>0</v>
      </c>
      <c r="T137" s="98" t="n">
        <f aca="false">O137*F137+P137*K137+R137*AC137+S137*AH137/0.72+Q137*X137</f>
        <v>0</v>
      </c>
      <c r="V137" s="161" t="n">
        <f aca="false">D137</f>
        <v>40057</v>
      </c>
      <c r="W137" s="94" t="n">
        <f aca="false">VLOOKUP($D137,tblPriorPrice,4)</f>
        <v>34</v>
      </c>
      <c r="X137" s="95" t="n">
        <f aca="false">Y137-W137</f>
        <v>0</v>
      </c>
      <c r="Y137" s="191" t="n">
        <f aca="true">Y125+OFFSET($CG$50,$B137,$C137)</f>
        <v>34</v>
      </c>
      <c r="Z137" s="96" t="n">
        <f aca="true">Y137+OFFSET($CU$51,$B137,$C137)</f>
        <v>29</v>
      </c>
      <c r="AA137" s="177" t="n">
        <f aca="true">Y137+OFFSET($DI$51,$B137,$C137)</f>
        <v>58</v>
      </c>
      <c r="AB137" s="94" t="n">
        <f aca="false">VLOOKUP($D137,tblPriorPrice,5)</f>
        <v>34</v>
      </c>
      <c r="AC137" s="190" t="n">
        <f aca="false">AD137-AB137</f>
        <v>0</v>
      </c>
      <c r="AD137" s="191" t="n">
        <f aca="true">AD125+OFFSET($CG$73,$B137,$C137)</f>
        <v>34</v>
      </c>
      <c r="AE137" s="96" t="n">
        <f aca="true">AD137+OFFSET($CU$74,$B137,$C137)</f>
        <v>29</v>
      </c>
      <c r="AF137" s="177" t="n">
        <f aca="true">AD137+OFFSET($DI$74,$B137,$C137)</f>
        <v>58</v>
      </c>
      <c r="AG137" s="94" t="n">
        <f aca="false">VLOOKUP($D137,tblPriorPrice,6)</f>
        <v>1</v>
      </c>
      <c r="AH137" s="190" t="n">
        <f aca="false">AI137-AG137</f>
        <v>0</v>
      </c>
      <c r="AI137" s="191" t="n">
        <f aca="true">AI125+OFFSET($CG$96,$B137,$C137)</f>
        <v>1</v>
      </c>
      <c r="AJ137" s="96" t="n">
        <f aca="true">AI137+OFFSET($CU$96,$B137,$C137)</f>
        <v>1</v>
      </c>
      <c r="AK137" s="97" t="n">
        <f aca="true">AI137+OFFSET($DI$96,$B137,$C137)</f>
        <v>1</v>
      </c>
      <c r="AL137" s="178" t="n">
        <v>36</v>
      </c>
      <c r="AM137" s="165" t="n">
        <v>0.4</v>
      </c>
      <c r="AN137" s="167" t="n">
        <f aca="false">'[3]Pricing Summary'!$AM115</f>
        <v>0.19</v>
      </c>
      <c r="AO137" s="167" t="n">
        <f aca="false">0.9*AN137</f>
        <v>0.171</v>
      </c>
      <c r="AP137" s="166" t="n">
        <f aca="false">1.5*AN137</f>
        <v>0.285</v>
      </c>
      <c r="AQ137" s="167" t="n">
        <f aca="false">AN137</f>
        <v>0.19</v>
      </c>
      <c r="AR137" s="166" t="n">
        <f aca="false">0.8*AQ137</f>
        <v>0.152</v>
      </c>
      <c r="AS137" s="166" t="n">
        <f aca="false">1.2*AQ137</f>
        <v>0.228</v>
      </c>
      <c r="AT137" s="169" t="n">
        <f aca="false">IF(G137&lt;110,17.94063*(LN(G137/100))+6.727568*(LN(G137/100)^2)+15.06494,(-4.1*G137+2135)/100)*0.5</f>
        <v>1.77008120542792</v>
      </c>
      <c r="AU137" s="169" t="n">
        <f aca="false">(0.75*AT137-AT137)</f>
        <v>-0.44252030135698</v>
      </c>
      <c r="AV137" s="166" t="n">
        <f aca="false">AT137/0.5*1.25-AT137</f>
        <v>2.65512180814188</v>
      </c>
      <c r="AW137" s="168" t="n">
        <f aca="false">IF(L137&lt;15,(15*L137+375)/100,(-4.71*L137+670.65)/100)*0.5</f>
        <v>2.55255</v>
      </c>
      <c r="AX137" s="166" t="n">
        <f aca="false">0.75*AW137-AW137</f>
        <v>-0.6381375</v>
      </c>
      <c r="AY137" s="166" t="n">
        <f aca="false">AW137/0.5*1.25-AW137</f>
        <v>3.828825</v>
      </c>
      <c r="AZ137" s="167" t="n">
        <v>0.5</v>
      </c>
      <c r="BA137" s="74"/>
      <c r="BB137" s="135" t="n">
        <v>1900</v>
      </c>
      <c r="BC137" s="252" t="n">
        <v>1.33937684546348</v>
      </c>
      <c r="BD137" s="253" t="n">
        <v>1.33937684546348</v>
      </c>
      <c r="BE137" s="253" t="n">
        <v>0.929328629717841</v>
      </c>
      <c r="BF137" s="253" t="n">
        <v>0.565946429984031</v>
      </c>
      <c r="BG137" s="253" t="n">
        <v>0.830264379484987</v>
      </c>
      <c r="BH137" s="253" t="n">
        <v>0.815725888494109</v>
      </c>
      <c r="BI137" s="253" t="n">
        <v>0.766499812868223</v>
      </c>
      <c r="BJ137" s="253" t="n">
        <v>0.644899725080906</v>
      </c>
      <c r="BK137" s="253" t="n">
        <v>0.788230644711405</v>
      </c>
      <c r="BL137" s="253" t="n">
        <v>0.726318077403125</v>
      </c>
      <c r="BM137" s="253" t="n">
        <v>0.726318077403125</v>
      </c>
      <c r="BN137" s="254" t="n">
        <v>0.726318077403125</v>
      </c>
      <c r="BO137" s="251" t="str">
        <f aca="false">IF(AND(BB137&gt;=BC$116,BB137&lt;=BD$116),"1","2")</f>
        <v>1</v>
      </c>
      <c r="BQ137" s="108" t="n">
        <v>36907.7428240741</v>
      </c>
      <c r="BR137" s="109" t="n">
        <v>36907.743287037</v>
      </c>
      <c r="BS137" s="110" t="n">
        <v>39995</v>
      </c>
      <c r="BT137" s="111" t="n">
        <v>115312.8203125</v>
      </c>
      <c r="BU137" s="112" t="n">
        <v>81243.1171875</v>
      </c>
      <c r="BV137" s="112" t="n">
        <v>20965.966796875</v>
      </c>
      <c r="BW137" s="112" t="n">
        <v>26207.458984375</v>
      </c>
      <c r="BX137" s="113" t="n">
        <v>0</v>
      </c>
      <c r="BZ137" s="110" t="n">
        <v>40057</v>
      </c>
      <c r="CA137" s="185" t="n">
        <v>34</v>
      </c>
      <c r="CB137" s="116" t="n">
        <v>34</v>
      </c>
      <c r="CC137" s="181" t="n">
        <v>34</v>
      </c>
      <c r="CD137" s="181" t="n">
        <v>34</v>
      </c>
      <c r="CE137" s="117" t="n">
        <v>1</v>
      </c>
    </row>
    <row r="138" customFormat="false" ht="12.75" hidden="false" customHeight="false" outlineLevel="0" collapsed="false">
      <c r="A138" s="0" t="n">
        <f aca="true">IF(ISERROR(MATCH(D138,iRefDt,0)),"",MATCH(D138,iRefDt,0))</f>
        <v>138</v>
      </c>
      <c r="B138" s="92" t="n">
        <f aca="false">MATCH(YEAR(D138),iSpreads)</f>
        <v>9</v>
      </c>
      <c r="C138" s="0" t="n">
        <f aca="false">MONTH(D138)</f>
        <v>10</v>
      </c>
      <c r="D138" s="93" t="n">
        <f aca="false">DATE(YEAR(D137),MONTH(D137)+1,1)</f>
        <v>40087</v>
      </c>
      <c r="E138" s="94" t="n">
        <f aca="false">VLOOKUP($D138,tblPriorPrice,2)</f>
        <v>36</v>
      </c>
      <c r="F138" s="190" t="n">
        <f aca="false">G138-E138</f>
        <v>0</v>
      </c>
      <c r="G138" s="190" t="n">
        <f aca="true">G126+OFFSET($CG$4,$B138,$C138)</f>
        <v>36</v>
      </c>
      <c r="H138" s="96" t="n">
        <f aca="true">G138+OFFSET($CU$4,$B138,$C138)</f>
        <v>31</v>
      </c>
      <c r="I138" s="96" t="n">
        <f aca="true">G138+OFFSET($DI$4,$B138,$C138)</f>
        <v>59</v>
      </c>
      <c r="J138" s="94" t="n">
        <f aca="false">VLOOKUP($D138,tblPriorPrice,3)</f>
        <v>36</v>
      </c>
      <c r="K138" s="190" t="n">
        <f aca="false">L138-J138</f>
        <v>0</v>
      </c>
      <c r="L138" s="190" t="n">
        <f aca="true">L126+OFFSET($CG$27,$B138,$C138)</f>
        <v>36</v>
      </c>
      <c r="M138" s="96" t="n">
        <f aca="true">$L138+OFFSET($CU$27,$B138,$C138)</f>
        <v>31</v>
      </c>
      <c r="N138" s="97" t="n">
        <f aca="true">$L138+OFFSET($DI$27,$B138,$C138)</f>
        <v>49</v>
      </c>
      <c r="O138" s="59" t="n">
        <f aca="true">IF($A138="",0,INDEX(tblPosn,$A138,2))</f>
        <v>113407.5234375</v>
      </c>
      <c r="P138" s="59" t="n">
        <f aca="true">IF($A138="",0,INDEX(tblPosn,$A138,3))</f>
        <v>80222.9375</v>
      </c>
      <c r="Q138" s="59" t="n">
        <f aca="true">IF($A138="",0,INDEX(tblPosn,$A138,4))</f>
        <v>25774.4375</v>
      </c>
      <c r="R138" s="59" t="n">
        <f aca="true">IF($A138="",0,INDEX(tblPosn,$A138,5))</f>
        <v>20619.55078125</v>
      </c>
      <c r="S138" s="59" t="n">
        <f aca="true">IF($A138="",0,INDEX(tblPosn,$A138,6))</f>
        <v>0</v>
      </c>
      <c r="T138" s="98" t="n">
        <f aca="false">O138*F138+P138*K138+R138*AC138+S138*AH138/0.72+Q138*X138</f>
        <v>0</v>
      </c>
      <c r="V138" s="161" t="n">
        <f aca="false">D138</f>
        <v>40087</v>
      </c>
      <c r="W138" s="94" t="n">
        <f aca="false">VLOOKUP($D138,tblPriorPrice,4)</f>
        <v>36</v>
      </c>
      <c r="X138" s="95" t="n">
        <f aca="false">Y138-W138</f>
        <v>0</v>
      </c>
      <c r="Y138" s="191" t="n">
        <f aca="true">Y126+OFFSET($CG$50,$B138,$C138)</f>
        <v>36</v>
      </c>
      <c r="Z138" s="96" t="n">
        <f aca="true">Y138+OFFSET($CU$51,$B138,$C138)</f>
        <v>31</v>
      </c>
      <c r="AA138" s="177" t="n">
        <f aca="true">Y138+OFFSET($DI$51,$B138,$C138)</f>
        <v>60</v>
      </c>
      <c r="AB138" s="94" t="n">
        <f aca="false">VLOOKUP($D138,tblPriorPrice,5)</f>
        <v>36</v>
      </c>
      <c r="AC138" s="190" t="n">
        <f aca="false">AD138-AB138</f>
        <v>0</v>
      </c>
      <c r="AD138" s="191" t="n">
        <f aca="true">AD126+OFFSET($CG$73,$B138,$C138)</f>
        <v>36</v>
      </c>
      <c r="AE138" s="96" t="n">
        <f aca="true">AD138+OFFSET($CU$74,$B138,$C138)</f>
        <v>31</v>
      </c>
      <c r="AF138" s="177" t="n">
        <f aca="true">AD138+OFFSET($DI$74,$B138,$C138)</f>
        <v>60</v>
      </c>
      <c r="AG138" s="94" t="n">
        <f aca="false">VLOOKUP($D138,tblPriorPrice,6)</f>
        <v>1</v>
      </c>
      <c r="AH138" s="190" t="n">
        <f aca="false">AI138-AG138</f>
        <v>0</v>
      </c>
      <c r="AI138" s="191" t="n">
        <f aca="true">AI126+OFFSET($CG$96,$B138,$C138)</f>
        <v>1</v>
      </c>
      <c r="AJ138" s="96" t="n">
        <f aca="true">AI138+OFFSET($CU$96,$B138,$C138)</f>
        <v>1</v>
      </c>
      <c r="AK138" s="97" t="n">
        <f aca="true">AI138+OFFSET($DI$96,$B138,$C138)</f>
        <v>1</v>
      </c>
      <c r="AL138" s="178" t="n">
        <v>36</v>
      </c>
      <c r="AM138" s="165" t="n">
        <v>0.4</v>
      </c>
      <c r="AN138" s="167" t="n">
        <f aca="false">'[3]Pricing Summary'!$AM116</f>
        <v>0.19</v>
      </c>
      <c r="AO138" s="167" t="n">
        <f aca="false">0.9*AN138</f>
        <v>0.171</v>
      </c>
      <c r="AP138" s="166" t="n">
        <f aca="false">1.5*AN138</f>
        <v>0.285</v>
      </c>
      <c r="AQ138" s="167" t="n">
        <f aca="false">AN138</f>
        <v>0.19</v>
      </c>
      <c r="AR138" s="166" t="n">
        <f aca="false">0.8*AQ138</f>
        <v>0.152</v>
      </c>
      <c r="AS138" s="166" t="n">
        <f aca="false">1.2*AQ138</f>
        <v>0.228</v>
      </c>
      <c r="AT138" s="169" t="n">
        <f aca="false">IF(G138&lt;110,17.94063*(LN(G138/100))+6.727568*(LN(G138/100)^2)+15.06494,(-4.1*G138+2135)/100)*0.5</f>
        <v>1.8789575925079</v>
      </c>
      <c r="AU138" s="169" t="n">
        <f aca="false">(0.75*AT138-AT138)</f>
        <v>-0.469739398126976</v>
      </c>
      <c r="AV138" s="166" t="n">
        <f aca="false">AT138/0.5*1.25-AT138</f>
        <v>2.81843638876186</v>
      </c>
      <c r="AW138" s="168" t="n">
        <f aca="false">IF(L138&lt;15,(15*L138+375)/100,(-4.71*L138+670.65)/100)*0.5</f>
        <v>2.50545</v>
      </c>
      <c r="AX138" s="166" t="n">
        <f aca="false">0.75*AW138-AW138</f>
        <v>-0.6263625</v>
      </c>
      <c r="AY138" s="166" t="n">
        <f aca="false">AW138/0.5*1.25-AW138</f>
        <v>3.758175</v>
      </c>
      <c r="AZ138" s="167" t="n">
        <v>0.5</v>
      </c>
      <c r="BA138" s="74"/>
      <c r="BB138" s="135" t="n">
        <v>2000</v>
      </c>
      <c r="BC138" s="252" t="n">
        <v>1.06314451218298</v>
      </c>
      <c r="BD138" s="253" t="n">
        <v>1.06314451218298</v>
      </c>
      <c r="BE138" s="253" t="n">
        <v>1.85592083791462</v>
      </c>
      <c r="BF138" s="253" t="n">
        <v>0.561804400662926</v>
      </c>
      <c r="BG138" s="253" t="n">
        <v>0.818458446861693</v>
      </c>
      <c r="BH138" s="253" t="n">
        <v>0.651821209402531</v>
      </c>
      <c r="BI138" s="253" t="n">
        <v>0.472642346074588</v>
      </c>
      <c r="BJ138" s="253" t="n">
        <v>0.370642913790933</v>
      </c>
      <c r="BK138" s="253" t="n">
        <v>0.940968441095615</v>
      </c>
      <c r="BL138" s="253" t="n">
        <v>1.56751608269372</v>
      </c>
      <c r="BM138" s="253" t="n">
        <v>1.56751608269372</v>
      </c>
      <c r="BN138" s="254" t="n">
        <v>1.56751608269372</v>
      </c>
      <c r="BO138" s="251" t="str">
        <f aca="false">IF(AND(BB138&gt;=BC$116,BB138&lt;=BD$116),"1","2")</f>
        <v>1</v>
      </c>
      <c r="BQ138" s="108" t="n">
        <v>36907.7428240741</v>
      </c>
      <c r="BR138" s="109" t="n">
        <v>36907.743287037</v>
      </c>
      <c r="BS138" s="110" t="n">
        <v>40026</v>
      </c>
      <c r="BT138" s="111" t="n">
        <v>109459.84375</v>
      </c>
      <c r="BU138" s="112" t="n">
        <v>80791.7890625</v>
      </c>
      <c r="BV138" s="112" t="n">
        <v>26061.8671875</v>
      </c>
      <c r="BW138" s="112" t="n">
        <v>26061.8671875</v>
      </c>
      <c r="BX138" s="113" t="n">
        <v>0</v>
      </c>
      <c r="BZ138" s="110" t="n">
        <v>40087</v>
      </c>
      <c r="CA138" s="185" t="n">
        <v>36</v>
      </c>
      <c r="CB138" s="116" t="n">
        <v>36</v>
      </c>
      <c r="CC138" s="181" t="n">
        <v>36</v>
      </c>
      <c r="CD138" s="181" t="n">
        <v>36</v>
      </c>
      <c r="CE138" s="117" t="n">
        <v>1</v>
      </c>
    </row>
    <row r="139" customFormat="false" ht="12.75" hidden="false" customHeight="false" outlineLevel="0" collapsed="false">
      <c r="A139" s="0" t="n">
        <f aca="true">IF(ISERROR(MATCH(D139,iRefDt,0)),"",MATCH(D139,iRefDt,0))</f>
        <v>139</v>
      </c>
      <c r="B139" s="92" t="n">
        <f aca="false">MATCH(YEAR(D139),iSpreads)</f>
        <v>9</v>
      </c>
      <c r="C139" s="0" t="n">
        <f aca="false">MONTH(D139)</f>
        <v>11</v>
      </c>
      <c r="D139" s="93" t="n">
        <f aca="false">DATE(YEAR(D138),MONTH(D138)+1,1)</f>
        <v>40118</v>
      </c>
      <c r="E139" s="94" t="n">
        <f aca="false">VLOOKUP($D139,tblPriorPrice,2)</f>
        <v>31</v>
      </c>
      <c r="F139" s="190" t="n">
        <f aca="false">G139-E139</f>
        <v>0</v>
      </c>
      <c r="G139" s="190" t="n">
        <f aca="true">G127+OFFSET($CG$4,$B139,$C139)</f>
        <v>31</v>
      </c>
      <c r="H139" s="96" t="n">
        <f aca="true">G139+OFFSET($CU$4,$B139,$C139)</f>
        <v>26</v>
      </c>
      <c r="I139" s="96" t="n">
        <f aca="true">G139+OFFSET($DI$4,$B139,$C139)</f>
        <v>54</v>
      </c>
      <c r="J139" s="94" t="n">
        <f aca="false">VLOOKUP($D139,tblPriorPrice,3)</f>
        <v>31</v>
      </c>
      <c r="K139" s="190" t="n">
        <f aca="false">L139-J139</f>
        <v>0</v>
      </c>
      <c r="L139" s="190" t="n">
        <f aca="true">L127+OFFSET($CG$27,$B139,$C139)</f>
        <v>31</v>
      </c>
      <c r="M139" s="96" t="n">
        <f aca="true">$L139+OFFSET($CU$27,$B139,$C139)</f>
        <v>26</v>
      </c>
      <c r="N139" s="97" t="n">
        <f aca="true">$L139+OFFSET($DI$27,$B139,$C139)</f>
        <v>44</v>
      </c>
      <c r="O139" s="59" t="n">
        <f aca="true">IF($A139="",0,INDEX(tblPosn,$A139,2))</f>
        <v>102539.7578125</v>
      </c>
      <c r="P139" s="59" t="n">
        <f aca="true">IF($A139="",0,INDEX(tblPosn,$A139,3))</f>
        <v>76904.8125</v>
      </c>
      <c r="Q139" s="59" t="n">
        <f aca="true">IF($A139="",0,INDEX(tblPosn,$A139,4))</f>
        <v>20507.951171875</v>
      </c>
      <c r="R139" s="59" t="n">
        <f aca="true">IF($A139="",0,INDEX(tblPosn,$A139,5))</f>
        <v>30761.92578125</v>
      </c>
      <c r="S139" s="59" t="n">
        <f aca="true">IF($A139="",0,INDEX(tblPosn,$A139,6))</f>
        <v>0</v>
      </c>
      <c r="T139" s="98" t="n">
        <f aca="false">O139*F139+P139*K139+R139*AC139+S139*AH139/0.72+Q139*X139</f>
        <v>0</v>
      </c>
      <c r="V139" s="161" t="n">
        <f aca="false">D139</f>
        <v>40118</v>
      </c>
      <c r="W139" s="94" t="n">
        <f aca="false">VLOOKUP($D139,tblPriorPrice,4)</f>
        <v>31</v>
      </c>
      <c r="X139" s="95" t="n">
        <f aca="false">Y139-W139</f>
        <v>0</v>
      </c>
      <c r="Y139" s="191" t="n">
        <f aca="true">Y127+OFFSET($CG$50,$B139,$C139)</f>
        <v>31</v>
      </c>
      <c r="Z139" s="96" t="n">
        <f aca="true">Y139+OFFSET($CU$51,$B139,$C139)</f>
        <v>26</v>
      </c>
      <c r="AA139" s="177" t="n">
        <f aca="true">Y139+OFFSET($DI$51,$B139,$C139)</f>
        <v>55</v>
      </c>
      <c r="AB139" s="94" t="n">
        <f aca="false">VLOOKUP($D139,tblPriorPrice,5)</f>
        <v>31</v>
      </c>
      <c r="AC139" s="190" t="n">
        <f aca="false">AD139-AB139</f>
        <v>0</v>
      </c>
      <c r="AD139" s="191" t="n">
        <f aca="true">AD127+OFFSET($CG$73,$B139,$C139)</f>
        <v>31</v>
      </c>
      <c r="AE139" s="96" t="n">
        <f aca="true">AD139+OFFSET($CU$74,$B139,$C139)</f>
        <v>26</v>
      </c>
      <c r="AF139" s="177" t="n">
        <f aca="true">AD139+OFFSET($DI$74,$B139,$C139)</f>
        <v>55</v>
      </c>
      <c r="AG139" s="94" t="n">
        <f aca="false">VLOOKUP($D139,tblPriorPrice,6)</f>
        <v>1</v>
      </c>
      <c r="AH139" s="190" t="n">
        <f aca="false">AI139-AG139</f>
        <v>0</v>
      </c>
      <c r="AI139" s="191" t="n">
        <f aca="true">AI127+OFFSET($CG$96,$B139,$C139)</f>
        <v>1</v>
      </c>
      <c r="AJ139" s="96" t="n">
        <f aca="true">AI139+OFFSET($CU$96,$B139,$C139)</f>
        <v>1</v>
      </c>
      <c r="AK139" s="97" t="n">
        <f aca="true">AI139+OFFSET($DI$96,$B139,$C139)</f>
        <v>1</v>
      </c>
      <c r="AL139" s="178" t="n">
        <v>36</v>
      </c>
      <c r="AM139" s="165" t="n">
        <v>0.4</v>
      </c>
      <c r="AN139" s="167" t="n">
        <f aca="false">'[3]Pricing Summary'!$AM117</f>
        <v>0.19</v>
      </c>
      <c r="AO139" s="167" t="n">
        <f aca="false">0.9*AN139</f>
        <v>0.171</v>
      </c>
      <c r="AP139" s="166" t="n">
        <f aca="false">1.5*AN139</f>
        <v>0.285</v>
      </c>
      <c r="AQ139" s="167" t="n">
        <f aca="false">AN139</f>
        <v>0.19</v>
      </c>
      <c r="AR139" s="166" t="n">
        <f aca="false">0.8*AQ139</f>
        <v>0.152</v>
      </c>
      <c r="AS139" s="166" t="n">
        <f aca="false">1.2*AQ139</f>
        <v>0.228</v>
      </c>
      <c r="AT139" s="169" t="n">
        <f aca="false">IF(G139&lt;110,17.94063*(LN(G139/100))+6.727568*(LN(G139/100)^2)+15.06494,(-4.1*G139+2135)/100)*0.5</f>
        <v>1.64058990686036</v>
      </c>
      <c r="AU139" s="169" t="n">
        <f aca="false">(0.75*AT139-AT139)</f>
        <v>-0.410147476715089</v>
      </c>
      <c r="AV139" s="166" t="n">
        <f aca="false">AT139/0.5*1.25-AT139</f>
        <v>2.46088486029054</v>
      </c>
      <c r="AW139" s="168" t="n">
        <f aca="false">IF(L139&lt;15,(15*L139+375)/100,(-4.71*L139+670.65)/100)*0.5</f>
        <v>2.6232</v>
      </c>
      <c r="AX139" s="166" t="n">
        <f aca="false">0.75*AW139-AW139</f>
        <v>-0.6558</v>
      </c>
      <c r="AY139" s="166" t="n">
        <f aca="false">AW139/0.5*1.25-AW139</f>
        <v>3.9348</v>
      </c>
      <c r="AZ139" s="167" t="n">
        <v>0.5</v>
      </c>
      <c r="BA139" s="74"/>
      <c r="BB139" s="135" t="n">
        <v>2100</v>
      </c>
      <c r="BC139" s="252" t="n">
        <v>1.32526402245462</v>
      </c>
      <c r="BD139" s="253" t="n">
        <v>1.32526402245462</v>
      </c>
      <c r="BE139" s="253" t="n">
        <v>1.29036724171018</v>
      </c>
      <c r="BF139" s="253" t="n">
        <v>0.556680976874002</v>
      </c>
      <c r="BG139" s="253" t="n">
        <v>0.590570660111316</v>
      </c>
      <c r="BH139" s="253" t="n">
        <v>0.643639211583179</v>
      </c>
      <c r="BI139" s="253" t="n">
        <v>0.408451390840513</v>
      </c>
      <c r="BJ139" s="253" t="n">
        <v>0.413795855589668</v>
      </c>
      <c r="BK139" s="253" t="n">
        <v>2.06649857389774</v>
      </c>
      <c r="BL139" s="253" t="n">
        <v>1.36110068691383</v>
      </c>
      <c r="BM139" s="253" t="n">
        <v>1.36110068691383</v>
      </c>
      <c r="BN139" s="254" t="n">
        <v>1.36110068691383</v>
      </c>
      <c r="BO139" s="251" t="str">
        <f aca="false">IF(AND(BB139&gt;=BC$116,BB139&lt;=BD$116),"1","2")</f>
        <v>1</v>
      </c>
      <c r="BQ139" s="108" t="n">
        <v>36907.7428240741</v>
      </c>
      <c r="BR139" s="109" t="n">
        <v>36907.743287037</v>
      </c>
      <c r="BS139" s="110" t="n">
        <v>40057</v>
      </c>
      <c r="BT139" s="111" t="n">
        <v>108865.1015625</v>
      </c>
      <c r="BU139" s="112" t="n">
        <v>77760.7890625</v>
      </c>
      <c r="BV139" s="112" t="n">
        <v>20736.2109375</v>
      </c>
      <c r="BW139" s="112" t="n">
        <v>25920.263671875</v>
      </c>
      <c r="BX139" s="113" t="n">
        <v>0</v>
      </c>
      <c r="BZ139" s="110" t="n">
        <v>40118</v>
      </c>
      <c r="CA139" s="185" t="n">
        <v>31</v>
      </c>
      <c r="CB139" s="116" t="n">
        <v>31</v>
      </c>
      <c r="CC139" s="181" t="n">
        <v>31</v>
      </c>
      <c r="CD139" s="181" t="n">
        <v>31</v>
      </c>
      <c r="CE139" s="117" t="n">
        <v>1</v>
      </c>
    </row>
    <row r="140" customFormat="false" ht="12.75" hidden="false" customHeight="false" outlineLevel="0" collapsed="false">
      <c r="A140" s="0" t="n">
        <f aca="true">IF(ISERROR(MATCH(D140,iRefDt,0)),"",MATCH(D140,iRefDt,0))</f>
        <v>140</v>
      </c>
      <c r="B140" s="92" t="n">
        <f aca="false">MATCH(YEAR(D140),iSpreads)</f>
        <v>9</v>
      </c>
      <c r="C140" s="0" t="n">
        <f aca="false">MONTH(D140)</f>
        <v>12</v>
      </c>
      <c r="D140" s="93" t="n">
        <f aca="false">DATE(YEAR(D139),MONTH(D139)+1,1)</f>
        <v>40148</v>
      </c>
      <c r="E140" s="94" t="n">
        <f aca="false">VLOOKUP($D140,tblPriorPrice,2)</f>
        <v>30</v>
      </c>
      <c r="F140" s="190" t="n">
        <f aca="false">G140-E140</f>
        <v>0</v>
      </c>
      <c r="G140" s="190" t="n">
        <f aca="true">G128+OFFSET($CG$4,$B140,$C140)</f>
        <v>30</v>
      </c>
      <c r="H140" s="96" t="n">
        <f aca="true">G140+OFFSET($CU$4,$B140,$C140)</f>
        <v>25</v>
      </c>
      <c r="I140" s="96" t="n">
        <f aca="true">G140+OFFSET($DI$4,$B140,$C140)</f>
        <v>53</v>
      </c>
      <c r="J140" s="94" t="n">
        <f aca="false">VLOOKUP($D140,tblPriorPrice,3)</f>
        <v>29</v>
      </c>
      <c r="K140" s="190" t="n">
        <f aca="false">L140-J140</f>
        <v>0</v>
      </c>
      <c r="L140" s="190" t="n">
        <f aca="true">L128+OFFSET($CG$27,$B140,$C140)</f>
        <v>29</v>
      </c>
      <c r="M140" s="96" t="n">
        <f aca="true">$L140+OFFSET($CU$27,$B140,$C140)</f>
        <v>24</v>
      </c>
      <c r="N140" s="97" t="n">
        <f aca="true">$L140+OFFSET($DI$27,$B140,$C140)</f>
        <v>42</v>
      </c>
      <c r="O140" s="59" t="n">
        <f aca="true">IF($A140="",0,INDEX(tblPosn,$A140,2))</f>
        <v>112161.46875</v>
      </c>
      <c r="P140" s="59" t="n">
        <f aca="true">IF($A140="",0,INDEX(tblPosn,$A140,3))</f>
        <v>79022.859375</v>
      </c>
      <c r="Q140" s="59" t="n">
        <f aca="true">IF($A140="",0,INDEX(tblPosn,$A140,4))</f>
        <v>20392.994140625</v>
      </c>
      <c r="R140" s="59" t="n">
        <f aca="true">IF($A140="",0,INDEX(tblPosn,$A140,5))</f>
        <v>25491.244140625</v>
      </c>
      <c r="S140" s="59" t="n">
        <f aca="true">IF($A140="",0,INDEX(tblPosn,$A140,6))</f>
        <v>0</v>
      </c>
      <c r="T140" s="98" t="n">
        <f aca="false">O140*F140+P140*K140+R140*AC140+S140*AH140/0.72+Q140*X140</f>
        <v>0</v>
      </c>
      <c r="V140" s="161" t="n">
        <f aca="false">D140</f>
        <v>40148</v>
      </c>
      <c r="W140" s="94" t="n">
        <f aca="false">VLOOKUP($D140,tblPriorPrice,4)</f>
        <v>29</v>
      </c>
      <c r="X140" s="95" t="n">
        <f aca="false">Y140-W140</f>
        <v>0</v>
      </c>
      <c r="Y140" s="191" t="n">
        <f aca="true">Y128+OFFSET($CG$50,$B140,$C140)</f>
        <v>29</v>
      </c>
      <c r="Z140" s="96" t="n">
        <f aca="true">Y140+OFFSET($CU$51,$B140,$C140)</f>
        <v>24</v>
      </c>
      <c r="AA140" s="177" t="n">
        <f aca="true">Y140+OFFSET($DI$51,$B140,$C140)</f>
        <v>53</v>
      </c>
      <c r="AB140" s="94" t="n">
        <f aca="false">VLOOKUP($D140,tblPriorPrice,5)</f>
        <v>29</v>
      </c>
      <c r="AC140" s="190" t="n">
        <f aca="false">AD140-AB140</f>
        <v>0</v>
      </c>
      <c r="AD140" s="191" t="n">
        <f aca="true">AD128+OFFSET($CG$73,$B140,$C140)</f>
        <v>29</v>
      </c>
      <c r="AE140" s="96" t="n">
        <f aca="true">AD140+OFFSET($CU$74,$B140,$C140)</f>
        <v>24</v>
      </c>
      <c r="AF140" s="177" t="n">
        <f aca="true">AD140+OFFSET($DI$74,$B140,$C140)</f>
        <v>53</v>
      </c>
      <c r="AG140" s="94" t="n">
        <f aca="false">VLOOKUP($D140,tblPriorPrice,6)</f>
        <v>1</v>
      </c>
      <c r="AH140" s="190" t="n">
        <f aca="false">AI140-AG140</f>
        <v>0</v>
      </c>
      <c r="AI140" s="191" t="n">
        <f aca="true">AI128+OFFSET($CG$96,$B140,$C140)</f>
        <v>1</v>
      </c>
      <c r="AJ140" s="96" t="n">
        <f aca="true">AI140+OFFSET($CU$96,$B140,$C140)</f>
        <v>1</v>
      </c>
      <c r="AK140" s="97" t="n">
        <f aca="true">AI140+OFFSET($DI$96,$B140,$C140)</f>
        <v>1</v>
      </c>
      <c r="AL140" s="178" t="n">
        <v>37</v>
      </c>
      <c r="AM140" s="165" t="n">
        <v>0.4</v>
      </c>
      <c r="AN140" s="167" t="n">
        <f aca="false">'[3]Pricing Summary'!$AM118</f>
        <v>0.1925</v>
      </c>
      <c r="AO140" s="167" t="n">
        <f aca="false">0.9*AN140</f>
        <v>0.17325</v>
      </c>
      <c r="AP140" s="166" t="n">
        <f aca="false">1.5*AN140</f>
        <v>0.28875</v>
      </c>
      <c r="AQ140" s="167" t="n">
        <f aca="false">AN140</f>
        <v>0.1925</v>
      </c>
      <c r="AR140" s="166" t="n">
        <f aca="false">0.8*AQ140</f>
        <v>0.154</v>
      </c>
      <c r="AS140" s="166" t="n">
        <f aca="false">1.2*AQ140</f>
        <v>0.231</v>
      </c>
      <c r="AT140" s="169" t="n">
        <f aca="false">IF(G140&lt;110,17.94063*(LN(G140/100))+6.727568*(LN(G140/100)^2)+15.06494,(-4.1*G140+2135)/100)*0.5</f>
        <v>1.60842951845599</v>
      </c>
      <c r="AU140" s="169" t="n">
        <f aca="false">(0.75*AT140-AT140)</f>
        <v>-0.402107379613998</v>
      </c>
      <c r="AV140" s="166" t="n">
        <f aca="false">AT140/0.5*1.25-AT140</f>
        <v>2.41264427768399</v>
      </c>
      <c r="AW140" s="168" t="n">
        <f aca="false">IF(L140&lt;15,(15*L140+375)/100,(-4.71*L140+670.65)/100)*0.5</f>
        <v>2.6703</v>
      </c>
      <c r="AX140" s="166" t="n">
        <f aca="false">0.75*AW140-AW140</f>
        <v>-0.667575</v>
      </c>
      <c r="AY140" s="166" t="n">
        <f aca="false">AW140/0.5*1.25-AW140</f>
        <v>4.00545</v>
      </c>
      <c r="AZ140" s="167" t="n">
        <v>0.5</v>
      </c>
      <c r="BA140" s="74"/>
      <c r="BB140" s="135" t="n">
        <v>2200</v>
      </c>
      <c r="BC140" s="252" t="n">
        <v>1.07598821643563</v>
      </c>
      <c r="BD140" s="253" t="n">
        <v>1.07598821643563</v>
      </c>
      <c r="BE140" s="253" t="n">
        <v>1.35343785110948</v>
      </c>
      <c r="BF140" s="253" t="n">
        <v>1.3233076278737</v>
      </c>
      <c r="BG140" s="253" t="n">
        <v>0.48362239722628</v>
      </c>
      <c r="BH140" s="253" t="n">
        <v>0.588110102032533</v>
      </c>
      <c r="BI140" s="253" t="n">
        <v>0.403791987557503</v>
      </c>
      <c r="BJ140" s="253" t="n">
        <v>0.545492078025592</v>
      </c>
      <c r="BK140" s="253" t="n">
        <v>1.08387713735165</v>
      </c>
      <c r="BL140" s="253" t="n">
        <v>0.997815785931468</v>
      </c>
      <c r="BM140" s="253" t="n">
        <v>0.997815785931468</v>
      </c>
      <c r="BN140" s="254" t="n">
        <v>0.997815785931468</v>
      </c>
      <c r="BO140" s="251" t="str">
        <f aca="false">IF(AND(BB140&gt;=BC$116,BB140&lt;=BD$116),"1","2")</f>
        <v>1</v>
      </c>
      <c r="BQ140" s="108" t="n">
        <v>36907.7428240741</v>
      </c>
      <c r="BR140" s="109" t="n">
        <v>36907.743287037</v>
      </c>
      <c r="BS140" s="110" t="n">
        <v>40087</v>
      </c>
      <c r="BT140" s="111" t="n">
        <v>113407.5234375</v>
      </c>
      <c r="BU140" s="112" t="n">
        <v>80222.9375</v>
      </c>
      <c r="BV140" s="112" t="n">
        <v>25774.4375</v>
      </c>
      <c r="BW140" s="112" t="n">
        <v>20619.55078125</v>
      </c>
      <c r="BX140" s="113" t="n">
        <v>0</v>
      </c>
      <c r="BZ140" s="110" t="n">
        <v>40148</v>
      </c>
      <c r="CA140" s="185" t="n">
        <v>30</v>
      </c>
      <c r="CB140" s="116" t="n">
        <v>29</v>
      </c>
      <c r="CC140" s="181" t="n">
        <v>29</v>
      </c>
      <c r="CD140" s="181" t="n">
        <v>29</v>
      </c>
      <c r="CE140" s="117" t="n">
        <v>1</v>
      </c>
    </row>
    <row r="141" customFormat="false" ht="12.75" hidden="false" customHeight="false" outlineLevel="0" collapsed="false">
      <c r="A141" s="0" t="n">
        <f aca="true">IF(ISERROR(MATCH(D141,iRefDt,0)),"",MATCH(D141,iRefDt,0))</f>
        <v>141</v>
      </c>
      <c r="B141" s="92" t="n">
        <f aca="false">MATCH(YEAR(D141),iSpreads)</f>
        <v>10</v>
      </c>
      <c r="C141" s="0" t="n">
        <f aca="false">MONTH(D141)</f>
        <v>1</v>
      </c>
      <c r="D141" s="93" t="n">
        <f aca="false">DATE(YEAR(D140),MONTH(D140)+1,1)</f>
        <v>40179</v>
      </c>
      <c r="E141" s="94" t="n">
        <f aca="false">VLOOKUP($D141,tblPriorPrice,2)</f>
        <v>33</v>
      </c>
      <c r="F141" s="190" t="n">
        <f aca="false">G141-E141</f>
        <v>0</v>
      </c>
      <c r="G141" s="190" t="n">
        <f aca="true">G129+OFFSET($CG$4,$B141,$C141)</f>
        <v>33</v>
      </c>
      <c r="H141" s="96" t="n">
        <f aca="true">G141+OFFSET($CU$4,$B141,$C141)</f>
        <v>28</v>
      </c>
      <c r="I141" s="96" t="n">
        <f aca="true">G141+OFFSET($DI$4,$B141,$C141)</f>
        <v>57</v>
      </c>
      <c r="J141" s="94" t="n">
        <f aca="false">VLOOKUP($D141,tblPriorPrice,3)</f>
        <v>31</v>
      </c>
      <c r="K141" s="190" t="n">
        <f aca="false">L141-J141</f>
        <v>0</v>
      </c>
      <c r="L141" s="190" t="n">
        <f aca="true">L129+OFFSET($CG$27,$B141,$C141)</f>
        <v>31</v>
      </c>
      <c r="M141" s="96" t="n">
        <f aca="true">$L141+OFFSET($CU$27,$B141,$C141)</f>
        <v>26</v>
      </c>
      <c r="N141" s="97" t="n">
        <f aca="true">$L141+OFFSET($DI$27,$B141,$C141)</f>
        <v>45</v>
      </c>
      <c r="O141" s="59" t="n">
        <f aca="true">IF($A141="",0,INDEX(tblPosn,$A141,2))</f>
        <v>101007.15625</v>
      </c>
      <c r="P141" s="59" t="n">
        <f aca="true">IF($A141="",0,INDEX(tblPosn,$A141,3))</f>
        <v>78280.546875</v>
      </c>
      <c r="Q141" s="59" t="n">
        <f aca="true">IF($A141="",0,INDEX(tblPosn,$A141,4))</f>
        <v>25251.7890625</v>
      </c>
      <c r="R141" s="59" t="n">
        <f aca="true">IF($A141="",0,INDEX(tblPosn,$A141,5))</f>
        <v>30302.146484375</v>
      </c>
      <c r="S141" s="59" t="n">
        <f aca="true">IF($A141="",0,INDEX(tblPosn,$A141,6))</f>
        <v>0</v>
      </c>
      <c r="T141" s="98" t="n">
        <f aca="false">O141*F141+P141*K141+R141*AC141+S141*AH141/0.72+Q141*X141</f>
        <v>0</v>
      </c>
      <c r="V141" s="161" t="n">
        <f aca="false">D141</f>
        <v>40179</v>
      </c>
      <c r="W141" s="94" t="n">
        <f aca="false">VLOOKUP($D141,tblPriorPrice,4)</f>
        <v>31</v>
      </c>
      <c r="X141" s="95" t="n">
        <f aca="false">Y141-W141</f>
        <v>0</v>
      </c>
      <c r="Y141" s="191" t="n">
        <f aca="true">Y129+OFFSET($CG$50,$B141,$C141)</f>
        <v>31</v>
      </c>
      <c r="Z141" s="96" t="n">
        <f aca="true">Y141+OFFSET($CU$51,$B141,$C141)</f>
        <v>26</v>
      </c>
      <c r="AA141" s="177" t="n">
        <f aca="true">Y141+OFFSET($DI$51,$B141,$C141)</f>
        <v>56</v>
      </c>
      <c r="AB141" s="94" t="n">
        <f aca="false">VLOOKUP($D141,tblPriorPrice,5)</f>
        <v>31</v>
      </c>
      <c r="AC141" s="190" t="n">
        <f aca="false">AD141-AB141</f>
        <v>0</v>
      </c>
      <c r="AD141" s="191" t="n">
        <f aca="true">AD129+OFFSET($CG$73,$B141,$C141)</f>
        <v>31</v>
      </c>
      <c r="AE141" s="96" t="n">
        <f aca="true">AD141+OFFSET($CU$74,$B141,$C141)</f>
        <v>26</v>
      </c>
      <c r="AF141" s="177" t="n">
        <f aca="true">AD141+OFFSET($DI$74,$B141,$C141)</f>
        <v>56</v>
      </c>
      <c r="AG141" s="94" t="n">
        <f aca="false">VLOOKUP($D141,tblPriorPrice,6)</f>
        <v>1</v>
      </c>
      <c r="AH141" s="190" t="n">
        <f aca="false">AI141-AG141</f>
        <v>0</v>
      </c>
      <c r="AI141" s="191" t="n">
        <f aca="true">AI129+OFFSET($CG$96,$B141,$C141)</f>
        <v>1</v>
      </c>
      <c r="AJ141" s="96" t="n">
        <f aca="true">AI141+OFFSET($CU$96,$B141,$C141)</f>
        <v>1</v>
      </c>
      <c r="AK141" s="97" t="n">
        <f aca="true">AI141+OFFSET($DI$96,$B141,$C141)</f>
        <v>1</v>
      </c>
      <c r="AL141" s="178" t="n">
        <v>37</v>
      </c>
      <c r="AM141" s="165" t="n">
        <v>0.4</v>
      </c>
      <c r="AN141" s="167" t="n">
        <f aca="false">'[3]Pricing Summary'!$AM119</f>
        <v>0.1925</v>
      </c>
      <c r="AO141" s="167" t="n">
        <f aca="false">0.9*AN141</f>
        <v>0.17325</v>
      </c>
      <c r="AP141" s="166" t="n">
        <f aca="false">1.5*AN141</f>
        <v>0.28875</v>
      </c>
      <c r="AQ141" s="167" t="n">
        <f aca="false">AN141</f>
        <v>0.1925</v>
      </c>
      <c r="AR141" s="166" t="n">
        <f aca="false">0.8*AQ141</f>
        <v>0.154</v>
      </c>
      <c r="AS141" s="166" t="n">
        <f aca="false">1.2*AQ141</f>
        <v>0.231</v>
      </c>
      <c r="AT141" s="169" t="n">
        <f aca="false">IF(G141&lt;110,17.94063*(LN(G141/100))+6.727568*(LN(G141/100)^2)+15.06494,(-4.1*G141+2135)/100)*0.5</f>
        <v>1.72195432632388</v>
      </c>
      <c r="AU141" s="169" t="n">
        <f aca="false">(0.75*AT141-AT141)</f>
        <v>-0.43048858158097</v>
      </c>
      <c r="AV141" s="166" t="n">
        <f aca="false">AT141/0.5*1.25-AT141</f>
        <v>2.58293148948582</v>
      </c>
      <c r="AW141" s="168" t="n">
        <f aca="false">IF(L141&lt;15,(15*L141+375)/100,(-4.71*L141+670.65)/100)*0.5</f>
        <v>2.6232</v>
      </c>
      <c r="AX141" s="166" t="n">
        <f aca="false">0.75*AW141-AW141</f>
        <v>-0.6558</v>
      </c>
      <c r="AY141" s="166" t="n">
        <f aca="false">AW141/0.5*1.25-AW141</f>
        <v>3.9348</v>
      </c>
      <c r="AZ141" s="167" t="n">
        <v>0.5</v>
      </c>
      <c r="BA141" s="74"/>
      <c r="BB141" s="135" t="n">
        <v>2300</v>
      </c>
      <c r="BC141" s="252" t="n">
        <v>0.671013469460063</v>
      </c>
      <c r="BD141" s="253" t="n">
        <v>0.671013469460063</v>
      </c>
      <c r="BE141" s="253" t="n">
        <v>0.971673170249833</v>
      </c>
      <c r="BF141" s="253" t="n">
        <v>0.554848271460854</v>
      </c>
      <c r="BG141" s="253" t="n">
        <v>0.458492651655037</v>
      </c>
      <c r="BH141" s="253" t="n">
        <v>0.546828378612266</v>
      </c>
      <c r="BI141" s="253" t="n">
        <v>0.420702933277397</v>
      </c>
      <c r="BJ141" s="253" t="n">
        <v>0.366063064345742</v>
      </c>
      <c r="BK141" s="253" t="n">
        <v>0.400227025789302</v>
      </c>
      <c r="BL141" s="253" t="n">
        <v>0.508362257540083</v>
      </c>
      <c r="BM141" s="253" t="n">
        <v>0.508362257540083</v>
      </c>
      <c r="BN141" s="254" t="n">
        <v>0.508362257540083</v>
      </c>
      <c r="BO141" s="251" t="str">
        <f aca="false">IF(AND(BB141&gt;=BC$116,BB141&lt;=BD$116),"1","2")</f>
        <v>1</v>
      </c>
      <c r="BQ141" s="108" t="n">
        <v>36907.7428240741</v>
      </c>
      <c r="BR141" s="109" t="n">
        <v>36907.743287037</v>
      </c>
      <c r="BS141" s="110" t="n">
        <v>40118</v>
      </c>
      <c r="BT141" s="111" t="n">
        <v>102539.7578125</v>
      </c>
      <c r="BU141" s="112" t="n">
        <v>76904.8125</v>
      </c>
      <c r="BV141" s="112" t="n">
        <v>20507.951171875</v>
      </c>
      <c r="BW141" s="112" t="n">
        <v>30761.92578125</v>
      </c>
      <c r="BX141" s="113" t="n">
        <v>0</v>
      </c>
      <c r="BZ141" s="110" t="n">
        <v>40179</v>
      </c>
      <c r="CA141" s="185" t="n">
        <v>33</v>
      </c>
      <c r="CB141" s="116" t="n">
        <v>31</v>
      </c>
      <c r="CC141" s="181" t="n">
        <v>31</v>
      </c>
      <c r="CD141" s="181" t="n">
        <v>31</v>
      </c>
      <c r="CE141" s="117" t="n">
        <v>1</v>
      </c>
    </row>
    <row r="142" customFormat="false" ht="12.75" hidden="false" customHeight="false" outlineLevel="0" collapsed="false">
      <c r="A142" s="0" t="n">
        <f aca="true">IF(ISERROR(MATCH(D142,iRefDt,0)),"",MATCH(D142,iRefDt,0))</f>
        <v>142</v>
      </c>
      <c r="B142" s="92" t="n">
        <f aca="false">MATCH(YEAR(D142),iSpreads)</f>
        <v>10</v>
      </c>
      <c r="C142" s="0" t="n">
        <f aca="false">MONTH(D142)</f>
        <v>2</v>
      </c>
      <c r="D142" s="93" t="n">
        <f aca="false">DATE(YEAR(D141),MONTH(D141)+1,1)</f>
        <v>40210</v>
      </c>
      <c r="E142" s="94" t="n">
        <f aca="false">VLOOKUP($D142,tblPriorPrice,2)</f>
        <v>30</v>
      </c>
      <c r="F142" s="190" t="n">
        <f aca="false">G142-E142</f>
        <v>0</v>
      </c>
      <c r="G142" s="190" t="n">
        <f aca="true">G130+OFFSET($CG$4,$B142,$C142)</f>
        <v>30</v>
      </c>
      <c r="H142" s="96" t="n">
        <f aca="true">G142+OFFSET($CU$4,$B142,$C142)</f>
        <v>25</v>
      </c>
      <c r="I142" s="96" t="n">
        <f aca="true">G142+OFFSET($DI$4,$B142,$C142)</f>
        <v>54</v>
      </c>
      <c r="J142" s="94" t="n">
        <f aca="false">VLOOKUP($D142,tblPriorPrice,3)</f>
        <v>30</v>
      </c>
      <c r="K142" s="190" t="n">
        <f aca="false">L142-J142</f>
        <v>0</v>
      </c>
      <c r="L142" s="190" t="n">
        <f aca="true">L130+OFFSET($CG$27,$B142,$C142)</f>
        <v>30</v>
      </c>
      <c r="M142" s="96" t="n">
        <f aca="true">$L142+OFFSET($CU$27,$B142,$C142)</f>
        <v>25</v>
      </c>
      <c r="N142" s="97" t="n">
        <f aca="true">$L142+OFFSET($DI$27,$B142,$C142)</f>
        <v>44</v>
      </c>
      <c r="O142" s="59" t="n">
        <f aca="true">IF($A142="",0,INDEX(tblPosn,$A142,2))</f>
        <v>100491.2421875</v>
      </c>
      <c r="P142" s="59" t="n">
        <f aca="true">IF($A142="",0,INDEX(tblPosn,$A142,3))</f>
        <v>70343.8671875</v>
      </c>
      <c r="Q142" s="59" t="n">
        <f aca="true">IF($A142="",0,INDEX(tblPosn,$A142,4))</f>
        <v>20098.248046875</v>
      </c>
      <c r="R142" s="59" t="n">
        <f aca="true">IF($A142="",0,INDEX(tblPosn,$A142,5))</f>
        <v>20098.248046875</v>
      </c>
      <c r="S142" s="59" t="n">
        <f aca="true">IF($A142="",0,INDEX(tblPosn,$A142,6))</f>
        <v>0</v>
      </c>
      <c r="T142" s="98" t="n">
        <f aca="false">O142*F142+P142*K142+R142*AC142+S142*AH142/0.72+Q142*X142</f>
        <v>0</v>
      </c>
      <c r="V142" s="161" t="n">
        <f aca="false">D142</f>
        <v>40210</v>
      </c>
      <c r="W142" s="94" t="n">
        <f aca="false">VLOOKUP($D142,tblPriorPrice,4)</f>
        <v>30</v>
      </c>
      <c r="X142" s="95" t="n">
        <f aca="false">Y142-W142</f>
        <v>0</v>
      </c>
      <c r="Y142" s="191" t="n">
        <f aca="true">Y130+OFFSET($CG$50,$B142,$C142)</f>
        <v>30</v>
      </c>
      <c r="Z142" s="96" t="n">
        <f aca="true">Y142+OFFSET($CU$51,$B142,$C142)</f>
        <v>25</v>
      </c>
      <c r="AA142" s="177" t="n">
        <f aca="true">Y142+OFFSET($DI$51,$B142,$C142)</f>
        <v>55</v>
      </c>
      <c r="AB142" s="94" t="n">
        <f aca="false">VLOOKUP($D142,tblPriorPrice,5)</f>
        <v>30</v>
      </c>
      <c r="AC142" s="190" t="n">
        <f aca="false">AD142-AB142</f>
        <v>0</v>
      </c>
      <c r="AD142" s="191" t="n">
        <f aca="true">AD130+OFFSET($CG$73,$B142,$C142)</f>
        <v>30</v>
      </c>
      <c r="AE142" s="96" t="n">
        <f aca="true">AD142+OFFSET($CU$74,$B142,$C142)</f>
        <v>25</v>
      </c>
      <c r="AF142" s="177" t="n">
        <f aca="true">AD142+OFFSET($DI$74,$B142,$C142)</f>
        <v>55</v>
      </c>
      <c r="AG142" s="94" t="n">
        <f aca="false">VLOOKUP($D142,tblPriorPrice,6)</f>
        <v>1</v>
      </c>
      <c r="AH142" s="190" t="n">
        <f aca="false">AI142-AG142</f>
        <v>0</v>
      </c>
      <c r="AI142" s="191" t="n">
        <f aca="true">AI130+OFFSET($CG$96,$B142,$C142)</f>
        <v>1</v>
      </c>
      <c r="AJ142" s="96" t="n">
        <f aca="true">AI142+OFFSET($CU$96,$B142,$C142)</f>
        <v>1</v>
      </c>
      <c r="AK142" s="97" t="n">
        <f aca="true">AI142+OFFSET($DI$96,$B142,$C142)</f>
        <v>1</v>
      </c>
      <c r="AL142" s="178" t="n">
        <v>37</v>
      </c>
      <c r="AM142" s="165" t="n">
        <v>0.4</v>
      </c>
      <c r="AN142" s="167" t="n">
        <f aca="false">'[3]Pricing Summary'!$AM120</f>
        <v>0.1875</v>
      </c>
      <c r="AO142" s="167" t="n">
        <f aca="false">0.9*AN142</f>
        <v>0.16875</v>
      </c>
      <c r="AP142" s="166" t="n">
        <f aca="false">1.5*AN142</f>
        <v>0.28125</v>
      </c>
      <c r="AQ142" s="167" t="n">
        <f aca="false">AN142</f>
        <v>0.1875</v>
      </c>
      <c r="AR142" s="166" t="n">
        <f aca="false">0.8*AQ142</f>
        <v>0.15</v>
      </c>
      <c r="AS142" s="166" t="n">
        <f aca="false">1.2*AQ142</f>
        <v>0.225</v>
      </c>
      <c r="AT142" s="169" t="n">
        <f aca="false">IF(G142&lt;110,17.94063*(LN(G142/100))+6.727568*(LN(G142/100)^2)+15.06494,(-4.1*G142+2135)/100)*0.5</f>
        <v>1.60842951845599</v>
      </c>
      <c r="AU142" s="169" t="n">
        <f aca="false">(0.75*AT142-AT142)</f>
        <v>-0.402107379613998</v>
      </c>
      <c r="AV142" s="166" t="n">
        <f aca="false">AT142/0.5*1.25-AT142</f>
        <v>2.41264427768399</v>
      </c>
      <c r="AW142" s="168" t="n">
        <f aca="false">IF(L142&lt;15,(15*L142+375)/100,(-4.71*L142+670.65)/100)*0.5</f>
        <v>2.64675</v>
      </c>
      <c r="AX142" s="166" t="n">
        <f aca="false">0.75*AW142-AW142</f>
        <v>-0.6616875</v>
      </c>
      <c r="AY142" s="166" t="n">
        <f aca="false">AW142/0.5*1.25-AW142</f>
        <v>3.970125</v>
      </c>
      <c r="AZ142" s="167" t="n">
        <v>0.5</v>
      </c>
      <c r="BA142" s="74"/>
      <c r="BB142" s="152" t="n">
        <v>2400</v>
      </c>
      <c r="BC142" s="255" t="n">
        <v>1</v>
      </c>
      <c r="BD142" s="256" t="n">
        <v>1</v>
      </c>
      <c r="BE142" s="256" t="n">
        <v>1</v>
      </c>
      <c r="BF142" s="256" t="n">
        <v>1</v>
      </c>
      <c r="BG142" s="256" t="n">
        <v>1</v>
      </c>
      <c r="BH142" s="256" t="n">
        <v>1</v>
      </c>
      <c r="BI142" s="256" t="n">
        <v>1</v>
      </c>
      <c r="BJ142" s="256" t="n">
        <v>1</v>
      </c>
      <c r="BK142" s="256" t="n">
        <v>1</v>
      </c>
      <c r="BL142" s="256" t="n">
        <v>1</v>
      </c>
      <c r="BM142" s="256" t="n">
        <v>1</v>
      </c>
      <c r="BN142" s="257" t="n">
        <v>1</v>
      </c>
      <c r="BO142" s="258" t="str">
        <f aca="false">IF(AND(BB142&gt;=BC$116,BB142&lt;=BD$116),"1","2")</f>
        <v>2</v>
      </c>
      <c r="BQ142" s="108" t="n">
        <v>36907.7428240741</v>
      </c>
      <c r="BR142" s="109" t="n">
        <v>36907.743287037</v>
      </c>
      <c r="BS142" s="110" t="n">
        <v>40148</v>
      </c>
      <c r="BT142" s="111" t="n">
        <v>112161.46875</v>
      </c>
      <c r="BU142" s="112" t="n">
        <v>79022.859375</v>
      </c>
      <c r="BV142" s="112" t="n">
        <v>20392.994140625</v>
      </c>
      <c r="BW142" s="112" t="n">
        <v>25491.244140625</v>
      </c>
      <c r="BX142" s="113" t="n">
        <v>0</v>
      </c>
      <c r="BZ142" s="110" t="n">
        <v>40210</v>
      </c>
      <c r="CA142" s="185" t="n">
        <v>30</v>
      </c>
      <c r="CB142" s="116" t="n">
        <v>30</v>
      </c>
      <c r="CC142" s="181" t="n">
        <v>30</v>
      </c>
      <c r="CD142" s="181" t="n">
        <v>30</v>
      </c>
      <c r="CE142" s="117" t="n">
        <v>1</v>
      </c>
    </row>
    <row r="143" customFormat="false" ht="12.75" hidden="false" customHeight="false" outlineLevel="0" collapsed="false">
      <c r="A143" s="0" t="n">
        <f aca="true">IF(ISERROR(MATCH(D143,iRefDt,0)),"",MATCH(D143,iRefDt,0))</f>
        <v>143</v>
      </c>
      <c r="B143" s="92" t="n">
        <f aca="false">MATCH(YEAR(D143),iSpreads)</f>
        <v>10</v>
      </c>
      <c r="C143" s="0" t="n">
        <f aca="false">MONTH(D143)</f>
        <v>3</v>
      </c>
      <c r="D143" s="93" t="n">
        <f aca="false">DATE(YEAR(D142),MONTH(D142)+1,1)</f>
        <v>40238</v>
      </c>
      <c r="E143" s="94" t="n">
        <f aca="false">VLOOKUP($D143,tblPriorPrice,2)</f>
        <v>29</v>
      </c>
      <c r="F143" s="190" t="n">
        <f aca="false">G143-E143</f>
        <v>0</v>
      </c>
      <c r="G143" s="190" t="n">
        <f aca="true">G131+OFFSET($CG$4,$B143,$C143)</f>
        <v>29</v>
      </c>
      <c r="H143" s="96" t="n">
        <f aca="true">G143+OFFSET($CU$4,$B143,$C143)</f>
        <v>24</v>
      </c>
      <c r="I143" s="96" t="n">
        <f aca="true">G143+OFFSET($DI$4,$B143,$C143)</f>
        <v>53</v>
      </c>
      <c r="J143" s="94" t="n">
        <f aca="false">VLOOKUP($D143,tblPriorPrice,3)</f>
        <v>29</v>
      </c>
      <c r="K143" s="190" t="n">
        <f aca="false">L143-J143</f>
        <v>0</v>
      </c>
      <c r="L143" s="190" t="n">
        <f aca="true">L131+OFFSET($CG$27,$B143,$C143)</f>
        <v>29</v>
      </c>
      <c r="M143" s="96" t="n">
        <f aca="true">$L143+OFFSET($CU$27,$B143,$C143)</f>
        <v>24</v>
      </c>
      <c r="N143" s="97" t="n">
        <f aca="true">$L143+OFFSET($DI$27,$B143,$C143)</f>
        <v>43</v>
      </c>
      <c r="O143" s="59" t="n">
        <f aca="true">IF($A143="",0,INDEX(tblPosn,$A143,2))</f>
        <v>114915.53125</v>
      </c>
      <c r="P143" s="59" t="n">
        <f aca="true">IF($A143="",0,INDEX(tblPosn,$A143,3))</f>
        <v>77443.078125</v>
      </c>
      <c r="Q143" s="59" t="n">
        <f aca="true">IF($A143="",0,INDEX(tblPosn,$A143,4))</f>
        <v>19985.310546875</v>
      </c>
      <c r="R143" s="59" t="n">
        <f aca="true">IF($A143="",0,INDEX(tblPosn,$A143,5))</f>
        <v>19985.310546875</v>
      </c>
      <c r="S143" s="59" t="n">
        <f aca="true">IF($A143="",0,INDEX(tblPosn,$A143,6))</f>
        <v>0</v>
      </c>
      <c r="T143" s="98" t="n">
        <f aca="false">O143*F143+P143*K143+R143*AC143+S143*AH143/0.72+Q143*X143</f>
        <v>0</v>
      </c>
      <c r="V143" s="161" t="n">
        <f aca="false">D143</f>
        <v>40238</v>
      </c>
      <c r="W143" s="94" t="n">
        <f aca="false">VLOOKUP($D143,tblPriorPrice,4)</f>
        <v>29</v>
      </c>
      <c r="X143" s="95" t="n">
        <f aca="false">Y143-W143</f>
        <v>0</v>
      </c>
      <c r="Y143" s="191" t="n">
        <f aca="true">Y131+OFFSET($CG$50,$B143,$C143)</f>
        <v>29</v>
      </c>
      <c r="Z143" s="96" t="n">
        <f aca="true">Y143+OFFSET($CU$51,$B143,$C143)</f>
        <v>24</v>
      </c>
      <c r="AA143" s="177" t="n">
        <f aca="true">Y143+OFFSET($DI$51,$B143,$C143)</f>
        <v>54</v>
      </c>
      <c r="AB143" s="94" t="n">
        <f aca="false">VLOOKUP($D143,tblPriorPrice,5)</f>
        <v>29</v>
      </c>
      <c r="AC143" s="190" t="n">
        <f aca="false">AD143-AB143</f>
        <v>0</v>
      </c>
      <c r="AD143" s="191" t="n">
        <f aca="true">AD131+OFFSET($CG$73,$B143,$C143)</f>
        <v>29</v>
      </c>
      <c r="AE143" s="96" t="n">
        <f aca="true">AD143+OFFSET($CU$74,$B143,$C143)</f>
        <v>24</v>
      </c>
      <c r="AF143" s="177" t="n">
        <f aca="true">AD143+OFFSET($DI$74,$B143,$C143)</f>
        <v>54</v>
      </c>
      <c r="AG143" s="94" t="n">
        <f aca="false">VLOOKUP($D143,tblPriorPrice,6)</f>
        <v>1</v>
      </c>
      <c r="AH143" s="190" t="n">
        <f aca="false">AI143-AG143</f>
        <v>0</v>
      </c>
      <c r="AI143" s="191" t="n">
        <f aca="true">AI131+OFFSET($CG$96,$B143,$C143)</f>
        <v>1</v>
      </c>
      <c r="AJ143" s="96" t="n">
        <f aca="true">AI143+OFFSET($CU$96,$B143,$C143)</f>
        <v>1</v>
      </c>
      <c r="AK143" s="97" t="n">
        <f aca="true">AI143+OFFSET($DI$96,$B143,$C143)</f>
        <v>1</v>
      </c>
      <c r="AL143" s="178" t="n">
        <v>38</v>
      </c>
      <c r="AM143" s="165" t="n">
        <v>0.4</v>
      </c>
      <c r="AN143" s="167" t="n">
        <f aca="false">'[3]Pricing Summary'!$AM121</f>
        <v>0.185</v>
      </c>
      <c r="AO143" s="167" t="n">
        <f aca="false">0.9*AN143</f>
        <v>0.1665</v>
      </c>
      <c r="AP143" s="166" t="n">
        <f aca="false">1.5*AN143</f>
        <v>0.2775</v>
      </c>
      <c r="AQ143" s="167" t="n">
        <f aca="false">AN143</f>
        <v>0.185</v>
      </c>
      <c r="AR143" s="166" t="n">
        <f aca="false">0.8*AQ143</f>
        <v>0.148</v>
      </c>
      <c r="AS143" s="166" t="n">
        <f aca="false">1.2*AQ143</f>
        <v>0.222</v>
      </c>
      <c r="AT143" s="169" t="n">
        <f aca="false">IF(G143&lt;110,17.94063*(LN(G143/100))+6.727568*(LN(G143/100)^2)+15.06494,(-4.1*G143+2135)/100)*0.5</f>
        <v>1.58278405940532</v>
      </c>
      <c r="AU143" s="169" t="n">
        <f aca="false">(0.75*AT143-AT143)</f>
        <v>-0.395696014851329</v>
      </c>
      <c r="AV143" s="166" t="n">
        <f aca="false">AT143/0.5*1.25-AT143</f>
        <v>2.37417608910797</v>
      </c>
      <c r="AW143" s="168" t="n">
        <f aca="false">IF(L143&lt;15,(15*L143+375)/100,(-4.71*L143+670.65)/100)*0.5</f>
        <v>2.6703</v>
      </c>
      <c r="AX143" s="166" t="n">
        <f aca="false">0.75*AW143-AW143</f>
        <v>-0.667575</v>
      </c>
      <c r="AY143" s="166" t="n">
        <f aca="false">AW143/0.5*1.25-AW143</f>
        <v>4.00545</v>
      </c>
      <c r="AZ143" s="167" t="n">
        <v>0.5</v>
      </c>
      <c r="BA143" s="74"/>
      <c r="BB143" s="259" t="s">
        <v>137</v>
      </c>
      <c r="BC143" s="260" t="n">
        <f aca="false">AVERAGE(BC119:BC125,BC142)</f>
        <v>1</v>
      </c>
      <c r="BD143" s="260" t="n">
        <f aca="false">AVERAGE(BD119:BD125,BD142)</f>
        <v>1</v>
      </c>
      <c r="BE143" s="260" t="n">
        <f aca="false">AVERAGE(BE119:BE125,BE142)</f>
        <v>1</v>
      </c>
      <c r="BF143" s="260" t="n">
        <f aca="false">AVERAGE(BF119:BF125,BF142)</f>
        <v>1</v>
      </c>
      <c r="BG143" s="260" t="n">
        <f aca="false">AVERAGE(BG119:BG125,BG142)</f>
        <v>1</v>
      </c>
      <c r="BH143" s="260" t="n">
        <f aca="false">AVERAGE(BH119:BH125,BH142)</f>
        <v>1</v>
      </c>
      <c r="BI143" s="260" t="n">
        <f aca="false">AVERAGE(BI119:BI125,BI142)</f>
        <v>1</v>
      </c>
      <c r="BJ143" s="260" t="n">
        <f aca="false">AVERAGE(BJ119:BJ125,BJ142)</f>
        <v>1</v>
      </c>
      <c r="BK143" s="260" t="n">
        <f aca="false">AVERAGE(BK119:BK125,BK142)</f>
        <v>1</v>
      </c>
      <c r="BL143" s="260" t="n">
        <f aca="false">AVERAGE(BL119:BL125,BL142)</f>
        <v>1</v>
      </c>
      <c r="BM143" s="260" t="n">
        <f aca="false">AVERAGE(BM119:BM125,BM142)</f>
        <v>1</v>
      </c>
      <c r="BN143" s="260" t="n">
        <f aca="false">AVERAGE(BN119:BN125,BN142)</f>
        <v>1</v>
      </c>
      <c r="BO143" s="259"/>
      <c r="BQ143" s="108" t="n">
        <v>36907.7428240741</v>
      </c>
      <c r="BR143" s="109" t="n">
        <v>36907.743287037</v>
      </c>
      <c r="BS143" s="110" t="n">
        <v>40179</v>
      </c>
      <c r="BT143" s="111" t="n">
        <v>101007.15625</v>
      </c>
      <c r="BU143" s="112" t="n">
        <v>78280.546875</v>
      </c>
      <c r="BV143" s="112" t="n">
        <v>25251.7890625</v>
      </c>
      <c r="BW143" s="112" t="n">
        <v>30302.146484375</v>
      </c>
      <c r="BX143" s="113" t="n">
        <v>0</v>
      </c>
      <c r="BZ143" s="110" t="n">
        <v>40238</v>
      </c>
      <c r="CA143" s="185" t="n">
        <v>29</v>
      </c>
      <c r="CB143" s="116" t="n">
        <v>29</v>
      </c>
      <c r="CC143" s="181" t="n">
        <v>29</v>
      </c>
      <c r="CD143" s="181" t="n">
        <v>29</v>
      </c>
      <c r="CE143" s="117" t="n">
        <v>1</v>
      </c>
    </row>
    <row r="144" customFormat="false" ht="12.75" hidden="false" customHeight="false" outlineLevel="0" collapsed="false">
      <c r="A144" s="0" t="n">
        <f aca="true">IF(ISERROR(MATCH(D144,iRefDt,0)),"",MATCH(D144,iRefDt,0))</f>
        <v>144</v>
      </c>
      <c r="B144" s="92" t="n">
        <f aca="false">MATCH(YEAR(D144),iSpreads)</f>
        <v>10</v>
      </c>
      <c r="C144" s="0" t="n">
        <f aca="false">MONTH(D144)</f>
        <v>4</v>
      </c>
      <c r="D144" s="93" t="n">
        <f aca="false">DATE(YEAR(D143),MONTH(D143)+1,1)</f>
        <v>40269</v>
      </c>
      <c r="E144" s="94" t="n">
        <f aca="false">VLOOKUP($D144,tblPriorPrice,2)</f>
        <v>29</v>
      </c>
      <c r="F144" s="190" t="n">
        <f aca="false">G144-E144</f>
        <v>0</v>
      </c>
      <c r="G144" s="190" t="n">
        <f aca="true">G132+OFFSET($CG$4,$B144,$C144)</f>
        <v>29</v>
      </c>
      <c r="H144" s="96" t="n">
        <f aca="true">G144+OFFSET($CU$4,$B144,$C144)</f>
        <v>24</v>
      </c>
      <c r="I144" s="96" t="n">
        <f aca="true">G144+OFFSET($DI$4,$B144,$C144)</f>
        <v>53</v>
      </c>
      <c r="J144" s="94" t="n">
        <f aca="false">VLOOKUP($D144,tblPriorPrice,3)</f>
        <v>29</v>
      </c>
      <c r="K144" s="190" t="n">
        <f aca="false">L144-J144</f>
        <v>0</v>
      </c>
      <c r="L144" s="190" t="n">
        <f aca="true">L132+OFFSET($CG$27,$B144,$C144)</f>
        <v>29</v>
      </c>
      <c r="M144" s="96" t="n">
        <f aca="true">$L144+OFFSET($CU$27,$B144,$C144)</f>
        <v>24</v>
      </c>
      <c r="N144" s="97" t="n">
        <f aca="true">$L144+OFFSET($DI$27,$B144,$C144)</f>
        <v>43</v>
      </c>
      <c r="O144" s="59" t="n">
        <f aca="true">IF($A144="",0,INDEX(tblPosn,$A144,2))</f>
        <v>109315.1640625</v>
      </c>
      <c r="P144" s="59" t="n">
        <f aca="true">IF($A144="",0,INDEX(tblPosn,$A144,3))</f>
        <v>74222.515625</v>
      </c>
      <c r="Q144" s="59" t="n">
        <f aca="true">IF($A144="",0,INDEX(tblPosn,$A144,4))</f>
        <v>19875.484375</v>
      </c>
      <c r="R144" s="59" t="n">
        <f aca="true">IF($A144="",0,INDEX(tblPosn,$A144,5))</f>
        <v>19875.484375</v>
      </c>
      <c r="S144" s="59" t="n">
        <f aca="true">IF($A144="",0,INDEX(tblPosn,$A144,6))</f>
        <v>0</v>
      </c>
      <c r="T144" s="98" t="n">
        <f aca="false">O144*F144+P144*K144+R144*AC144+S144*AH144/0.72+Q144*X144</f>
        <v>0</v>
      </c>
      <c r="V144" s="161" t="n">
        <f aca="false">D144</f>
        <v>40269</v>
      </c>
      <c r="W144" s="94" t="n">
        <f aca="false">VLOOKUP($D144,tblPriorPrice,4)</f>
        <v>29</v>
      </c>
      <c r="X144" s="95" t="n">
        <f aca="false">Y144-W144</f>
        <v>0</v>
      </c>
      <c r="Y144" s="191" t="n">
        <f aca="true">Y132+OFFSET($CG$50,$B144,$C144)</f>
        <v>29</v>
      </c>
      <c r="Z144" s="96" t="n">
        <f aca="true">Y144+OFFSET($CU$51,$B144,$C144)</f>
        <v>24</v>
      </c>
      <c r="AA144" s="177" t="n">
        <f aca="true">Y144+OFFSET($DI$51,$B144,$C144)</f>
        <v>54</v>
      </c>
      <c r="AB144" s="94" t="n">
        <f aca="false">VLOOKUP($D144,tblPriorPrice,5)</f>
        <v>29</v>
      </c>
      <c r="AC144" s="190" t="n">
        <f aca="false">AD144-AB144</f>
        <v>0</v>
      </c>
      <c r="AD144" s="191" t="n">
        <f aca="true">AD132+OFFSET($CG$73,$B144,$C144)</f>
        <v>29</v>
      </c>
      <c r="AE144" s="96" t="n">
        <f aca="true">AD144+OFFSET($CU$74,$B144,$C144)</f>
        <v>24</v>
      </c>
      <c r="AF144" s="177" t="n">
        <f aca="true">AD144+OFFSET($DI$74,$B144,$C144)</f>
        <v>54</v>
      </c>
      <c r="AG144" s="94" t="n">
        <f aca="false">VLOOKUP($D144,tblPriorPrice,6)</f>
        <v>1</v>
      </c>
      <c r="AH144" s="190" t="n">
        <f aca="false">AI144-AG144</f>
        <v>0</v>
      </c>
      <c r="AI144" s="191" t="n">
        <f aca="true">AI132+OFFSET($CG$96,$B144,$C144)</f>
        <v>1</v>
      </c>
      <c r="AJ144" s="96" t="n">
        <f aca="true">AI144+OFFSET($CU$96,$B144,$C144)</f>
        <v>1</v>
      </c>
      <c r="AK144" s="97" t="n">
        <f aca="true">AI144+OFFSET($DI$96,$B144,$C144)</f>
        <v>1</v>
      </c>
      <c r="AL144" s="178" t="n">
        <v>38</v>
      </c>
      <c r="AM144" s="165" t="n">
        <v>0.4</v>
      </c>
      <c r="AN144" s="167" t="n">
        <f aca="false">'[3]Pricing Summary'!$AM122</f>
        <v>0.185</v>
      </c>
      <c r="AO144" s="167" t="n">
        <f aca="false">0.9*AN144</f>
        <v>0.1665</v>
      </c>
      <c r="AP144" s="166" t="n">
        <f aca="false">1.5*AN144</f>
        <v>0.2775</v>
      </c>
      <c r="AQ144" s="167" t="n">
        <f aca="false">AN144</f>
        <v>0.185</v>
      </c>
      <c r="AR144" s="166" t="n">
        <f aca="false">0.8*AQ144</f>
        <v>0.148</v>
      </c>
      <c r="AS144" s="166" t="n">
        <f aca="false">1.2*AQ144</f>
        <v>0.222</v>
      </c>
      <c r="AT144" s="169" t="n">
        <f aca="false">IF(G144&lt;110,17.94063*(LN(G144/100))+6.727568*(LN(G144/100)^2)+15.06494,(-4.1*G144+2135)/100)*0.5</f>
        <v>1.58278405940532</v>
      </c>
      <c r="AU144" s="169" t="n">
        <f aca="false">(0.75*AT144-AT144)</f>
        <v>-0.395696014851329</v>
      </c>
      <c r="AV144" s="166" t="n">
        <f aca="false">AT144/0.5*1.25-AT144</f>
        <v>2.37417608910797</v>
      </c>
      <c r="AW144" s="168" t="n">
        <f aca="false">IF(L144&lt;15,(15*L144+375)/100,(-4.71*L144+670.65)/100)*0.5</f>
        <v>2.6703</v>
      </c>
      <c r="AX144" s="166" t="n">
        <f aca="false">0.75*AW144-AW144</f>
        <v>-0.667575</v>
      </c>
      <c r="AY144" s="166" t="n">
        <f aca="false">AW144/0.5*1.25-AW144</f>
        <v>4.00545</v>
      </c>
      <c r="AZ144" s="167" t="n">
        <v>0.5</v>
      </c>
      <c r="BA144" s="74"/>
      <c r="BB144" s="259" t="s">
        <v>138</v>
      </c>
      <c r="BC144" s="260" t="n">
        <f aca="false">AVERAGE(BC126:BC141)</f>
        <v>1</v>
      </c>
      <c r="BD144" s="260" t="n">
        <f aca="false">AVERAGE(BD126:BD141)</f>
        <v>1</v>
      </c>
      <c r="BE144" s="260" t="n">
        <f aca="false">AVERAGE(BE126:BE141)</f>
        <v>1</v>
      </c>
      <c r="BF144" s="260" t="n">
        <f aca="false">AVERAGE(BF126:BF141)</f>
        <v>1</v>
      </c>
      <c r="BG144" s="260" t="n">
        <f aca="false">AVERAGE(BG126:BG141)</f>
        <v>1</v>
      </c>
      <c r="BH144" s="260" t="n">
        <f aca="false">AVERAGE(BH126:BH141)</f>
        <v>1</v>
      </c>
      <c r="BI144" s="260" t="n">
        <f aca="false">AVERAGE(BI126:BI141)</f>
        <v>1</v>
      </c>
      <c r="BJ144" s="260" t="n">
        <f aca="false">AVERAGE(BJ126:BJ141)</f>
        <v>1</v>
      </c>
      <c r="BK144" s="260" t="n">
        <f aca="false">AVERAGE(BK126:BK141)</f>
        <v>1</v>
      </c>
      <c r="BL144" s="260" t="n">
        <f aca="false">AVERAGE(BL126:BL141)</f>
        <v>1</v>
      </c>
      <c r="BM144" s="260" t="n">
        <f aca="false">AVERAGE(BM126:BM141)</f>
        <v>1</v>
      </c>
      <c r="BN144" s="260" t="n">
        <f aca="false">AVERAGE(BN126:BN141)</f>
        <v>1</v>
      </c>
      <c r="BO144" s="259"/>
      <c r="BQ144" s="108" t="n">
        <v>36907.7428240741</v>
      </c>
      <c r="BR144" s="109" t="n">
        <v>36907.743287037</v>
      </c>
      <c r="BS144" s="110" t="n">
        <v>40210</v>
      </c>
      <c r="BT144" s="111" t="n">
        <v>100491.2421875</v>
      </c>
      <c r="BU144" s="112" t="n">
        <v>70343.8671875</v>
      </c>
      <c r="BV144" s="112" t="n">
        <v>20098.248046875</v>
      </c>
      <c r="BW144" s="112" t="n">
        <v>20098.248046875</v>
      </c>
      <c r="BX144" s="113" t="n">
        <v>0</v>
      </c>
      <c r="BZ144" s="110" t="n">
        <v>40269</v>
      </c>
      <c r="CA144" s="185" t="n">
        <v>29</v>
      </c>
      <c r="CB144" s="116" t="n">
        <v>29</v>
      </c>
      <c r="CC144" s="181" t="n">
        <v>29</v>
      </c>
      <c r="CD144" s="181" t="n">
        <v>29</v>
      </c>
      <c r="CE144" s="117" t="n">
        <v>1</v>
      </c>
    </row>
    <row r="145" customFormat="false" ht="12.75" hidden="false" customHeight="false" outlineLevel="0" collapsed="false">
      <c r="A145" s="0" t="n">
        <f aca="true">IF(ISERROR(MATCH(D145,iRefDt,0)),"",MATCH(D145,iRefDt,0))</f>
        <v>145</v>
      </c>
      <c r="B145" s="92" t="n">
        <f aca="false">MATCH(YEAR(D145),iSpreads)</f>
        <v>10</v>
      </c>
      <c r="C145" s="0" t="n">
        <f aca="false">MONTH(D145)</f>
        <v>5</v>
      </c>
      <c r="D145" s="93" t="n">
        <f aca="false">DATE(YEAR(D144),MONTH(D144)+1,1)</f>
        <v>40299</v>
      </c>
      <c r="E145" s="94" t="n">
        <f aca="false">VLOOKUP($D145,tblPriorPrice,2)</f>
        <v>32</v>
      </c>
      <c r="F145" s="190" t="n">
        <f aca="false">G145-E145</f>
        <v>0</v>
      </c>
      <c r="G145" s="190" t="n">
        <f aca="true">G133+OFFSET($CG$4,$B145,$C145)</f>
        <v>32</v>
      </c>
      <c r="H145" s="96" t="n">
        <f aca="true">G145+OFFSET($CU$4,$B145,$C145)</f>
        <v>27</v>
      </c>
      <c r="I145" s="96" t="n">
        <f aca="true">G145+OFFSET($DI$4,$B145,$C145)</f>
        <v>56</v>
      </c>
      <c r="J145" s="94" t="n">
        <f aca="false">VLOOKUP($D145,tblPriorPrice,3)</f>
        <v>32</v>
      </c>
      <c r="K145" s="190" t="n">
        <f aca="false">L145-J145</f>
        <v>0</v>
      </c>
      <c r="L145" s="190" t="n">
        <f aca="true">L133+OFFSET($CG$27,$B145,$C145)</f>
        <v>32</v>
      </c>
      <c r="M145" s="96" t="n">
        <f aca="true">$L145+OFFSET($CU$27,$B145,$C145)</f>
        <v>27</v>
      </c>
      <c r="N145" s="97" t="n">
        <f aca="true">$L145+OFFSET($DI$27,$B145,$C145)</f>
        <v>46</v>
      </c>
      <c r="O145" s="59" t="n">
        <f aca="true">IF($A145="",0,INDEX(tblPosn,$A145,2))</f>
        <v>98811.90625</v>
      </c>
      <c r="P145" s="59" t="n">
        <f aca="true">IF($A145="",0,INDEX(tblPosn,$A145,3))</f>
        <v>76579.2265625</v>
      </c>
      <c r="Q145" s="59" t="n">
        <f aca="true">IF($A145="",0,INDEX(tblPosn,$A145,4))</f>
        <v>24702.9765625</v>
      </c>
      <c r="R145" s="59" t="n">
        <f aca="true">IF($A145="",0,INDEX(tblPosn,$A145,5))</f>
        <v>29643.572265625</v>
      </c>
      <c r="S145" s="59" t="n">
        <f aca="true">IF($A145="",0,INDEX(tblPosn,$A145,6))</f>
        <v>0</v>
      </c>
      <c r="T145" s="98" t="n">
        <f aca="false">O145*F145+P145*K145+R145*AC145+S145*AH145/0.72+Q145*X145</f>
        <v>0</v>
      </c>
      <c r="V145" s="161" t="n">
        <f aca="false">D145</f>
        <v>40299</v>
      </c>
      <c r="W145" s="94" t="n">
        <f aca="false">VLOOKUP($D145,tblPriorPrice,4)</f>
        <v>32</v>
      </c>
      <c r="X145" s="95" t="n">
        <f aca="false">Y145-W145</f>
        <v>0</v>
      </c>
      <c r="Y145" s="191" t="n">
        <f aca="true">Y133+OFFSET($CG$50,$B145,$C145)</f>
        <v>32</v>
      </c>
      <c r="Z145" s="96" t="n">
        <f aca="true">Y145+OFFSET($CU$51,$B145,$C145)</f>
        <v>27</v>
      </c>
      <c r="AA145" s="177" t="n">
        <f aca="true">Y145+OFFSET($DI$51,$B145,$C145)</f>
        <v>57</v>
      </c>
      <c r="AB145" s="94" t="n">
        <f aca="false">VLOOKUP($D145,tblPriorPrice,5)</f>
        <v>32</v>
      </c>
      <c r="AC145" s="190" t="n">
        <f aca="false">AD145-AB145</f>
        <v>0</v>
      </c>
      <c r="AD145" s="191" t="n">
        <f aca="true">AD133+OFFSET($CG$73,$B145,$C145)</f>
        <v>32</v>
      </c>
      <c r="AE145" s="96" t="n">
        <f aca="true">AD145+OFFSET($CU$74,$B145,$C145)</f>
        <v>27</v>
      </c>
      <c r="AF145" s="177" t="n">
        <f aca="true">AD145+OFFSET($DI$74,$B145,$C145)</f>
        <v>57</v>
      </c>
      <c r="AG145" s="94" t="n">
        <f aca="false">VLOOKUP($D145,tblPriorPrice,6)</f>
        <v>1</v>
      </c>
      <c r="AH145" s="190" t="n">
        <f aca="false">AI145-AG145</f>
        <v>0</v>
      </c>
      <c r="AI145" s="191" t="n">
        <f aca="true">AI133+OFFSET($CG$96,$B145,$C145)</f>
        <v>1</v>
      </c>
      <c r="AJ145" s="96" t="n">
        <f aca="true">AI145+OFFSET($CU$96,$B145,$C145)</f>
        <v>1</v>
      </c>
      <c r="AK145" s="97" t="n">
        <f aca="true">AI145+OFFSET($DI$96,$B145,$C145)</f>
        <v>1</v>
      </c>
      <c r="AL145" s="178" t="n">
        <v>38</v>
      </c>
      <c r="AM145" s="165" t="n">
        <v>0.4</v>
      </c>
      <c r="AN145" s="167" t="n">
        <f aca="false">'[3]Pricing Summary'!$AM123</f>
        <v>0.185</v>
      </c>
      <c r="AO145" s="167" t="n">
        <f aca="false">0.9*AN145</f>
        <v>0.1665</v>
      </c>
      <c r="AP145" s="166" t="n">
        <f aca="false">1.5*AN145</f>
        <v>0.2775</v>
      </c>
      <c r="AQ145" s="167" t="n">
        <f aca="false">AN145</f>
        <v>0.185</v>
      </c>
      <c r="AR145" s="166" t="n">
        <f aca="false">0.8*AQ145</f>
        <v>0.148</v>
      </c>
      <c r="AS145" s="166" t="n">
        <f aca="false">1.2*AQ145</f>
        <v>0.222</v>
      </c>
      <c r="AT145" s="169" t="n">
        <f aca="false">IF(G145&lt;110,17.94063*(LN(G145/100))+6.727568*(LN(G145/100)^2)+15.06494,(-4.1*G145+2135)/100)*0.5</f>
        <v>1.67862159684781</v>
      </c>
      <c r="AU145" s="169" t="n">
        <f aca="false">(0.75*AT145-AT145)</f>
        <v>-0.419655399211954</v>
      </c>
      <c r="AV145" s="166" t="n">
        <f aca="false">AT145/0.5*1.25-AT145</f>
        <v>2.51793239527172</v>
      </c>
      <c r="AW145" s="168" t="n">
        <f aca="false">IF(L145&lt;15,(15*L145+375)/100,(-4.71*L145+670.65)/100)*0.5</f>
        <v>2.59965</v>
      </c>
      <c r="AX145" s="166" t="n">
        <f aca="false">0.75*AW145-AW145</f>
        <v>-0.6499125</v>
      </c>
      <c r="AY145" s="166" t="n">
        <f aca="false">AW145/0.5*1.25-AW145</f>
        <v>3.899475</v>
      </c>
      <c r="AZ145" s="167" t="n">
        <v>0.5</v>
      </c>
      <c r="BA145" s="74"/>
      <c r="BB145" s="259" t="s">
        <v>139</v>
      </c>
      <c r="BC145" s="261" t="n">
        <f aca="false">SUM(BC119:BC142)</f>
        <v>24</v>
      </c>
      <c r="BD145" s="262" t="n">
        <f aca="false">SUM(BD119:BD142)</f>
        <v>24</v>
      </c>
      <c r="BE145" s="262" t="n">
        <f aca="false">SUM(BE119:BE142)</f>
        <v>24</v>
      </c>
      <c r="BF145" s="262" t="n">
        <f aca="false">SUM(BF119:BF142)</f>
        <v>24</v>
      </c>
      <c r="BG145" s="262" t="n">
        <f aca="false">SUM(BG119:BG142)</f>
        <v>24</v>
      </c>
      <c r="BH145" s="262" t="n">
        <f aca="false">SUM(BH119:BH142)</f>
        <v>24</v>
      </c>
      <c r="BI145" s="262" t="n">
        <f aca="false">SUM(BI119:BI142)</f>
        <v>24</v>
      </c>
      <c r="BJ145" s="262" t="n">
        <f aca="false">SUM(BJ119:BJ142)</f>
        <v>24</v>
      </c>
      <c r="BK145" s="262" t="n">
        <f aca="false">SUM(BK119:BK142)</f>
        <v>24</v>
      </c>
      <c r="BL145" s="262" t="n">
        <f aca="false">SUM(BL119:BL142)</f>
        <v>24</v>
      </c>
      <c r="BM145" s="262" t="n">
        <f aca="false">SUM(BM119:BM142)</f>
        <v>24</v>
      </c>
      <c r="BN145" s="262" t="n">
        <f aca="false">SUM(BN119:BN142)</f>
        <v>24</v>
      </c>
      <c r="BO145" s="263"/>
      <c r="BQ145" s="108" t="n">
        <v>36907.7428240741</v>
      </c>
      <c r="BR145" s="109" t="n">
        <v>36907.743287037</v>
      </c>
      <c r="BS145" s="110" t="n">
        <v>40238</v>
      </c>
      <c r="BT145" s="111" t="n">
        <v>114915.53125</v>
      </c>
      <c r="BU145" s="112" t="n">
        <v>77443.078125</v>
      </c>
      <c r="BV145" s="112" t="n">
        <v>19985.310546875</v>
      </c>
      <c r="BW145" s="112" t="n">
        <v>19985.310546875</v>
      </c>
      <c r="BX145" s="113" t="n">
        <v>0</v>
      </c>
      <c r="BZ145" s="110" t="n">
        <v>40299</v>
      </c>
      <c r="CA145" s="185" t="n">
        <v>32</v>
      </c>
      <c r="CB145" s="116" t="n">
        <v>32</v>
      </c>
      <c r="CC145" s="181" t="n">
        <v>32</v>
      </c>
      <c r="CD145" s="181" t="n">
        <v>32</v>
      </c>
      <c r="CE145" s="117" t="n">
        <v>1</v>
      </c>
    </row>
    <row r="146" customFormat="false" ht="12.75" hidden="false" customHeight="false" outlineLevel="0" collapsed="false">
      <c r="A146" s="0" t="n">
        <f aca="true">IF(ISERROR(MATCH(D146,iRefDt,0)),"",MATCH(D146,iRefDt,0))</f>
        <v>146</v>
      </c>
      <c r="B146" s="92" t="n">
        <f aca="false">MATCH(YEAR(D146),iSpreads)</f>
        <v>10</v>
      </c>
      <c r="C146" s="0" t="n">
        <f aca="false">MONTH(D146)</f>
        <v>6</v>
      </c>
      <c r="D146" s="93" t="n">
        <f aca="false">DATE(YEAR(D145),MONTH(D145)+1,1)</f>
        <v>40330</v>
      </c>
      <c r="E146" s="94" t="n">
        <f aca="false">VLOOKUP($D146,tblPriorPrice,2)</f>
        <v>39</v>
      </c>
      <c r="F146" s="190" t="n">
        <f aca="false">G146-E146</f>
        <v>0</v>
      </c>
      <c r="G146" s="190" t="n">
        <f aca="true">G134+OFFSET($CG$4,$B146,$C146)</f>
        <v>39</v>
      </c>
      <c r="H146" s="96" t="n">
        <f aca="true">G146+OFFSET($CU$4,$B146,$C146)</f>
        <v>34</v>
      </c>
      <c r="I146" s="96" t="n">
        <f aca="true">G146+OFFSET($DI$4,$B146,$C146)</f>
        <v>63</v>
      </c>
      <c r="J146" s="94" t="n">
        <f aca="false">VLOOKUP($D146,tblPriorPrice,3)</f>
        <v>39</v>
      </c>
      <c r="K146" s="190" t="n">
        <f aca="false">L146-J146</f>
        <v>0</v>
      </c>
      <c r="L146" s="190" t="n">
        <f aca="true">L134+OFFSET($CG$27,$B146,$C146)</f>
        <v>39</v>
      </c>
      <c r="M146" s="96" t="n">
        <f aca="true">$L146+OFFSET($CU$27,$B146,$C146)</f>
        <v>34</v>
      </c>
      <c r="N146" s="97" t="n">
        <f aca="true">$L146+OFFSET($DI$27,$B146,$C146)</f>
        <v>53</v>
      </c>
      <c r="O146" s="59" t="n">
        <f aca="true">IF($A146="",0,INDEX(tblPosn,$A146,2))</f>
        <v>108095.6796875</v>
      </c>
      <c r="P146" s="59" t="n">
        <f aca="true">IF($A146="",0,INDEX(tblPosn,$A146,3))</f>
        <v>73701.6015625</v>
      </c>
      <c r="Q146" s="59" t="n">
        <f aca="true">IF($A146="",0,INDEX(tblPosn,$A146,4))</f>
        <v>19653.759765625</v>
      </c>
      <c r="R146" s="59" t="n">
        <f aca="true">IF($A146="",0,INDEX(tblPosn,$A146,5))</f>
        <v>19653.759765625</v>
      </c>
      <c r="S146" s="59" t="n">
        <f aca="true">IF($A146="",0,INDEX(tblPosn,$A146,6))</f>
        <v>0</v>
      </c>
      <c r="T146" s="98" t="n">
        <f aca="false">O146*F146+P146*K146+R146*AC146+S146*AH146/0.72+Q146*X146</f>
        <v>0</v>
      </c>
      <c r="V146" s="161" t="n">
        <f aca="false">D146</f>
        <v>40330</v>
      </c>
      <c r="W146" s="94" t="n">
        <f aca="false">VLOOKUP($D146,tblPriorPrice,4)</f>
        <v>39</v>
      </c>
      <c r="X146" s="95" t="n">
        <f aca="false">Y146-W146</f>
        <v>0</v>
      </c>
      <c r="Y146" s="191" t="n">
        <f aca="true">Y134+OFFSET($CG$50,$B146,$C146)</f>
        <v>39</v>
      </c>
      <c r="Z146" s="96" t="n">
        <f aca="true">Y146+OFFSET($CU$51,$B146,$C146)</f>
        <v>34</v>
      </c>
      <c r="AA146" s="177" t="n">
        <f aca="true">Y146+OFFSET($DI$51,$B146,$C146)</f>
        <v>64</v>
      </c>
      <c r="AB146" s="94" t="n">
        <f aca="false">VLOOKUP($D146,tblPriorPrice,5)</f>
        <v>39</v>
      </c>
      <c r="AC146" s="190" t="n">
        <f aca="false">AD146-AB146</f>
        <v>0</v>
      </c>
      <c r="AD146" s="191" t="n">
        <f aca="true">AD134+OFFSET($CG$73,$B146,$C146)</f>
        <v>39</v>
      </c>
      <c r="AE146" s="96" t="n">
        <f aca="true">AD146+OFFSET($CU$74,$B146,$C146)</f>
        <v>34</v>
      </c>
      <c r="AF146" s="177" t="n">
        <f aca="true">AD146+OFFSET($DI$74,$B146,$C146)</f>
        <v>64</v>
      </c>
      <c r="AG146" s="94" t="n">
        <f aca="false">VLOOKUP($D146,tblPriorPrice,6)</f>
        <v>1</v>
      </c>
      <c r="AH146" s="190" t="n">
        <f aca="false">AI146-AG146</f>
        <v>0</v>
      </c>
      <c r="AI146" s="191" t="n">
        <f aca="true">AI134+OFFSET($CG$96,$B146,$C146)</f>
        <v>1</v>
      </c>
      <c r="AJ146" s="96" t="n">
        <f aca="true">AI146+OFFSET($CU$96,$B146,$C146)</f>
        <v>1</v>
      </c>
      <c r="AK146" s="97" t="n">
        <f aca="true">AI146+OFFSET($DI$96,$B146,$C146)</f>
        <v>1</v>
      </c>
      <c r="AL146" s="178" t="n">
        <v>39</v>
      </c>
      <c r="AM146" s="165" t="n">
        <v>0.4</v>
      </c>
      <c r="AN146" s="167" t="n">
        <f aca="false">'[3]Pricing Summary'!$AM124</f>
        <v>0.185</v>
      </c>
      <c r="AO146" s="167" t="n">
        <f aca="false">0.9*AN146</f>
        <v>0.1665</v>
      </c>
      <c r="AP146" s="166" t="n">
        <f aca="false">1.5*AN146</f>
        <v>0.2775</v>
      </c>
      <c r="AQ146" s="167" t="n">
        <f aca="false">AN146</f>
        <v>0.185</v>
      </c>
      <c r="AR146" s="166" t="n">
        <f aca="false">0.8*AQ146</f>
        <v>0.148</v>
      </c>
      <c r="AS146" s="166" t="n">
        <f aca="false">1.2*AQ146</f>
        <v>0.222</v>
      </c>
      <c r="AT146" s="169" t="n">
        <f aca="false">IF(G146&lt;110,17.94063*(LN(G146/100))+6.727568*(LN(G146/100)^2)+15.06494,(-4.1*G146+2135)/100)*0.5</f>
        <v>2.06836530423771</v>
      </c>
      <c r="AU146" s="169" t="n">
        <f aca="false">(0.75*AT146-AT146)</f>
        <v>-0.517091326059428</v>
      </c>
      <c r="AV146" s="166" t="n">
        <f aca="false">AT146/0.5*1.25-AT146</f>
        <v>3.10254795635657</v>
      </c>
      <c r="AW146" s="168" t="n">
        <f aca="false">IF(L146&lt;15,(15*L146+375)/100,(-4.71*L146+670.65)/100)*0.5</f>
        <v>2.4348</v>
      </c>
      <c r="AX146" s="166" t="n">
        <f aca="false">0.75*AW146-AW146</f>
        <v>-0.6087</v>
      </c>
      <c r="AY146" s="166" t="n">
        <f aca="false">AW146/0.5*1.25-AW146</f>
        <v>3.6522</v>
      </c>
      <c r="AZ146" s="167" t="n">
        <v>0.5</v>
      </c>
      <c r="BA146" s="74"/>
      <c r="BQ146" s="108" t="n">
        <v>36907.7428240741</v>
      </c>
      <c r="BR146" s="109" t="n">
        <v>36907.743287037</v>
      </c>
      <c r="BS146" s="110" t="n">
        <v>40269</v>
      </c>
      <c r="BT146" s="111" t="n">
        <v>109315.1640625</v>
      </c>
      <c r="BU146" s="112" t="n">
        <v>74222.515625</v>
      </c>
      <c r="BV146" s="112" t="n">
        <v>19875.484375</v>
      </c>
      <c r="BW146" s="112" t="n">
        <v>19875.484375</v>
      </c>
      <c r="BX146" s="113" t="n">
        <v>0</v>
      </c>
      <c r="BZ146" s="110" t="n">
        <v>40330</v>
      </c>
      <c r="CA146" s="185" t="n">
        <v>39</v>
      </c>
      <c r="CB146" s="116" t="n">
        <v>39</v>
      </c>
      <c r="CC146" s="181" t="n">
        <v>39</v>
      </c>
      <c r="CD146" s="181" t="n">
        <v>39</v>
      </c>
      <c r="CE146" s="117" t="n">
        <v>1</v>
      </c>
    </row>
    <row r="147" customFormat="false" ht="12.75" hidden="false" customHeight="false" outlineLevel="0" collapsed="false">
      <c r="A147" s="0" t="n">
        <f aca="true">IF(ISERROR(MATCH(D147,iRefDt,0)),"",MATCH(D147,iRefDt,0))</f>
        <v>147</v>
      </c>
      <c r="B147" s="92" t="n">
        <f aca="false">MATCH(YEAR(D147),iSpreads)</f>
        <v>10</v>
      </c>
      <c r="C147" s="0" t="n">
        <f aca="false">MONTH(D147)</f>
        <v>7</v>
      </c>
      <c r="D147" s="93" t="n">
        <f aca="false">DATE(YEAR(D146),MONTH(D146)+1,1)</f>
        <v>40360</v>
      </c>
      <c r="E147" s="94" t="n">
        <f aca="false">VLOOKUP($D147,tblPriorPrice,2)</f>
        <v>39</v>
      </c>
      <c r="F147" s="190" t="n">
        <f aca="false">G147-E147</f>
        <v>0</v>
      </c>
      <c r="G147" s="190" t="n">
        <f aca="true">G135+OFFSET($CG$4,$B147,$C147)</f>
        <v>39</v>
      </c>
      <c r="H147" s="96" t="n">
        <f aca="true">G147+OFFSET($CU$4,$B147,$C147)</f>
        <v>34</v>
      </c>
      <c r="I147" s="96" t="n">
        <f aca="true">G147+OFFSET($DI$4,$B147,$C147)</f>
        <v>63</v>
      </c>
      <c r="J147" s="94" t="n">
        <f aca="false">VLOOKUP($D147,tblPriorPrice,3)</f>
        <v>39</v>
      </c>
      <c r="K147" s="190" t="n">
        <f aca="false">L147-J147</f>
        <v>0</v>
      </c>
      <c r="L147" s="190" t="n">
        <f aca="true">L135+OFFSET($CG$27,$B147,$C147)</f>
        <v>39</v>
      </c>
      <c r="M147" s="96" t="n">
        <f aca="true">$L147+OFFSET($CU$27,$B147,$C147)</f>
        <v>34</v>
      </c>
      <c r="N147" s="97" t="n">
        <f aca="true">$L147+OFFSET($DI$27,$B147,$C147)</f>
        <v>53</v>
      </c>
      <c r="O147" s="59" t="n">
        <f aca="true">IF($A147="",0,INDEX(tblPosn,$A147,2))</f>
        <v>102587.6796875</v>
      </c>
      <c r="P147" s="59" t="n">
        <f aca="true">IF($A147="",0,INDEX(tblPosn,$A147,3))</f>
        <v>75719.46875</v>
      </c>
      <c r="Q147" s="59" t="n">
        <f aca="true">IF($A147="",0,INDEX(tblPosn,$A147,4))</f>
        <v>24425.63671875</v>
      </c>
      <c r="R147" s="59" t="n">
        <f aca="true">IF($A147="",0,INDEX(tblPosn,$A147,5))</f>
        <v>24425.63671875</v>
      </c>
      <c r="S147" s="59" t="n">
        <f aca="true">IF($A147="",0,INDEX(tblPosn,$A147,6))</f>
        <v>0</v>
      </c>
      <c r="T147" s="98" t="n">
        <f aca="false">O147*F147+P147*K147+R147*AC147+S147*AH147/0.72+Q147*X147</f>
        <v>0</v>
      </c>
      <c r="V147" s="161" t="n">
        <f aca="false">D147</f>
        <v>40360</v>
      </c>
      <c r="W147" s="94" t="n">
        <f aca="false">VLOOKUP($D147,tblPriorPrice,4)</f>
        <v>39</v>
      </c>
      <c r="X147" s="95" t="n">
        <f aca="false">Y147-W147</f>
        <v>0</v>
      </c>
      <c r="Y147" s="191" t="n">
        <f aca="true">Y135+OFFSET($CG$50,$B147,$C147)</f>
        <v>39</v>
      </c>
      <c r="Z147" s="96" t="n">
        <f aca="true">Y147+OFFSET($CU$51,$B147,$C147)</f>
        <v>34</v>
      </c>
      <c r="AA147" s="177" t="n">
        <f aca="true">Y147+OFFSET($DI$51,$B147,$C147)</f>
        <v>64</v>
      </c>
      <c r="AB147" s="94" t="n">
        <f aca="false">VLOOKUP($D147,tblPriorPrice,5)</f>
        <v>39</v>
      </c>
      <c r="AC147" s="190" t="n">
        <f aca="false">AD147-AB147</f>
        <v>0</v>
      </c>
      <c r="AD147" s="191" t="n">
        <f aca="true">AD135+OFFSET($CG$73,$B147,$C147)</f>
        <v>39</v>
      </c>
      <c r="AE147" s="96" t="n">
        <f aca="true">AD147+OFFSET($CU$74,$B147,$C147)</f>
        <v>34</v>
      </c>
      <c r="AF147" s="177" t="n">
        <f aca="true">AD147+OFFSET($DI$74,$B147,$C147)</f>
        <v>64</v>
      </c>
      <c r="AG147" s="94" t="n">
        <f aca="false">VLOOKUP($D147,tblPriorPrice,6)</f>
        <v>1</v>
      </c>
      <c r="AH147" s="190" t="n">
        <f aca="false">AI147-AG147</f>
        <v>0</v>
      </c>
      <c r="AI147" s="191" t="n">
        <f aca="true">AI135+OFFSET($CG$96,$B147,$C147)</f>
        <v>1</v>
      </c>
      <c r="AJ147" s="96" t="n">
        <f aca="true">AI147+OFFSET($CU$96,$B147,$C147)</f>
        <v>1</v>
      </c>
      <c r="AK147" s="97" t="n">
        <f aca="true">AI147+OFFSET($DI$96,$B147,$C147)</f>
        <v>1</v>
      </c>
      <c r="AL147" s="178" t="n">
        <v>39</v>
      </c>
      <c r="AM147" s="165" t="n">
        <v>0.4</v>
      </c>
      <c r="AN147" s="167" t="n">
        <f aca="false">'[3]Pricing Summary'!$AM125</f>
        <v>0.185</v>
      </c>
      <c r="AO147" s="167" t="n">
        <f aca="false">0.9*AN147</f>
        <v>0.1665</v>
      </c>
      <c r="AP147" s="166" t="n">
        <f aca="false">1.5*AN147</f>
        <v>0.2775</v>
      </c>
      <c r="AQ147" s="167" t="n">
        <f aca="false">AN147</f>
        <v>0.185</v>
      </c>
      <c r="AR147" s="166" t="n">
        <f aca="false">0.8*AQ147</f>
        <v>0.148</v>
      </c>
      <c r="AS147" s="166" t="n">
        <f aca="false">1.2*AQ147</f>
        <v>0.222</v>
      </c>
      <c r="AT147" s="169" t="n">
        <f aca="false">IF(G147&lt;110,17.94063*(LN(G147/100))+6.727568*(LN(G147/100)^2)+15.06494,(-4.1*G147+2135)/100)*0.5</f>
        <v>2.06836530423771</v>
      </c>
      <c r="AU147" s="169" t="n">
        <f aca="false">(0.75*AT147-AT147)</f>
        <v>-0.517091326059428</v>
      </c>
      <c r="AV147" s="166" t="n">
        <f aca="false">AT147/0.5*1.25-AT147</f>
        <v>3.10254795635657</v>
      </c>
      <c r="AW147" s="168" t="n">
        <f aca="false">IF(L147&lt;15,(15*L147+375)/100,(-4.71*L147+670.65)/100)*0.5</f>
        <v>2.4348</v>
      </c>
      <c r="AX147" s="166" t="n">
        <f aca="false">0.75*AW147-AW147</f>
        <v>-0.6087</v>
      </c>
      <c r="AY147" s="166" t="n">
        <f aca="false">AW147/0.5*1.25-AW147</f>
        <v>3.6522</v>
      </c>
      <c r="AZ147" s="167" t="n">
        <v>0.5</v>
      </c>
      <c r="BA147" s="74"/>
      <c r="BQ147" s="108" t="n">
        <v>36907.7428240741</v>
      </c>
      <c r="BR147" s="109" t="n">
        <v>36907.743287037</v>
      </c>
      <c r="BS147" s="110" t="n">
        <v>40299</v>
      </c>
      <c r="BT147" s="111" t="n">
        <v>98811.90625</v>
      </c>
      <c r="BU147" s="112" t="n">
        <v>76579.2265625</v>
      </c>
      <c r="BV147" s="112" t="n">
        <v>24702.9765625</v>
      </c>
      <c r="BW147" s="112" t="n">
        <v>29643.572265625</v>
      </c>
      <c r="BX147" s="113" t="n">
        <v>0</v>
      </c>
      <c r="BZ147" s="110" t="n">
        <v>40360</v>
      </c>
      <c r="CA147" s="185" t="n">
        <v>39</v>
      </c>
      <c r="CB147" s="116" t="n">
        <v>39</v>
      </c>
      <c r="CC147" s="181" t="n">
        <v>39</v>
      </c>
      <c r="CD147" s="181" t="n">
        <v>39</v>
      </c>
      <c r="CE147" s="117" t="n">
        <v>1</v>
      </c>
    </row>
    <row r="148" customFormat="false" ht="12.75" hidden="false" customHeight="false" outlineLevel="0" collapsed="false">
      <c r="A148" s="0" t="n">
        <f aca="true">IF(ISERROR(MATCH(D148,iRefDt,0)),"",MATCH(D148,iRefDt,0))</f>
        <v>148</v>
      </c>
      <c r="B148" s="92" t="n">
        <f aca="false">MATCH(YEAR(D148),iSpreads)</f>
        <v>10</v>
      </c>
      <c r="C148" s="0" t="n">
        <f aca="false">MONTH(D148)</f>
        <v>8</v>
      </c>
      <c r="D148" s="93" t="n">
        <f aca="false">DATE(YEAR(D147),MONTH(D147)+1,1)</f>
        <v>40391</v>
      </c>
      <c r="E148" s="94" t="n">
        <f aca="false">VLOOKUP($D148,tblPriorPrice,2)</f>
        <v>41</v>
      </c>
      <c r="F148" s="190" t="n">
        <f aca="false">G148-E148</f>
        <v>0</v>
      </c>
      <c r="G148" s="190" t="n">
        <f aca="true">G136+OFFSET($CG$4,$B148,$C148)</f>
        <v>41</v>
      </c>
      <c r="H148" s="96" t="n">
        <f aca="true">G148+OFFSET($CU$4,$B148,$C148)</f>
        <v>36</v>
      </c>
      <c r="I148" s="96" t="n">
        <f aca="true">G148+OFFSET($DI$4,$B148,$C148)</f>
        <v>65</v>
      </c>
      <c r="J148" s="94" t="n">
        <f aca="false">VLOOKUP($D148,tblPriorPrice,3)</f>
        <v>41</v>
      </c>
      <c r="K148" s="190" t="n">
        <f aca="false">L148-J148</f>
        <v>0</v>
      </c>
      <c r="L148" s="190" t="n">
        <f aca="true">L136+OFFSET($CG$27,$B148,$C148)</f>
        <v>41</v>
      </c>
      <c r="M148" s="96" t="n">
        <f aca="true">$L148+OFFSET($CU$27,$B148,$C148)</f>
        <v>36</v>
      </c>
      <c r="N148" s="97" t="n">
        <f aca="true">$L148+OFFSET($DI$27,$B148,$C148)</f>
        <v>55</v>
      </c>
      <c r="O148" s="59" t="n">
        <f aca="true">IF($A148="",0,INDEX(tblPosn,$A148,2))</f>
        <v>106862.1640625</v>
      </c>
      <c r="P148" s="59" t="n">
        <f aca="true">IF($A148="",0,INDEX(tblPosn,$A148,3))</f>
        <v>75289.25</v>
      </c>
      <c r="Q148" s="59" t="n">
        <f aca="true">IF($A148="",0,INDEX(tblPosn,$A148,4))</f>
        <v>19429.484375</v>
      </c>
      <c r="R148" s="59" t="n">
        <f aca="true">IF($A148="",0,INDEX(tblPosn,$A148,5))</f>
        <v>24286.85546875</v>
      </c>
      <c r="S148" s="59" t="n">
        <f aca="true">IF($A148="",0,INDEX(tblPosn,$A148,6))</f>
        <v>0</v>
      </c>
      <c r="T148" s="98" t="n">
        <f aca="false">O148*F148+P148*K148+R148*AC148+S148*AH148/0.72+Q148*X148</f>
        <v>0</v>
      </c>
      <c r="V148" s="161" t="n">
        <f aca="false">D148</f>
        <v>40391</v>
      </c>
      <c r="W148" s="94" t="n">
        <f aca="false">VLOOKUP($D148,tblPriorPrice,4)</f>
        <v>41</v>
      </c>
      <c r="X148" s="95" t="n">
        <f aca="false">Y148-W148</f>
        <v>0</v>
      </c>
      <c r="Y148" s="191" t="n">
        <f aca="true">Y136+OFFSET($CG$50,$B148,$C148)</f>
        <v>41</v>
      </c>
      <c r="Z148" s="96" t="n">
        <f aca="true">Y148+OFFSET($CU$51,$B148,$C148)</f>
        <v>36</v>
      </c>
      <c r="AA148" s="177" t="n">
        <f aca="true">Y148+OFFSET($DI$51,$B148,$C148)</f>
        <v>66</v>
      </c>
      <c r="AB148" s="94" t="n">
        <f aca="false">VLOOKUP($D148,tblPriorPrice,5)</f>
        <v>41</v>
      </c>
      <c r="AC148" s="190" t="n">
        <f aca="false">AD148-AB148</f>
        <v>0</v>
      </c>
      <c r="AD148" s="191" t="n">
        <f aca="true">AD136+OFFSET($CG$73,$B148,$C148)</f>
        <v>41</v>
      </c>
      <c r="AE148" s="96" t="n">
        <f aca="true">AD148+OFFSET($CU$74,$B148,$C148)</f>
        <v>36</v>
      </c>
      <c r="AF148" s="177" t="n">
        <f aca="true">AD148+OFFSET($DI$74,$B148,$C148)</f>
        <v>66</v>
      </c>
      <c r="AG148" s="94" t="n">
        <f aca="false">VLOOKUP($D148,tblPriorPrice,6)</f>
        <v>1</v>
      </c>
      <c r="AH148" s="190" t="n">
        <f aca="false">AI148-AG148</f>
        <v>0</v>
      </c>
      <c r="AI148" s="191" t="n">
        <f aca="true">AI136+OFFSET($CG$96,$B148,$C148)</f>
        <v>1</v>
      </c>
      <c r="AJ148" s="96" t="n">
        <f aca="true">AI148+OFFSET($CU$96,$B148,$C148)</f>
        <v>1</v>
      </c>
      <c r="AK148" s="97" t="n">
        <f aca="true">AI148+OFFSET($DI$96,$B148,$C148)</f>
        <v>1</v>
      </c>
      <c r="AL148" s="178" t="n">
        <v>39</v>
      </c>
      <c r="AM148" s="165" t="n">
        <v>0.4</v>
      </c>
      <c r="AN148" s="167" t="n">
        <f aca="false">'[3]Pricing Summary'!$AM126</f>
        <v>0.185</v>
      </c>
      <c r="AO148" s="167" t="n">
        <f aca="false">0.9*AN148</f>
        <v>0.1665</v>
      </c>
      <c r="AP148" s="166" t="n">
        <f aca="false">1.5*AN148</f>
        <v>0.2775</v>
      </c>
      <c r="AQ148" s="167" t="n">
        <f aca="false">AN148</f>
        <v>0.185</v>
      </c>
      <c r="AR148" s="166" t="n">
        <f aca="false">0.8*AQ148</f>
        <v>0.148</v>
      </c>
      <c r="AS148" s="166" t="n">
        <f aca="false">1.2*AQ148</f>
        <v>0.222</v>
      </c>
      <c r="AT148" s="169" t="n">
        <f aca="false">IF(G148&lt;110,17.94063*(LN(G148/100))+6.727568*(LN(G148/100)^2)+15.06494,(-4.1*G148+2135)/100)*0.5</f>
        <v>2.20858471004844</v>
      </c>
      <c r="AU148" s="169" t="n">
        <f aca="false">(0.75*AT148-AT148)</f>
        <v>-0.552146177512111</v>
      </c>
      <c r="AV148" s="166" t="n">
        <f aca="false">AT148/0.5*1.25-AT148</f>
        <v>3.31287706507267</v>
      </c>
      <c r="AW148" s="168" t="n">
        <f aca="false">IF(L148&lt;15,(15*L148+375)/100,(-4.71*L148+670.65)/100)*0.5</f>
        <v>2.3877</v>
      </c>
      <c r="AX148" s="166" t="n">
        <f aca="false">0.75*AW148-AW148</f>
        <v>-0.596925</v>
      </c>
      <c r="AY148" s="166" t="n">
        <f aca="false">AW148/0.5*1.25-AW148</f>
        <v>3.58155</v>
      </c>
      <c r="AZ148" s="167" t="n">
        <v>0.5</v>
      </c>
      <c r="BA148" s="74"/>
      <c r="BQ148" s="108" t="n">
        <v>36907.7428240741</v>
      </c>
      <c r="BR148" s="109" t="n">
        <v>36907.743287037</v>
      </c>
      <c r="BS148" s="110" t="n">
        <v>40330</v>
      </c>
      <c r="BT148" s="111" t="n">
        <v>108095.6796875</v>
      </c>
      <c r="BU148" s="112" t="n">
        <v>73701.6015625</v>
      </c>
      <c r="BV148" s="112" t="n">
        <v>19653.759765625</v>
      </c>
      <c r="BW148" s="112" t="n">
        <v>19653.759765625</v>
      </c>
      <c r="BX148" s="113" t="n">
        <v>0</v>
      </c>
      <c r="BZ148" s="110" t="n">
        <v>40391</v>
      </c>
      <c r="CA148" s="185" t="n">
        <v>41</v>
      </c>
      <c r="CB148" s="116" t="n">
        <v>41</v>
      </c>
      <c r="CC148" s="181" t="n">
        <v>41</v>
      </c>
      <c r="CD148" s="181" t="n">
        <v>41</v>
      </c>
      <c r="CE148" s="117" t="n">
        <v>1</v>
      </c>
    </row>
    <row r="149" customFormat="false" ht="12.75" hidden="false" customHeight="false" outlineLevel="0" collapsed="false">
      <c r="A149" s="0" t="n">
        <f aca="true">IF(ISERROR(MATCH(D149,iRefDt,0)),"",MATCH(D149,iRefDt,0))</f>
        <v>149</v>
      </c>
      <c r="B149" s="92" t="n">
        <f aca="false">MATCH(YEAR(D149),iSpreads)</f>
        <v>10</v>
      </c>
      <c r="C149" s="0" t="n">
        <f aca="false">MONTH(D149)</f>
        <v>9</v>
      </c>
      <c r="D149" s="93" t="n">
        <f aca="false">DATE(YEAR(D148),MONTH(D148)+1,1)</f>
        <v>40422</v>
      </c>
      <c r="E149" s="94" t="n">
        <f aca="false">VLOOKUP($D149,tblPriorPrice,2)</f>
        <v>35</v>
      </c>
      <c r="F149" s="190" t="n">
        <f aca="false">G149-E149</f>
        <v>0</v>
      </c>
      <c r="G149" s="190" t="n">
        <f aca="true">G137+OFFSET($CG$4,$B149,$C149)</f>
        <v>35</v>
      </c>
      <c r="H149" s="96" t="n">
        <f aca="true">G149+OFFSET($CU$4,$B149,$C149)</f>
        <v>30</v>
      </c>
      <c r="I149" s="96" t="n">
        <f aca="true">G149+OFFSET($DI$4,$B149,$C149)</f>
        <v>59</v>
      </c>
      <c r="J149" s="94" t="n">
        <f aca="false">VLOOKUP($D149,tblPriorPrice,3)</f>
        <v>35</v>
      </c>
      <c r="K149" s="190" t="n">
        <f aca="false">L149-J149</f>
        <v>0</v>
      </c>
      <c r="L149" s="190" t="n">
        <f aca="true">L137+OFFSET($CG$27,$B149,$C149)</f>
        <v>35</v>
      </c>
      <c r="M149" s="96" t="n">
        <f aca="true">$L149+OFFSET($CU$27,$B149,$C149)</f>
        <v>30</v>
      </c>
      <c r="N149" s="97" t="n">
        <f aca="true">$L149+OFFSET($DI$27,$B149,$C149)</f>
        <v>49</v>
      </c>
      <c r="O149" s="59" t="n">
        <f aca="true">IF($A149="",0,INDEX(tblPosn,$A149,2))</f>
        <v>101435.6328125</v>
      </c>
      <c r="P149" s="59" t="n">
        <f aca="true">IF($A149="",0,INDEX(tblPosn,$A149,3))</f>
        <v>72454.0234375</v>
      </c>
      <c r="Q149" s="59" t="n">
        <f aca="true">IF($A149="",0,INDEX(tblPosn,$A149,4))</f>
        <v>19321.072265625</v>
      </c>
      <c r="R149" s="59" t="n">
        <f aca="true">IF($A149="",0,INDEX(tblPosn,$A149,5))</f>
        <v>24151.341796875</v>
      </c>
      <c r="S149" s="59" t="n">
        <f aca="true">IF($A149="",0,INDEX(tblPosn,$A149,6))</f>
        <v>0</v>
      </c>
      <c r="T149" s="98" t="n">
        <f aca="false">O149*F149+P149*K149+R149*AC149+S149*AH149/0.72+Q149*X149</f>
        <v>0</v>
      </c>
      <c r="V149" s="161" t="n">
        <f aca="false">D149</f>
        <v>40422</v>
      </c>
      <c r="W149" s="94" t="n">
        <f aca="false">VLOOKUP($D149,tblPriorPrice,4)</f>
        <v>35</v>
      </c>
      <c r="X149" s="95" t="n">
        <f aca="false">Y149-W149</f>
        <v>0</v>
      </c>
      <c r="Y149" s="191" t="n">
        <f aca="true">Y137+OFFSET($CG$50,$B149,$C149)</f>
        <v>35</v>
      </c>
      <c r="Z149" s="96" t="n">
        <f aca="true">Y149+OFFSET($CU$51,$B149,$C149)</f>
        <v>30</v>
      </c>
      <c r="AA149" s="177" t="n">
        <f aca="true">Y149+OFFSET($DI$51,$B149,$C149)</f>
        <v>60</v>
      </c>
      <c r="AB149" s="94" t="n">
        <f aca="false">VLOOKUP($D149,tblPriorPrice,5)</f>
        <v>35</v>
      </c>
      <c r="AC149" s="190" t="n">
        <f aca="false">AD149-AB149</f>
        <v>0</v>
      </c>
      <c r="AD149" s="191" t="n">
        <f aca="true">AD137+OFFSET($CG$73,$B149,$C149)</f>
        <v>35</v>
      </c>
      <c r="AE149" s="96" t="n">
        <f aca="true">AD149+OFFSET($CU$74,$B149,$C149)</f>
        <v>30</v>
      </c>
      <c r="AF149" s="177" t="n">
        <f aca="true">AD149+OFFSET($DI$74,$B149,$C149)</f>
        <v>60</v>
      </c>
      <c r="AG149" s="94" t="n">
        <f aca="false">VLOOKUP($D149,tblPriorPrice,6)</f>
        <v>1</v>
      </c>
      <c r="AH149" s="190" t="n">
        <f aca="false">AI149-AG149</f>
        <v>0</v>
      </c>
      <c r="AI149" s="191" t="n">
        <f aca="true">AI137+OFFSET($CG$96,$B149,$C149)</f>
        <v>1</v>
      </c>
      <c r="AJ149" s="96" t="n">
        <f aca="true">AI149+OFFSET($CU$96,$B149,$C149)</f>
        <v>1</v>
      </c>
      <c r="AK149" s="97" t="n">
        <f aca="true">AI149+OFFSET($DI$96,$B149,$C149)</f>
        <v>1</v>
      </c>
      <c r="AL149" s="178" t="n">
        <v>40</v>
      </c>
      <c r="AM149" s="165" t="n">
        <v>0.4</v>
      </c>
      <c r="AN149" s="167" t="n">
        <f aca="false">'[3]Pricing Summary'!$AM127</f>
        <v>0.185</v>
      </c>
      <c r="AO149" s="167" t="n">
        <f aca="false">0.9*AN149</f>
        <v>0.1665</v>
      </c>
      <c r="AP149" s="166" t="n">
        <f aca="false">1.5*AN149</f>
        <v>0.2775</v>
      </c>
      <c r="AQ149" s="167" t="n">
        <f aca="false">AN149</f>
        <v>0.185</v>
      </c>
      <c r="AR149" s="166" t="n">
        <f aca="false">0.8*AQ149</f>
        <v>0.148</v>
      </c>
      <c r="AS149" s="166" t="n">
        <f aca="false">1.2*AQ149</f>
        <v>0.222</v>
      </c>
      <c r="AT149" s="169" t="n">
        <f aca="false">IF(G149&lt;110,17.94063*(LN(G149/100))+6.727568*(LN(G149/100)^2)+15.06494,(-4.1*G149+2135)/100)*0.5</f>
        <v>1.82255031269953</v>
      </c>
      <c r="AU149" s="169" t="n">
        <f aca="false">(0.75*AT149-AT149)</f>
        <v>-0.455637578174882</v>
      </c>
      <c r="AV149" s="166" t="n">
        <f aca="false">AT149/0.5*1.25-AT149</f>
        <v>2.73382546904929</v>
      </c>
      <c r="AW149" s="168" t="n">
        <f aca="false">IF(L149&lt;15,(15*L149+375)/100,(-4.71*L149+670.65)/100)*0.5</f>
        <v>2.529</v>
      </c>
      <c r="AX149" s="166" t="n">
        <f aca="false">0.75*AW149-AW149</f>
        <v>-0.63225</v>
      </c>
      <c r="AY149" s="166" t="n">
        <f aca="false">AW149/0.5*1.25-AW149</f>
        <v>3.7935</v>
      </c>
      <c r="AZ149" s="167" t="n">
        <v>0.5</v>
      </c>
      <c r="BA149" s="74"/>
      <c r="BQ149" s="108" t="n">
        <v>36907.7428240741</v>
      </c>
      <c r="BR149" s="109" t="n">
        <v>36907.743287037</v>
      </c>
      <c r="BS149" s="110" t="n">
        <v>40360</v>
      </c>
      <c r="BT149" s="111" t="n">
        <v>102587.6796875</v>
      </c>
      <c r="BU149" s="112" t="n">
        <v>75719.46875</v>
      </c>
      <c r="BV149" s="112" t="n">
        <v>24425.63671875</v>
      </c>
      <c r="BW149" s="112" t="n">
        <v>24425.63671875</v>
      </c>
      <c r="BX149" s="113" t="n">
        <v>0</v>
      </c>
      <c r="BZ149" s="110" t="n">
        <v>40422</v>
      </c>
      <c r="CA149" s="185" t="n">
        <v>35</v>
      </c>
      <c r="CB149" s="116" t="n">
        <v>35</v>
      </c>
      <c r="CC149" s="181" t="n">
        <v>35</v>
      </c>
      <c r="CD149" s="181" t="n">
        <v>35</v>
      </c>
      <c r="CE149" s="117" t="n">
        <v>1</v>
      </c>
    </row>
    <row r="150" customFormat="false" ht="12.75" hidden="false" customHeight="false" outlineLevel="0" collapsed="false">
      <c r="A150" s="0" t="n">
        <f aca="true">IF(ISERROR(MATCH(D150,iRefDt,0)),"",MATCH(D150,iRefDt,0))</f>
        <v>150</v>
      </c>
      <c r="B150" s="92" t="n">
        <f aca="false">MATCH(YEAR(D150),iSpreads)</f>
        <v>10</v>
      </c>
      <c r="C150" s="0" t="n">
        <f aca="false">MONTH(D150)</f>
        <v>10</v>
      </c>
      <c r="D150" s="93" t="n">
        <f aca="false">DATE(YEAR(D149),MONTH(D149)+1,1)</f>
        <v>40452</v>
      </c>
      <c r="E150" s="94" t="n">
        <f aca="false">VLOOKUP($D150,tblPriorPrice,2)</f>
        <v>37</v>
      </c>
      <c r="F150" s="190" t="n">
        <f aca="false">G150-E150</f>
        <v>0</v>
      </c>
      <c r="G150" s="190" t="n">
        <f aca="true">G138+OFFSET($CG$4,$B150,$C150)</f>
        <v>37</v>
      </c>
      <c r="H150" s="96" t="n">
        <f aca="true">G150+OFFSET($CU$4,$B150,$C150)</f>
        <v>32</v>
      </c>
      <c r="I150" s="96" t="n">
        <f aca="true">G150+OFFSET($DI$4,$B150,$C150)</f>
        <v>61</v>
      </c>
      <c r="J150" s="94" t="n">
        <f aca="false">VLOOKUP($D150,tblPriorPrice,3)</f>
        <v>37</v>
      </c>
      <c r="K150" s="190" t="n">
        <f aca="false">L150-J150</f>
        <v>0</v>
      </c>
      <c r="L150" s="190" t="n">
        <f aca="true">L138+OFFSET($CG$27,$B150,$C150)</f>
        <v>37</v>
      </c>
      <c r="M150" s="96" t="n">
        <f aca="true">$L150+OFFSET($CU$27,$B150,$C150)</f>
        <v>32</v>
      </c>
      <c r="N150" s="97" t="n">
        <f aca="true">$L150+OFFSET($DI$27,$B150,$C150)</f>
        <v>51</v>
      </c>
      <c r="O150" s="59" t="n">
        <f aca="true">IF($A150="",0,INDEX(tblPosn,$A150,2))</f>
        <v>100847.25</v>
      </c>
      <c r="P150" s="59" t="n">
        <f aca="true">IF($A150="",0,INDEX(tblPosn,$A150,3))</f>
        <v>74735.015625</v>
      </c>
      <c r="Q150" s="59" t="n">
        <f aca="true">IF($A150="",0,INDEX(tblPosn,$A150,4))</f>
        <v>24011.25</v>
      </c>
      <c r="R150" s="59" t="n">
        <f aca="true">IF($A150="",0,INDEX(tblPosn,$A150,5))</f>
        <v>24011.25</v>
      </c>
      <c r="S150" s="59" t="n">
        <f aca="true">IF($A150="",0,INDEX(tblPosn,$A150,6))</f>
        <v>0</v>
      </c>
      <c r="T150" s="98" t="n">
        <f aca="false">O150*F150+P150*K150+R150*AC150+S150*AH150/0.72+Q150*X150</f>
        <v>0</v>
      </c>
      <c r="V150" s="161" t="n">
        <f aca="false">D150</f>
        <v>40452</v>
      </c>
      <c r="W150" s="94" t="n">
        <f aca="false">VLOOKUP($D150,tblPriorPrice,4)</f>
        <v>37</v>
      </c>
      <c r="X150" s="95" t="n">
        <f aca="false">Y150-W150</f>
        <v>0</v>
      </c>
      <c r="Y150" s="191" t="n">
        <f aca="true">Y138+OFFSET($CG$50,$B150,$C150)</f>
        <v>37</v>
      </c>
      <c r="Z150" s="96" t="n">
        <f aca="true">Y150+OFFSET($CU$51,$B150,$C150)</f>
        <v>32</v>
      </c>
      <c r="AA150" s="177" t="n">
        <f aca="true">Y150+OFFSET($DI$51,$B150,$C150)</f>
        <v>62</v>
      </c>
      <c r="AB150" s="94" t="n">
        <f aca="false">VLOOKUP($D150,tblPriorPrice,5)</f>
        <v>37</v>
      </c>
      <c r="AC150" s="190" t="n">
        <f aca="false">AD150-AB150</f>
        <v>0</v>
      </c>
      <c r="AD150" s="191" t="n">
        <f aca="true">AD138+OFFSET($CG$73,$B150,$C150)</f>
        <v>37</v>
      </c>
      <c r="AE150" s="96" t="n">
        <f aca="true">AD150+OFFSET($CU$74,$B150,$C150)</f>
        <v>32</v>
      </c>
      <c r="AF150" s="177" t="n">
        <f aca="true">AD150+OFFSET($DI$74,$B150,$C150)</f>
        <v>62</v>
      </c>
      <c r="AG150" s="94" t="n">
        <f aca="false">VLOOKUP($D150,tblPriorPrice,6)</f>
        <v>1</v>
      </c>
      <c r="AH150" s="190" t="n">
        <f aca="false">AI150-AG150</f>
        <v>0</v>
      </c>
      <c r="AI150" s="191" t="n">
        <f aca="true">AI138+OFFSET($CG$96,$B150,$C150)</f>
        <v>1</v>
      </c>
      <c r="AJ150" s="96" t="n">
        <f aca="true">AI150+OFFSET($CU$96,$B150,$C150)</f>
        <v>1</v>
      </c>
      <c r="AK150" s="97" t="n">
        <f aca="true">AI150+OFFSET($DI$96,$B150,$C150)</f>
        <v>1</v>
      </c>
      <c r="AL150" s="178" t="n">
        <v>40</v>
      </c>
      <c r="AM150" s="165" t="n">
        <v>0.4</v>
      </c>
      <c r="AN150" s="167" t="n">
        <f aca="false">'[3]Pricing Summary'!$AM128</f>
        <v>0.185</v>
      </c>
      <c r="AO150" s="167" t="n">
        <f aca="false">0.9*AN150</f>
        <v>0.1665</v>
      </c>
      <c r="AP150" s="166" t="n">
        <f aca="false">1.5*AN150</f>
        <v>0.2775</v>
      </c>
      <c r="AQ150" s="167" t="n">
        <f aca="false">AN150</f>
        <v>0.185</v>
      </c>
      <c r="AR150" s="166" t="n">
        <f aca="false">0.8*AQ150</f>
        <v>0.148</v>
      </c>
      <c r="AS150" s="166" t="n">
        <f aca="false">1.2*AQ150</f>
        <v>0.222</v>
      </c>
      <c r="AT150" s="169" t="n">
        <f aca="false">IF(G150&lt;110,17.94063*(LN(G150/100))+6.727568*(LN(G150/100)^2)+15.06494,(-4.1*G150+2135)/100)*0.5</f>
        <v>1.93894082389981</v>
      </c>
      <c r="AU150" s="169" t="n">
        <f aca="false">(0.75*AT150-AT150)</f>
        <v>-0.484735205974953</v>
      </c>
      <c r="AV150" s="166" t="n">
        <f aca="false">AT150/0.5*1.25-AT150</f>
        <v>2.90841123584972</v>
      </c>
      <c r="AW150" s="168" t="n">
        <f aca="false">IF(L150&lt;15,(15*L150+375)/100,(-4.71*L150+670.65)/100)*0.5</f>
        <v>2.4819</v>
      </c>
      <c r="AX150" s="166" t="n">
        <f aca="false">0.75*AW150-AW150</f>
        <v>-0.620475</v>
      </c>
      <c r="AY150" s="166" t="n">
        <f aca="false">AW150/0.5*1.25-AW150</f>
        <v>3.72285</v>
      </c>
      <c r="AZ150" s="167" t="n">
        <v>0.5</v>
      </c>
      <c r="BA150" s="74"/>
      <c r="BQ150" s="108" t="n">
        <v>36907.7428240741</v>
      </c>
      <c r="BR150" s="109" t="n">
        <v>36907.743287037</v>
      </c>
      <c r="BS150" s="110" t="n">
        <v>40391</v>
      </c>
      <c r="BT150" s="111" t="n">
        <v>106862.1640625</v>
      </c>
      <c r="BU150" s="112" t="n">
        <v>75289.25</v>
      </c>
      <c r="BV150" s="112" t="n">
        <v>19429.484375</v>
      </c>
      <c r="BW150" s="112" t="n">
        <v>24286.85546875</v>
      </c>
      <c r="BX150" s="113" t="n">
        <v>0</v>
      </c>
      <c r="BZ150" s="110" t="n">
        <v>40452</v>
      </c>
      <c r="CA150" s="185" t="n">
        <v>37</v>
      </c>
      <c r="CB150" s="116" t="n">
        <v>37</v>
      </c>
      <c r="CC150" s="181" t="n">
        <v>37</v>
      </c>
      <c r="CD150" s="181" t="n">
        <v>37</v>
      </c>
      <c r="CE150" s="117" t="n">
        <v>1</v>
      </c>
    </row>
    <row r="151" customFormat="false" ht="12.75" hidden="false" customHeight="false" outlineLevel="0" collapsed="false">
      <c r="A151" s="0" t="n">
        <f aca="true">IF(ISERROR(MATCH(D151,iRefDt,0)),"",MATCH(D151,iRefDt,0))</f>
        <v>151</v>
      </c>
      <c r="B151" s="92" t="n">
        <f aca="false">MATCH(YEAR(D151),iSpreads)</f>
        <v>10</v>
      </c>
      <c r="C151" s="0" t="n">
        <f aca="false">MONTH(D151)</f>
        <v>11</v>
      </c>
      <c r="D151" s="93" t="n">
        <f aca="false">DATE(YEAR(D150),MONTH(D150)+1,1)</f>
        <v>40483</v>
      </c>
      <c r="E151" s="94" t="n">
        <f aca="false">VLOOKUP($D151,tblPriorPrice,2)</f>
        <v>31</v>
      </c>
      <c r="F151" s="190" t="n">
        <f aca="false">G151-E151</f>
        <v>0</v>
      </c>
      <c r="G151" s="190" t="n">
        <f aca="true">G139+OFFSET($CG$4,$B151,$C151)</f>
        <v>31</v>
      </c>
      <c r="H151" s="96" t="n">
        <f aca="true">G151+OFFSET($CU$4,$B151,$C151)</f>
        <v>26</v>
      </c>
      <c r="I151" s="96" t="n">
        <f aca="true">G151+OFFSET($DI$4,$B151,$C151)</f>
        <v>55</v>
      </c>
      <c r="J151" s="94" t="n">
        <f aca="false">VLOOKUP($D151,tblPriorPrice,3)</f>
        <v>31</v>
      </c>
      <c r="K151" s="190" t="n">
        <f aca="false">L151-J151</f>
        <v>0</v>
      </c>
      <c r="L151" s="190" t="n">
        <f aca="true">L139+OFFSET($CG$27,$B151,$C151)</f>
        <v>31</v>
      </c>
      <c r="M151" s="96" t="n">
        <f aca="true">$L151+OFFSET($CU$27,$B151,$C151)</f>
        <v>26</v>
      </c>
      <c r="N151" s="97" t="n">
        <f aca="true">$L151+OFFSET($DI$27,$B151,$C151)</f>
        <v>45</v>
      </c>
      <c r="O151" s="59" t="n">
        <f aca="true">IF($A151="",0,INDEX(tblPosn,$A151,2))</f>
        <v>100289.1875</v>
      </c>
      <c r="P151" s="59" t="n">
        <f aca="true">IF($A151="",0,INDEX(tblPosn,$A151,3))</f>
        <v>71635.1328125</v>
      </c>
      <c r="Q151" s="59" t="n">
        <f aca="true">IF($A151="",0,INDEX(tblPosn,$A151,4))</f>
        <v>19102.703125</v>
      </c>
      <c r="R151" s="59" t="n">
        <f aca="true">IF($A151="",0,INDEX(tblPosn,$A151,5))</f>
        <v>23878.37890625</v>
      </c>
      <c r="S151" s="59" t="n">
        <f aca="true">IF($A151="",0,INDEX(tblPosn,$A151,6))</f>
        <v>0</v>
      </c>
      <c r="T151" s="98" t="n">
        <f aca="false">O151*F151+P151*K151+R151*AC151+S151*AH151/0.72+Q151*X151</f>
        <v>0</v>
      </c>
      <c r="V151" s="161" t="n">
        <f aca="false">D151</f>
        <v>40483</v>
      </c>
      <c r="W151" s="94" t="n">
        <f aca="false">VLOOKUP($D151,tblPriorPrice,4)</f>
        <v>31</v>
      </c>
      <c r="X151" s="95" t="n">
        <f aca="false">Y151-W151</f>
        <v>0</v>
      </c>
      <c r="Y151" s="191" t="n">
        <f aca="true">Y139+OFFSET($CG$50,$B151,$C151)</f>
        <v>31</v>
      </c>
      <c r="Z151" s="96" t="n">
        <f aca="true">Y151+OFFSET($CU$51,$B151,$C151)</f>
        <v>26</v>
      </c>
      <c r="AA151" s="177" t="n">
        <f aca="true">Y151+OFFSET($DI$51,$B151,$C151)</f>
        <v>56</v>
      </c>
      <c r="AB151" s="94" t="n">
        <f aca="false">VLOOKUP($D151,tblPriorPrice,5)</f>
        <v>31</v>
      </c>
      <c r="AC151" s="190" t="n">
        <f aca="false">AD151-AB151</f>
        <v>0</v>
      </c>
      <c r="AD151" s="191" t="n">
        <f aca="true">AD139+OFFSET($CG$73,$B151,$C151)</f>
        <v>31</v>
      </c>
      <c r="AE151" s="96" t="n">
        <f aca="true">AD151+OFFSET($CU$74,$B151,$C151)</f>
        <v>26</v>
      </c>
      <c r="AF151" s="177" t="n">
        <f aca="true">AD151+OFFSET($DI$74,$B151,$C151)</f>
        <v>56</v>
      </c>
      <c r="AG151" s="94" t="n">
        <f aca="false">VLOOKUP($D151,tblPriorPrice,6)</f>
        <v>1</v>
      </c>
      <c r="AH151" s="190" t="n">
        <f aca="false">AI151-AG151</f>
        <v>0</v>
      </c>
      <c r="AI151" s="191" t="n">
        <f aca="true">AI139+OFFSET($CG$96,$B151,$C151)</f>
        <v>1</v>
      </c>
      <c r="AJ151" s="96" t="n">
        <f aca="true">AI151+OFFSET($CU$96,$B151,$C151)</f>
        <v>1</v>
      </c>
      <c r="AK151" s="97" t="n">
        <f aca="true">AI151+OFFSET($DI$96,$B151,$C151)</f>
        <v>1</v>
      </c>
      <c r="AL151" s="178" t="n">
        <v>40</v>
      </c>
      <c r="AM151" s="165" t="n">
        <v>0.4</v>
      </c>
      <c r="AN151" s="167" t="n">
        <f aca="false">'[3]Pricing Summary'!$AM129</f>
        <v>0.185</v>
      </c>
      <c r="AO151" s="167" t="n">
        <f aca="false">0.9*AN151</f>
        <v>0.1665</v>
      </c>
      <c r="AP151" s="166" t="n">
        <f aca="false">1.5*AN151</f>
        <v>0.2775</v>
      </c>
      <c r="AQ151" s="167" t="n">
        <f aca="false">AN151</f>
        <v>0.185</v>
      </c>
      <c r="AR151" s="166" t="n">
        <f aca="false">0.8*AQ151</f>
        <v>0.148</v>
      </c>
      <c r="AS151" s="166" t="n">
        <f aca="false">1.2*AQ151</f>
        <v>0.222</v>
      </c>
      <c r="AT151" s="169" t="n">
        <f aca="false">IF(G151&lt;110,17.94063*(LN(G151/100))+6.727568*(LN(G151/100)^2)+15.06494,(-4.1*G151+2135)/100)*0.5</f>
        <v>1.64058990686036</v>
      </c>
      <c r="AU151" s="169" t="n">
        <f aca="false">(0.75*AT151-AT151)</f>
        <v>-0.410147476715089</v>
      </c>
      <c r="AV151" s="166" t="n">
        <f aca="false">AT151/0.5*1.25-AT151</f>
        <v>2.46088486029054</v>
      </c>
      <c r="AW151" s="168" t="n">
        <f aca="false">IF(L151&lt;15,(15*L151+375)/100,(-4.71*L151+670.65)/100)*0.5</f>
        <v>2.6232</v>
      </c>
      <c r="AX151" s="166" t="n">
        <f aca="false">0.75*AW151-AW151</f>
        <v>-0.6558</v>
      </c>
      <c r="AY151" s="166" t="n">
        <f aca="false">AW151/0.5*1.25-AW151</f>
        <v>3.9348</v>
      </c>
      <c r="AZ151" s="167" t="n">
        <v>0.5</v>
      </c>
      <c r="BA151" s="74"/>
      <c r="BQ151" s="108" t="n">
        <v>36907.7428240741</v>
      </c>
      <c r="BR151" s="109" t="n">
        <v>36907.743287037</v>
      </c>
      <c r="BS151" s="110" t="n">
        <v>40422</v>
      </c>
      <c r="BT151" s="111" t="n">
        <v>101435.6328125</v>
      </c>
      <c r="BU151" s="112" t="n">
        <v>72454.0234375</v>
      </c>
      <c r="BV151" s="112" t="n">
        <v>19321.072265625</v>
      </c>
      <c r="BW151" s="112" t="n">
        <v>24151.341796875</v>
      </c>
      <c r="BX151" s="113" t="n">
        <v>0</v>
      </c>
      <c r="BZ151" s="110" t="n">
        <v>40483</v>
      </c>
      <c r="CA151" s="185" t="n">
        <v>31</v>
      </c>
      <c r="CB151" s="116" t="n">
        <v>31</v>
      </c>
      <c r="CC151" s="181" t="n">
        <v>31</v>
      </c>
      <c r="CD151" s="181" t="n">
        <v>31</v>
      </c>
      <c r="CE151" s="117" t="n">
        <v>1</v>
      </c>
    </row>
    <row r="152" customFormat="false" ht="12.75" hidden="false" customHeight="false" outlineLevel="0" collapsed="false">
      <c r="A152" s="0" t="n">
        <f aca="true">IF(ISERROR(MATCH(D152,iRefDt,0)),"",MATCH(D152,iRefDt,0))</f>
        <v>152</v>
      </c>
      <c r="B152" s="92" t="n">
        <f aca="false">MATCH(YEAR(D152),iSpreads)</f>
        <v>10</v>
      </c>
      <c r="C152" s="0" t="n">
        <f aca="false">MONTH(D152)</f>
        <v>12</v>
      </c>
      <c r="D152" s="93" t="n">
        <f aca="false">DATE(YEAR(D151),MONTH(D151)+1,1)</f>
        <v>40513</v>
      </c>
      <c r="E152" s="94" t="n">
        <f aca="false">VLOOKUP($D152,tblPriorPrice,2)</f>
        <v>32</v>
      </c>
      <c r="F152" s="190" t="n">
        <f aca="false">G152-E152</f>
        <v>0</v>
      </c>
      <c r="G152" s="190" t="n">
        <f aca="true">G140+OFFSET($CG$4,$B152,$C152)</f>
        <v>32</v>
      </c>
      <c r="H152" s="96" t="n">
        <f aca="true">G152+OFFSET($CU$4,$B152,$C152)</f>
        <v>27</v>
      </c>
      <c r="I152" s="96" t="n">
        <f aca="true">G152+OFFSET($DI$4,$B152,$C152)</f>
        <v>56</v>
      </c>
      <c r="J152" s="94" t="n">
        <f aca="false">VLOOKUP($D152,tblPriorPrice,3)</f>
        <v>29</v>
      </c>
      <c r="K152" s="190" t="n">
        <f aca="false">L152-J152</f>
        <v>0</v>
      </c>
      <c r="L152" s="190" t="n">
        <f aca="true">L140+OFFSET($CG$27,$B152,$C152)</f>
        <v>29</v>
      </c>
      <c r="M152" s="96" t="n">
        <f aca="true">$L152+OFFSET($CU$27,$B152,$C152)</f>
        <v>24</v>
      </c>
      <c r="N152" s="97" t="n">
        <f aca="true">$L152+OFFSET($DI$27,$B152,$C152)</f>
        <v>43</v>
      </c>
      <c r="O152" s="59" t="n">
        <f aca="true">IF($A152="",0,INDEX(tblPosn,$A152,2))</f>
        <v>109220.7109375</v>
      </c>
      <c r="P152" s="59" t="n">
        <f aca="true">IF($A152="",0,INDEX(tblPosn,$A152,3))</f>
        <v>73605.2578125</v>
      </c>
      <c r="Q152" s="59" t="n">
        <f aca="true">IF($A152="",0,INDEX(tblPosn,$A152,4))</f>
        <v>14246.1796875</v>
      </c>
      <c r="R152" s="59" t="n">
        <f aca="true">IF($A152="",0,INDEX(tblPosn,$A152,5))</f>
        <v>23743.6328125</v>
      </c>
      <c r="S152" s="59" t="n">
        <f aca="true">IF($A152="",0,INDEX(tblPosn,$A152,6))</f>
        <v>0</v>
      </c>
      <c r="T152" s="98" t="n">
        <f aca="false">O152*F152+P152*K152+R152*AC152+S152*AH152/0.72+Q152*X152</f>
        <v>0</v>
      </c>
      <c r="V152" s="161" t="n">
        <f aca="false">D152</f>
        <v>40513</v>
      </c>
      <c r="W152" s="94" t="n">
        <f aca="false">VLOOKUP($D152,tblPriorPrice,4)</f>
        <v>29</v>
      </c>
      <c r="X152" s="95" t="n">
        <f aca="false">Y152-W152</f>
        <v>0</v>
      </c>
      <c r="Y152" s="191" t="n">
        <f aca="true">Y140+OFFSET($CG$50,$B152,$C152)</f>
        <v>29</v>
      </c>
      <c r="Z152" s="96" t="n">
        <f aca="true">Y152+OFFSET($CU$51,$B152,$C152)</f>
        <v>24</v>
      </c>
      <c r="AA152" s="177" t="n">
        <f aca="true">Y152+OFFSET($DI$51,$B152,$C152)</f>
        <v>54</v>
      </c>
      <c r="AB152" s="94" t="n">
        <f aca="false">VLOOKUP($D152,tblPriorPrice,5)</f>
        <v>29</v>
      </c>
      <c r="AC152" s="190" t="n">
        <f aca="false">AD152-AB152</f>
        <v>0</v>
      </c>
      <c r="AD152" s="191" t="n">
        <f aca="true">AD140+OFFSET($CG$73,$B152,$C152)</f>
        <v>29</v>
      </c>
      <c r="AE152" s="96" t="n">
        <f aca="true">AD152+OFFSET($CU$74,$B152,$C152)</f>
        <v>24</v>
      </c>
      <c r="AF152" s="177" t="n">
        <f aca="true">AD152+OFFSET($DI$74,$B152,$C152)</f>
        <v>54</v>
      </c>
      <c r="AG152" s="94" t="n">
        <f aca="false">VLOOKUP($D152,tblPriorPrice,6)</f>
        <v>1</v>
      </c>
      <c r="AH152" s="190" t="n">
        <f aca="false">AI152-AG152</f>
        <v>0</v>
      </c>
      <c r="AI152" s="191" t="n">
        <f aca="true">AI140+OFFSET($CG$96,$B152,$C152)</f>
        <v>1</v>
      </c>
      <c r="AJ152" s="96" t="n">
        <f aca="true">AI152+OFFSET($CU$96,$B152,$C152)</f>
        <v>1</v>
      </c>
      <c r="AK152" s="97" t="n">
        <f aca="true">AI152+OFFSET($DI$96,$B152,$C152)</f>
        <v>1</v>
      </c>
      <c r="AL152" s="178" t="n">
        <v>41</v>
      </c>
      <c r="AM152" s="165" t="n">
        <v>0.4</v>
      </c>
      <c r="AN152" s="167" t="n">
        <f aca="false">'[3]Pricing Summary'!$AM130</f>
        <v>0.185</v>
      </c>
      <c r="AO152" s="167" t="n">
        <f aca="false">0.9*AN152</f>
        <v>0.1665</v>
      </c>
      <c r="AP152" s="166" t="n">
        <f aca="false">1.5*AN152</f>
        <v>0.2775</v>
      </c>
      <c r="AQ152" s="167" t="n">
        <f aca="false">AN152</f>
        <v>0.185</v>
      </c>
      <c r="AR152" s="166" t="n">
        <f aca="false">0.8*AQ152</f>
        <v>0.148</v>
      </c>
      <c r="AS152" s="166" t="n">
        <f aca="false">1.2*AQ152</f>
        <v>0.222</v>
      </c>
      <c r="AT152" s="169" t="n">
        <f aca="false">IF(G152&lt;110,17.94063*(LN(G152/100))+6.727568*(LN(G152/100)^2)+15.06494,(-4.1*G152+2135)/100)*0.5</f>
        <v>1.67862159684781</v>
      </c>
      <c r="AU152" s="169" t="n">
        <f aca="false">(0.75*AT152-AT152)</f>
        <v>-0.419655399211954</v>
      </c>
      <c r="AV152" s="166" t="n">
        <f aca="false">AT152/0.5*1.25-AT152</f>
        <v>2.51793239527172</v>
      </c>
      <c r="AW152" s="168" t="n">
        <f aca="false">IF(L152&lt;15,(15*L152+375)/100,(-4.71*L152+670.65)/100)*0.5</f>
        <v>2.6703</v>
      </c>
      <c r="AX152" s="166" t="n">
        <f aca="false">0.75*AW152-AW152</f>
        <v>-0.667575</v>
      </c>
      <c r="AY152" s="166" t="n">
        <f aca="false">AW152/0.5*1.25-AW152</f>
        <v>4.00545</v>
      </c>
      <c r="AZ152" s="167" t="n">
        <v>0.5</v>
      </c>
      <c r="BA152" s="74"/>
      <c r="BQ152" s="108" t="n">
        <v>36907.7428240741</v>
      </c>
      <c r="BR152" s="109" t="n">
        <v>36907.743287037</v>
      </c>
      <c r="BS152" s="110" t="n">
        <v>40452</v>
      </c>
      <c r="BT152" s="111" t="n">
        <v>100847.25</v>
      </c>
      <c r="BU152" s="112" t="n">
        <v>74735.015625</v>
      </c>
      <c r="BV152" s="112" t="n">
        <v>24011.25</v>
      </c>
      <c r="BW152" s="112" t="n">
        <v>24011.25</v>
      </c>
      <c r="BX152" s="113" t="n">
        <v>0</v>
      </c>
      <c r="BZ152" s="110" t="n">
        <v>40513</v>
      </c>
      <c r="CA152" s="185" t="n">
        <v>32</v>
      </c>
      <c r="CB152" s="116" t="n">
        <v>29</v>
      </c>
      <c r="CC152" s="181" t="n">
        <v>29</v>
      </c>
      <c r="CD152" s="181" t="n">
        <v>29</v>
      </c>
      <c r="CE152" s="117" t="n">
        <v>1</v>
      </c>
    </row>
    <row r="153" customFormat="false" ht="12.75" hidden="false" customHeight="false" outlineLevel="0" collapsed="false">
      <c r="A153" s="0" t="n">
        <f aca="true">IF(ISERROR(MATCH(D153,iRefDt,0)),"",MATCH(D153,iRefDt,0))</f>
        <v>153</v>
      </c>
      <c r="B153" s="92" t="n">
        <f aca="false">MATCH(YEAR(D153),iSpreads)</f>
        <v>11</v>
      </c>
      <c r="C153" s="0" t="n">
        <f aca="false">MONTH(D153)</f>
        <v>1</v>
      </c>
      <c r="D153" s="93" t="n">
        <f aca="false">DATE(YEAR(D152),MONTH(D152)+1,1)</f>
        <v>40544</v>
      </c>
      <c r="E153" s="94" t="n">
        <f aca="false">VLOOKUP($D153,tblPriorPrice,2)</f>
        <v>33</v>
      </c>
      <c r="F153" s="190" t="n">
        <f aca="false">G153-E153</f>
        <v>0</v>
      </c>
      <c r="G153" s="190" t="n">
        <f aca="true">G141+OFFSET($CG$4,$B153,$C153)</f>
        <v>33</v>
      </c>
      <c r="H153" s="96" t="n">
        <f aca="true">G153+OFFSET($CU$4,$B153,$C153)</f>
        <v>28</v>
      </c>
      <c r="I153" s="96" t="n">
        <f aca="true">G153+OFFSET($DI$4,$B153,$C153)</f>
        <v>58</v>
      </c>
      <c r="J153" s="94" t="n">
        <f aca="false">VLOOKUP($D153,tblPriorPrice,3)</f>
        <v>31</v>
      </c>
      <c r="K153" s="190" t="n">
        <f aca="false">L153-J153</f>
        <v>0</v>
      </c>
      <c r="L153" s="190" t="n">
        <f aca="true">L141+OFFSET($CG$27,$B153,$C153)</f>
        <v>31</v>
      </c>
      <c r="M153" s="96" t="n">
        <f aca="true">$L153+OFFSET($CU$27,$B153,$C153)</f>
        <v>26</v>
      </c>
      <c r="N153" s="97" t="n">
        <f aca="true">$L153+OFFSET($DI$27,$B153,$C153)</f>
        <v>46</v>
      </c>
      <c r="O153" s="59" t="n">
        <f aca="true">IF($A153="",0,INDEX(tblPosn,$A153,2))</f>
        <v>99180.8828125</v>
      </c>
      <c r="P153" s="59" t="n">
        <f aca="true">IF($A153="",0,INDEX(tblPosn,$A153,3))</f>
        <v>73204.9375</v>
      </c>
      <c r="Q153" s="59" t="n">
        <f aca="true">IF($A153="",0,INDEX(tblPosn,$A153,4))</f>
        <v>18891.59765625</v>
      </c>
      <c r="R153" s="59" t="n">
        <f aca="true">IF($A153="",0,INDEX(tblPosn,$A153,5))</f>
        <v>28337.39453125</v>
      </c>
      <c r="S153" s="59" t="n">
        <f aca="true">IF($A153="",0,INDEX(tblPosn,$A153,6))</f>
        <v>0</v>
      </c>
      <c r="T153" s="98" t="n">
        <f aca="false">O153*F153+P153*K153+R153*AC153+S153*AH153/0.72+Q153*X153</f>
        <v>0</v>
      </c>
      <c r="V153" s="161" t="n">
        <f aca="false">D153</f>
        <v>40544</v>
      </c>
      <c r="W153" s="94" t="n">
        <f aca="false">VLOOKUP($D153,tblPriorPrice,4)</f>
        <v>31</v>
      </c>
      <c r="X153" s="95" t="n">
        <f aca="false">Y153-W153</f>
        <v>0</v>
      </c>
      <c r="Y153" s="191" t="n">
        <f aca="true">Y141+OFFSET($CG$50,$B153,$C153)</f>
        <v>31</v>
      </c>
      <c r="Z153" s="96" t="n">
        <f aca="true">Y153+OFFSET($CU$51,$B153,$C153)</f>
        <v>26</v>
      </c>
      <c r="AA153" s="177" t="n">
        <f aca="true">Y153+OFFSET($DI$51,$B153,$C153)</f>
        <v>57</v>
      </c>
      <c r="AB153" s="94" t="n">
        <f aca="false">VLOOKUP($D153,tblPriorPrice,5)</f>
        <v>31</v>
      </c>
      <c r="AC153" s="190" t="n">
        <f aca="false">AD153-AB153</f>
        <v>0</v>
      </c>
      <c r="AD153" s="191" t="n">
        <f aca="true">AD141+OFFSET($CG$73,$B153,$C153)</f>
        <v>31</v>
      </c>
      <c r="AE153" s="96" t="n">
        <f aca="true">AD153+OFFSET($CU$74,$B153,$C153)</f>
        <v>26</v>
      </c>
      <c r="AF153" s="177" t="n">
        <f aca="true">AD153+OFFSET($DI$74,$B153,$C153)</f>
        <v>57</v>
      </c>
      <c r="AG153" s="94" t="n">
        <f aca="false">VLOOKUP($D153,tblPriorPrice,6)</f>
        <v>1</v>
      </c>
      <c r="AH153" s="190" t="n">
        <f aca="false">AI153-AG153</f>
        <v>0</v>
      </c>
      <c r="AI153" s="191" t="n">
        <f aca="true">AI141+OFFSET($CG$96,$B153,$C153)</f>
        <v>1</v>
      </c>
      <c r="AJ153" s="96" t="n">
        <f aca="true">AI153+OFFSET($CU$96,$B153,$C153)</f>
        <v>1</v>
      </c>
      <c r="AK153" s="97" t="n">
        <f aca="true">AI153+OFFSET($DI$96,$B153,$C153)</f>
        <v>1</v>
      </c>
      <c r="AL153" s="178" t="n">
        <v>41</v>
      </c>
      <c r="AM153" s="165" t="n">
        <v>0.4</v>
      </c>
      <c r="AN153" s="167" t="n">
        <f aca="false">'[3]Pricing Summary'!$AM131</f>
        <v>0.185</v>
      </c>
      <c r="AO153" s="167" t="n">
        <f aca="false">0.9*AN153</f>
        <v>0.1665</v>
      </c>
      <c r="AP153" s="166" t="n">
        <f aca="false">1.5*AN153</f>
        <v>0.2775</v>
      </c>
      <c r="AQ153" s="167" t="n">
        <f aca="false">AN153</f>
        <v>0.185</v>
      </c>
      <c r="AR153" s="166" t="n">
        <f aca="false">0.8*AQ153</f>
        <v>0.148</v>
      </c>
      <c r="AS153" s="166" t="n">
        <f aca="false">1.2*AQ153</f>
        <v>0.222</v>
      </c>
      <c r="AT153" s="169" t="n">
        <f aca="false">IF(G153&lt;110,17.94063*(LN(G153/100))+6.727568*(LN(G153/100)^2)+15.06494,(-4.1*G153+2135)/100)*0.5</f>
        <v>1.72195432632388</v>
      </c>
      <c r="AU153" s="169" t="n">
        <f aca="false">(0.75*AT153-AT153)</f>
        <v>-0.43048858158097</v>
      </c>
      <c r="AV153" s="166" t="n">
        <f aca="false">AT153/0.5*1.25-AT153</f>
        <v>2.58293148948582</v>
      </c>
      <c r="AW153" s="168" t="n">
        <f aca="false">IF(L153&lt;15,(15*L153+375)/100,(-4.71*L153+670.65)/100)*0.5</f>
        <v>2.6232</v>
      </c>
      <c r="AX153" s="166" t="n">
        <f aca="false">0.75*AW153-AW153</f>
        <v>-0.6558</v>
      </c>
      <c r="AY153" s="166" t="n">
        <f aca="false">AW153/0.5*1.25-AW153</f>
        <v>3.9348</v>
      </c>
      <c r="AZ153" s="167" t="n">
        <v>0.5</v>
      </c>
      <c r="BA153" s="74"/>
      <c r="BQ153" s="108" t="n">
        <v>36907.7428240741</v>
      </c>
      <c r="BR153" s="109" t="n">
        <v>36907.743287037</v>
      </c>
      <c r="BS153" s="110" t="n">
        <v>40483</v>
      </c>
      <c r="BT153" s="111" t="n">
        <v>100289.1875</v>
      </c>
      <c r="BU153" s="112" t="n">
        <v>71635.1328125</v>
      </c>
      <c r="BV153" s="112" t="n">
        <v>19102.703125</v>
      </c>
      <c r="BW153" s="112" t="n">
        <v>23878.37890625</v>
      </c>
      <c r="BX153" s="113" t="n">
        <v>0</v>
      </c>
      <c r="BZ153" s="110" t="n">
        <v>40544</v>
      </c>
      <c r="CA153" s="185" t="n">
        <v>33</v>
      </c>
      <c r="CB153" s="116" t="n">
        <v>31</v>
      </c>
      <c r="CC153" s="181" t="n">
        <v>31</v>
      </c>
      <c r="CD153" s="181" t="n">
        <v>31</v>
      </c>
      <c r="CE153" s="117" t="n">
        <v>1</v>
      </c>
    </row>
    <row r="154" customFormat="false" ht="12.75" hidden="false" customHeight="false" outlineLevel="0" collapsed="false">
      <c r="A154" s="0" t="n">
        <f aca="true">IF(ISERROR(MATCH(D154,iRefDt,0)),"",MATCH(D154,iRefDt,0))</f>
        <v>154</v>
      </c>
      <c r="B154" s="92" t="n">
        <f aca="false">MATCH(YEAR(D154),iSpreads)</f>
        <v>11</v>
      </c>
      <c r="C154" s="0" t="n">
        <f aca="false">MONTH(D154)</f>
        <v>2</v>
      </c>
      <c r="D154" s="93" t="n">
        <f aca="false">DATE(YEAR(D153),MONTH(D153)+1,1)</f>
        <v>40575</v>
      </c>
      <c r="E154" s="94" t="n">
        <f aca="false">VLOOKUP($D154,tblPriorPrice,2)</f>
        <v>30</v>
      </c>
      <c r="F154" s="190" t="n">
        <f aca="false">G154-E154</f>
        <v>0</v>
      </c>
      <c r="G154" s="190" t="n">
        <f aca="true">G142+OFFSET($CG$4,$B154,$C154)</f>
        <v>30</v>
      </c>
      <c r="H154" s="96" t="n">
        <f aca="true">G154+OFFSET($CU$4,$B154,$C154)</f>
        <v>25</v>
      </c>
      <c r="I154" s="96" t="n">
        <f aca="true">G154+OFFSET($DI$4,$B154,$C154)</f>
        <v>55</v>
      </c>
      <c r="J154" s="94" t="n">
        <f aca="false">VLOOKUP($D154,tblPriorPrice,3)</f>
        <v>30</v>
      </c>
      <c r="K154" s="190" t="n">
        <f aca="false">L154-J154</f>
        <v>0</v>
      </c>
      <c r="L154" s="190" t="n">
        <f aca="true">L142+OFFSET($CG$27,$B154,$C154)</f>
        <v>30</v>
      </c>
      <c r="M154" s="96" t="n">
        <f aca="true">$L154+OFFSET($CU$27,$B154,$C154)</f>
        <v>25</v>
      </c>
      <c r="N154" s="97" t="n">
        <f aca="true">$L154+OFFSET($DI$27,$B154,$C154)</f>
        <v>45</v>
      </c>
      <c r="O154" s="59" t="n">
        <f aca="true">IF($A154="",0,INDEX(tblPosn,$A154,2))</f>
        <v>93999.5859375</v>
      </c>
      <c r="P154" s="59" t="n">
        <f aca="true">IF($A154="",0,INDEX(tblPosn,$A154,3))</f>
        <v>65799.71875</v>
      </c>
      <c r="Q154" s="59" t="n">
        <f aca="true">IF($A154="",0,INDEX(tblPosn,$A154,4))</f>
        <v>18799.91796875</v>
      </c>
      <c r="R154" s="59" t="n">
        <f aca="true">IF($A154="",0,INDEX(tblPosn,$A154,5))</f>
        <v>18799.91796875</v>
      </c>
      <c r="S154" s="59" t="n">
        <f aca="true">IF($A154="",0,INDEX(tblPosn,$A154,6))</f>
        <v>0</v>
      </c>
      <c r="T154" s="98" t="n">
        <f aca="false">O154*F154+P154*K154+R154*AC154+S154*AH154/0.72+Q154*X154</f>
        <v>0</v>
      </c>
      <c r="V154" s="161" t="n">
        <f aca="false">D154</f>
        <v>40575</v>
      </c>
      <c r="W154" s="94" t="n">
        <f aca="false">VLOOKUP($D154,tblPriorPrice,4)</f>
        <v>30</v>
      </c>
      <c r="X154" s="95" t="n">
        <f aca="false">Y154-W154</f>
        <v>0</v>
      </c>
      <c r="Y154" s="191" t="n">
        <f aca="true">Y142+OFFSET($CG$50,$B154,$C154)</f>
        <v>30</v>
      </c>
      <c r="Z154" s="96" t="n">
        <f aca="true">Y154+OFFSET($CU$51,$B154,$C154)</f>
        <v>25</v>
      </c>
      <c r="AA154" s="177" t="n">
        <f aca="true">Y154+OFFSET($DI$51,$B154,$C154)</f>
        <v>56</v>
      </c>
      <c r="AB154" s="94" t="n">
        <f aca="false">VLOOKUP($D154,tblPriorPrice,5)</f>
        <v>30</v>
      </c>
      <c r="AC154" s="190" t="n">
        <f aca="false">AD154-AB154</f>
        <v>0</v>
      </c>
      <c r="AD154" s="191" t="n">
        <f aca="true">AD142+OFFSET($CG$73,$B154,$C154)</f>
        <v>30</v>
      </c>
      <c r="AE154" s="96" t="n">
        <f aca="true">AD154+OFFSET($CU$74,$B154,$C154)</f>
        <v>25</v>
      </c>
      <c r="AF154" s="177" t="n">
        <f aca="true">AD154+OFFSET($DI$74,$B154,$C154)</f>
        <v>56</v>
      </c>
      <c r="AG154" s="94" t="n">
        <f aca="false">VLOOKUP($D154,tblPriorPrice,6)</f>
        <v>1</v>
      </c>
      <c r="AH154" s="190" t="n">
        <f aca="false">AI154-AG154</f>
        <v>0</v>
      </c>
      <c r="AI154" s="191" t="n">
        <f aca="true">AI142+OFFSET($CG$96,$B154,$C154)</f>
        <v>1</v>
      </c>
      <c r="AJ154" s="96" t="n">
        <f aca="true">AI154+OFFSET($CU$96,$B154,$C154)</f>
        <v>1</v>
      </c>
      <c r="AK154" s="97" t="n">
        <f aca="true">AI154+OFFSET($DI$96,$B154,$C154)</f>
        <v>1</v>
      </c>
      <c r="AL154" s="178" t="n">
        <v>41</v>
      </c>
      <c r="AM154" s="165" t="n">
        <v>0.4</v>
      </c>
      <c r="AN154" s="167" t="n">
        <f aca="false">'[3]Pricing Summary'!$AM132</f>
        <v>0.185</v>
      </c>
      <c r="AO154" s="167" t="n">
        <f aca="false">0.9*AN154</f>
        <v>0.1665</v>
      </c>
      <c r="AP154" s="166" t="n">
        <f aca="false">1.5*AN154</f>
        <v>0.2775</v>
      </c>
      <c r="AQ154" s="167" t="n">
        <f aca="false">AN154</f>
        <v>0.185</v>
      </c>
      <c r="AR154" s="166" t="n">
        <f aca="false">0.8*AQ154</f>
        <v>0.148</v>
      </c>
      <c r="AS154" s="166" t="n">
        <f aca="false">1.2*AQ154</f>
        <v>0.222</v>
      </c>
      <c r="AT154" s="169" t="n">
        <f aca="false">IF(G154&lt;110,17.94063*(LN(G154/100))+6.727568*(LN(G154/100)^2)+15.06494,(-4.1*G154+2135)/100)*0.5</f>
        <v>1.60842951845599</v>
      </c>
      <c r="AU154" s="169" t="n">
        <f aca="false">(0.75*AT154-AT154)</f>
        <v>-0.402107379613998</v>
      </c>
      <c r="AV154" s="166" t="n">
        <f aca="false">AT154/0.5*1.25-AT154</f>
        <v>2.41264427768399</v>
      </c>
      <c r="AW154" s="168" t="n">
        <f aca="false">IF(L154&lt;15,(15*L154+375)/100,(-4.71*L154+670.65)/100)*0.5</f>
        <v>2.64675</v>
      </c>
      <c r="AX154" s="166" t="n">
        <f aca="false">0.75*AW154-AW154</f>
        <v>-0.6616875</v>
      </c>
      <c r="AY154" s="166" t="n">
        <f aca="false">AW154/0.5*1.25-AW154</f>
        <v>3.970125</v>
      </c>
      <c r="AZ154" s="167" t="n">
        <v>0.5</v>
      </c>
      <c r="BA154" s="74"/>
      <c r="BQ154" s="108" t="n">
        <v>36907.7428240741</v>
      </c>
      <c r="BR154" s="109" t="n">
        <v>36907.743287037</v>
      </c>
      <c r="BS154" s="110" t="n">
        <v>40513</v>
      </c>
      <c r="BT154" s="111" t="n">
        <v>109220.7109375</v>
      </c>
      <c r="BU154" s="112" t="n">
        <v>73605.2578125</v>
      </c>
      <c r="BV154" s="112" t="n">
        <v>14246.1796875</v>
      </c>
      <c r="BW154" s="112" t="n">
        <v>23743.6328125</v>
      </c>
      <c r="BX154" s="113" t="n">
        <v>0</v>
      </c>
      <c r="BZ154" s="110" t="n">
        <v>40575</v>
      </c>
      <c r="CA154" s="185" t="n">
        <v>30</v>
      </c>
      <c r="CB154" s="116" t="n">
        <v>30</v>
      </c>
      <c r="CC154" s="181" t="n">
        <v>30</v>
      </c>
      <c r="CD154" s="181" t="n">
        <v>30</v>
      </c>
      <c r="CE154" s="117" t="n">
        <v>1</v>
      </c>
    </row>
    <row r="155" customFormat="false" ht="12.75" hidden="false" customHeight="false" outlineLevel="0" collapsed="false">
      <c r="A155" s="0" t="n">
        <f aca="true">IF(ISERROR(MATCH(D155,iRefDt,0)),"",MATCH(D155,iRefDt,0))</f>
        <v>155</v>
      </c>
      <c r="B155" s="92" t="n">
        <f aca="false">MATCH(YEAR(D155),iSpreads)</f>
        <v>11</v>
      </c>
      <c r="C155" s="0" t="n">
        <f aca="false">MONTH(D155)</f>
        <v>3</v>
      </c>
      <c r="D155" s="93" t="n">
        <f aca="false">DATE(YEAR(D154),MONTH(D154)+1,1)</f>
        <v>40603</v>
      </c>
      <c r="E155" s="94" t="n">
        <f aca="false">VLOOKUP($D155,tblPriorPrice,2)</f>
        <v>29</v>
      </c>
      <c r="F155" s="190" t="n">
        <f aca="false">G155-E155</f>
        <v>0</v>
      </c>
      <c r="G155" s="190" t="n">
        <f aca="true">G143+OFFSET($CG$4,$B155,$C155)</f>
        <v>29</v>
      </c>
      <c r="H155" s="96" t="n">
        <f aca="true">G155+OFFSET($CU$4,$B155,$C155)</f>
        <v>24</v>
      </c>
      <c r="I155" s="96" t="n">
        <f aca="true">G155+OFFSET($DI$4,$B155,$C155)</f>
        <v>54</v>
      </c>
      <c r="J155" s="94" t="n">
        <f aca="false">VLOOKUP($D155,tblPriorPrice,3)</f>
        <v>29</v>
      </c>
      <c r="K155" s="190" t="n">
        <f aca="false">L155-J155</f>
        <v>0</v>
      </c>
      <c r="L155" s="190" t="n">
        <f aca="true">L143+OFFSET($CG$27,$B155,$C155)</f>
        <v>29</v>
      </c>
      <c r="M155" s="96" t="n">
        <f aca="true">$L155+OFFSET($CU$27,$B155,$C155)</f>
        <v>24</v>
      </c>
      <c r="N155" s="97" t="n">
        <f aca="true">$L155+OFFSET($DI$27,$B155,$C155)</f>
        <v>44</v>
      </c>
      <c r="O155" s="59" t="n">
        <f aca="true">IF($A155="",0,INDEX(tblPosn,$A155,2))</f>
        <v>107518.2890625</v>
      </c>
      <c r="P155" s="59" t="n">
        <f aca="true">IF($A155="",0,INDEX(tblPosn,$A155,3))</f>
        <v>72457.9765625</v>
      </c>
      <c r="Q155" s="59" t="n">
        <f aca="true">IF($A155="",0,INDEX(tblPosn,$A155,4))</f>
        <v>18698.833984375</v>
      </c>
      <c r="R155" s="59" t="n">
        <f aca="true">IF($A155="",0,INDEX(tblPosn,$A155,5))</f>
        <v>18698.833984375</v>
      </c>
      <c r="S155" s="59" t="n">
        <f aca="true">IF($A155="",0,INDEX(tblPosn,$A155,6))</f>
        <v>0</v>
      </c>
      <c r="T155" s="98" t="n">
        <f aca="false">O155*F155+P155*K155+R155*AC155+S155*AH155/0.72+Q155*X155</f>
        <v>0</v>
      </c>
      <c r="V155" s="161" t="n">
        <f aca="false">D155</f>
        <v>40603</v>
      </c>
      <c r="W155" s="94" t="n">
        <f aca="false">VLOOKUP($D155,tblPriorPrice,4)</f>
        <v>29</v>
      </c>
      <c r="X155" s="95" t="n">
        <f aca="false">Y155-W155</f>
        <v>0</v>
      </c>
      <c r="Y155" s="191" t="n">
        <f aca="true">Y143+OFFSET($CG$50,$B155,$C155)</f>
        <v>29</v>
      </c>
      <c r="Z155" s="96" t="n">
        <f aca="true">Y155+OFFSET($CU$51,$B155,$C155)</f>
        <v>24</v>
      </c>
      <c r="AA155" s="177" t="n">
        <f aca="true">Y155+OFFSET($DI$51,$B155,$C155)</f>
        <v>55</v>
      </c>
      <c r="AB155" s="94" t="n">
        <f aca="false">VLOOKUP($D155,tblPriorPrice,5)</f>
        <v>29</v>
      </c>
      <c r="AC155" s="190" t="n">
        <f aca="false">AD155-AB155</f>
        <v>0</v>
      </c>
      <c r="AD155" s="191" t="n">
        <f aca="true">AD143+OFFSET($CG$73,$B155,$C155)</f>
        <v>29</v>
      </c>
      <c r="AE155" s="96" t="n">
        <f aca="true">AD155+OFFSET($CU$74,$B155,$C155)</f>
        <v>24</v>
      </c>
      <c r="AF155" s="177" t="n">
        <f aca="true">AD155+OFFSET($DI$74,$B155,$C155)</f>
        <v>55</v>
      </c>
      <c r="AG155" s="94" t="n">
        <f aca="false">VLOOKUP($D155,tblPriorPrice,6)</f>
        <v>1</v>
      </c>
      <c r="AH155" s="190" t="n">
        <f aca="false">AI155-AG155</f>
        <v>0</v>
      </c>
      <c r="AI155" s="191" t="n">
        <f aca="true">AI143+OFFSET($CG$96,$B155,$C155)</f>
        <v>1</v>
      </c>
      <c r="AJ155" s="96" t="n">
        <f aca="true">AI155+OFFSET($CU$96,$B155,$C155)</f>
        <v>1</v>
      </c>
      <c r="AK155" s="97" t="n">
        <f aca="true">AI155+OFFSET($DI$96,$B155,$C155)</f>
        <v>1</v>
      </c>
      <c r="AL155" s="178" t="n">
        <v>42</v>
      </c>
      <c r="AM155" s="165" t="n">
        <v>0.4</v>
      </c>
      <c r="AN155" s="167" t="n">
        <f aca="false">'[3]Pricing Summary'!$AM133</f>
        <v>0.18</v>
      </c>
      <c r="AO155" s="167" t="n">
        <f aca="false">0.9*AN155</f>
        <v>0.162</v>
      </c>
      <c r="AP155" s="166" t="n">
        <f aca="false">1.5*AN155</f>
        <v>0.27</v>
      </c>
      <c r="AQ155" s="167" t="n">
        <f aca="false">AN155</f>
        <v>0.18</v>
      </c>
      <c r="AR155" s="166" t="n">
        <f aca="false">0.8*AQ155</f>
        <v>0.144</v>
      </c>
      <c r="AS155" s="166" t="n">
        <f aca="false">1.2*AQ155</f>
        <v>0.216</v>
      </c>
      <c r="AT155" s="169" t="n">
        <f aca="false">IF(G155&lt;110,17.94063*(LN(G155/100))+6.727568*(LN(G155/100)^2)+15.06494,(-4.1*G155+2135)/100)*0.5</f>
        <v>1.58278405940532</v>
      </c>
      <c r="AU155" s="169" t="n">
        <f aca="false">(0.75*AT155-AT155)</f>
        <v>-0.395696014851329</v>
      </c>
      <c r="AV155" s="166" t="n">
        <f aca="false">AT155/0.5*1.25-AT155</f>
        <v>2.37417608910797</v>
      </c>
      <c r="AW155" s="168" t="n">
        <f aca="false">IF(L155&lt;15,(15*L155+375)/100,(-4.71*L155+670.65)/100)*0.5</f>
        <v>2.6703</v>
      </c>
      <c r="AX155" s="166" t="n">
        <f aca="false">0.75*AW155-AW155</f>
        <v>-0.667575</v>
      </c>
      <c r="AY155" s="166" t="n">
        <f aca="false">AW155/0.5*1.25-AW155</f>
        <v>4.00545</v>
      </c>
      <c r="AZ155" s="167" t="n">
        <v>0.5</v>
      </c>
      <c r="BA155" s="74"/>
      <c r="BQ155" s="108" t="n">
        <v>36907.7428240741</v>
      </c>
      <c r="BR155" s="109" t="n">
        <v>36907.743287037</v>
      </c>
      <c r="BS155" s="110" t="n">
        <v>40544</v>
      </c>
      <c r="BT155" s="111" t="n">
        <v>99180.8828125</v>
      </c>
      <c r="BU155" s="112" t="n">
        <v>73204.9375</v>
      </c>
      <c r="BV155" s="112" t="n">
        <v>18891.59765625</v>
      </c>
      <c r="BW155" s="112" t="n">
        <v>28337.39453125</v>
      </c>
      <c r="BX155" s="113" t="n">
        <v>0</v>
      </c>
      <c r="BZ155" s="110" t="n">
        <v>40603</v>
      </c>
      <c r="CA155" s="185" t="n">
        <v>29</v>
      </c>
      <c r="CB155" s="116" t="n">
        <v>29</v>
      </c>
      <c r="CC155" s="181" t="n">
        <v>29</v>
      </c>
      <c r="CD155" s="181" t="n">
        <v>29</v>
      </c>
      <c r="CE155" s="117" t="n">
        <v>1</v>
      </c>
    </row>
    <row r="156" customFormat="false" ht="12.75" hidden="false" customHeight="false" outlineLevel="0" collapsed="false">
      <c r="A156" s="0" t="n">
        <f aca="true">IF(ISERROR(MATCH(D156,iRefDt,0)),"",MATCH(D156,iRefDt,0))</f>
        <v>156</v>
      </c>
      <c r="B156" s="92" t="n">
        <f aca="false">MATCH(YEAR(D156),iSpreads)</f>
        <v>11</v>
      </c>
      <c r="C156" s="0" t="n">
        <f aca="false">MONTH(D156)</f>
        <v>4</v>
      </c>
      <c r="D156" s="93" t="n">
        <f aca="false">DATE(YEAR(D155),MONTH(D155)+1,1)</f>
        <v>40634</v>
      </c>
      <c r="E156" s="94" t="n">
        <f aca="false">VLOOKUP($D156,tblPriorPrice,2)</f>
        <v>29</v>
      </c>
      <c r="F156" s="190" t="n">
        <f aca="false">G156-E156</f>
        <v>0</v>
      </c>
      <c r="G156" s="190" t="n">
        <f aca="true">G144+OFFSET($CG$4,$B156,$C156)</f>
        <v>29</v>
      </c>
      <c r="H156" s="96" t="n">
        <f aca="true">G156+OFFSET($CU$4,$B156,$C156)</f>
        <v>24</v>
      </c>
      <c r="I156" s="96" t="n">
        <f aca="true">G156+OFFSET($DI$4,$B156,$C156)</f>
        <v>54</v>
      </c>
      <c r="J156" s="94" t="n">
        <f aca="false">VLOOKUP($D156,tblPriorPrice,3)</f>
        <v>29</v>
      </c>
      <c r="K156" s="190" t="n">
        <f aca="false">L156-J156</f>
        <v>0</v>
      </c>
      <c r="L156" s="190" t="n">
        <f aca="true">L144+OFFSET($CG$27,$B156,$C156)</f>
        <v>29</v>
      </c>
      <c r="M156" s="96" t="n">
        <f aca="true">$L156+OFFSET($CU$27,$B156,$C156)</f>
        <v>24</v>
      </c>
      <c r="N156" s="97" t="n">
        <f aca="true">$L156+OFFSET($DI$27,$B156,$C156)</f>
        <v>44</v>
      </c>
      <c r="O156" s="59" t="n">
        <f aca="true">IF($A156="",0,INDEX(tblPosn,$A156,2))</f>
        <v>97655.3359375</v>
      </c>
      <c r="P156" s="59" t="n">
        <f aca="true">IF($A156="",0,INDEX(tblPosn,$A156,3))</f>
        <v>69463.171875</v>
      </c>
      <c r="Q156" s="59" t="n">
        <f aca="true">IF($A156="",0,INDEX(tblPosn,$A156,4))</f>
        <v>23251.26953125</v>
      </c>
      <c r="R156" s="59" t="n">
        <f aca="true">IF($A156="",0,INDEX(tblPosn,$A156,5))</f>
        <v>18601.015625</v>
      </c>
      <c r="S156" s="59" t="n">
        <f aca="true">IF($A156="",0,INDEX(tblPosn,$A156,6))</f>
        <v>0</v>
      </c>
      <c r="T156" s="98" t="n">
        <f aca="false">O156*F156+P156*K156+R156*AC156+S156*AH156/0.72+Q156*X156</f>
        <v>0</v>
      </c>
      <c r="V156" s="161" t="n">
        <f aca="false">D156</f>
        <v>40634</v>
      </c>
      <c r="W156" s="94" t="n">
        <f aca="false">VLOOKUP($D156,tblPriorPrice,4)</f>
        <v>29</v>
      </c>
      <c r="X156" s="95" t="n">
        <f aca="false">Y156-W156</f>
        <v>0</v>
      </c>
      <c r="Y156" s="191" t="n">
        <f aca="true">Y144+OFFSET($CG$50,$B156,$C156)</f>
        <v>29</v>
      </c>
      <c r="Z156" s="96" t="n">
        <f aca="true">Y156+OFFSET($CU$51,$B156,$C156)</f>
        <v>24</v>
      </c>
      <c r="AA156" s="177" t="n">
        <f aca="true">Y156+OFFSET($DI$51,$B156,$C156)</f>
        <v>55</v>
      </c>
      <c r="AB156" s="94" t="n">
        <f aca="false">VLOOKUP($D156,tblPriorPrice,5)</f>
        <v>29</v>
      </c>
      <c r="AC156" s="190" t="n">
        <f aca="false">AD156-AB156</f>
        <v>0</v>
      </c>
      <c r="AD156" s="191" t="n">
        <f aca="true">AD144+OFFSET($CG$73,$B156,$C156)</f>
        <v>29</v>
      </c>
      <c r="AE156" s="96" t="n">
        <f aca="true">AD156+OFFSET($CU$74,$B156,$C156)</f>
        <v>24</v>
      </c>
      <c r="AF156" s="177" t="n">
        <f aca="true">AD156+OFFSET($DI$74,$B156,$C156)</f>
        <v>55</v>
      </c>
      <c r="AG156" s="94" t="n">
        <f aca="false">VLOOKUP($D156,tblPriorPrice,6)</f>
        <v>1</v>
      </c>
      <c r="AH156" s="190" t="n">
        <f aca="false">AI156-AG156</f>
        <v>0</v>
      </c>
      <c r="AI156" s="191" t="n">
        <f aca="true">AI144+OFFSET($CG$96,$B156,$C156)</f>
        <v>1</v>
      </c>
      <c r="AJ156" s="96" t="n">
        <f aca="true">AI156+OFFSET($CU$96,$B156,$C156)</f>
        <v>1</v>
      </c>
      <c r="AK156" s="97" t="n">
        <f aca="true">AI156+OFFSET($DI$96,$B156,$C156)</f>
        <v>1</v>
      </c>
      <c r="AL156" s="178" t="n">
        <v>42</v>
      </c>
      <c r="AM156" s="165" t="n">
        <v>0.4</v>
      </c>
      <c r="AN156" s="167" t="n">
        <f aca="false">'[3]Pricing Summary'!$AM134</f>
        <v>0.18</v>
      </c>
      <c r="AO156" s="167" t="n">
        <f aca="false">0.9*AN156</f>
        <v>0.162</v>
      </c>
      <c r="AP156" s="166" t="n">
        <f aca="false">1.5*AN156</f>
        <v>0.27</v>
      </c>
      <c r="AQ156" s="167" t="n">
        <f aca="false">AN156</f>
        <v>0.18</v>
      </c>
      <c r="AR156" s="166" t="n">
        <f aca="false">0.8*AQ156</f>
        <v>0.144</v>
      </c>
      <c r="AS156" s="166" t="n">
        <f aca="false">1.2*AQ156</f>
        <v>0.216</v>
      </c>
      <c r="AT156" s="169" t="n">
        <f aca="false">IF(G156&lt;110,17.94063*(LN(G156/100))+6.727568*(LN(G156/100)^2)+15.06494,(-4.1*G156+2135)/100)*0.5</f>
        <v>1.58278405940532</v>
      </c>
      <c r="AU156" s="169" t="n">
        <f aca="false">(0.75*AT156-AT156)</f>
        <v>-0.395696014851329</v>
      </c>
      <c r="AV156" s="166" t="n">
        <f aca="false">AT156/0.5*1.25-AT156</f>
        <v>2.37417608910797</v>
      </c>
      <c r="AW156" s="168" t="n">
        <f aca="false">IF(L156&lt;15,(15*L156+375)/100,(-4.71*L156+670.65)/100)*0.5</f>
        <v>2.6703</v>
      </c>
      <c r="AX156" s="166" t="n">
        <f aca="false">0.75*AW156-AW156</f>
        <v>-0.667575</v>
      </c>
      <c r="AY156" s="166" t="n">
        <f aca="false">AW156/0.5*1.25-AW156</f>
        <v>4.00545</v>
      </c>
      <c r="AZ156" s="167" t="n">
        <v>0.5</v>
      </c>
      <c r="BA156" s="74"/>
      <c r="BQ156" s="108" t="n">
        <v>36907.7428240741</v>
      </c>
      <c r="BR156" s="109" t="n">
        <v>36907.743287037</v>
      </c>
      <c r="BS156" s="110" t="n">
        <v>40575</v>
      </c>
      <c r="BT156" s="111" t="n">
        <v>93999.5859375</v>
      </c>
      <c r="BU156" s="112" t="n">
        <v>65799.71875</v>
      </c>
      <c r="BV156" s="112" t="n">
        <v>18799.91796875</v>
      </c>
      <c r="BW156" s="112" t="n">
        <v>18799.91796875</v>
      </c>
      <c r="BX156" s="113" t="n">
        <v>0</v>
      </c>
      <c r="BZ156" s="110" t="n">
        <v>40634</v>
      </c>
      <c r="CA156" s="185" t="n">
        <v>29</v>
      </c>
      <c r="CB156" s="116" t="n">
        <v>29</v>
      </c>
      <c r="CC156" s="181" t="n">
        <v>29</v>
      </c>
      <c r="CD156" s="181" t="n">
        <v>29</v>
      </c>
      <c r="CE156" s="117" t="n">
        <v>1</v>
      </c>
    </row>
    <row r="157" customFormat="false" ht="12.75" hidden="false" customHeight="false" outlineLevel="0" collapsed="false">
      <c r="A157" s="0" t="n">
        <f aca="true">IF(ISERROR(MATCH(D157,iRefDt,0)),"",MATCH(D157,iRefDt,0))</f>
        <v>157</v>
      </c>
      <c r="B157" s="92" t="n">
        <f aca="false">MATCH(YEAR(D157),iSpreads)</f>
        <v>11</v>
      </c>
      <c r="C157" s="0" t="n">
        <f aca="false">MONTH(D157)</f>
        <v>5</v>
      </c>
      <c r="D157" s="93" t="n">
        <f aca="false">DATE(YEAR(D156),MONTH(D156)+1,1)</f>
        <v>40664</v>
      </c>
      <c r="E157" s="94" t="n">
        <f aca="false">VLOOKUP($D157,tblPriorPrice,2)</f>
        <v>32</v>
      </c>
      <c r="F157" s="190" t="n">
        <f aca="false">G157-E157</f>
        <v>0</v>
      </c>
      <c r="G157" s="190" t="n">
        <f aca="true">G145+OFFSET($CG$4,$B157,$C157)</f>
        <v>32</v>
      </c>
      <c r="H157" s="96" t="n">
        <f aca="true">G157+OFFSET($CU$4,$B157,$C157)</f>
        <v>27</v>
      </c>
      <c r="I157" s="96" t="n">
        <f aca="true">G157+OFFSET($DI$4,$B157,$C157)</f>
        <v>57</v>
      </c>
      <c r="J157" s="94" t="n">
        <f aca="false">VLOOKUP($D157,tblPriorPrice,3)</f>
        <v>32</v>
      </c>
      <c r="K157" s="190" t="n">
        <f aca="false">L157-J157</f>
        <v>0</v>
      </c>
      <c r="L157" s="190" t="n">
        <f aca="true">L145+OFFSET($CG$27,$B157,$C157)</f>
        <v>32</v>
      </c>
      <c r="M157" s="96" t="n">
        <f aca="true">$L157+OFFSET($CU$27,$B157,$C157)</f>
        <v>27</v>
      </c>
      <c r="N157" s="97" t="n">
        <f aca="true">$L157+OFFSET($DI$27,$B157,$C157)</f>
        <v>47</v>
      </c>
      <c r="O157" s="59" t="n">
        <f aca="true">IF($A157="",0,INDEX(tblPosn,$A157,2))</f>
        <v>97131.3125</v>
      </c>
      <c r="P157" s="59" t="n">
        <f aca="true">IF($A157="",0,INDEX(tblPosn,$A157,3))</f>
        <v>71692.15625</v>
      </c>
      <c r="Q157" s="59" t="n">
        <f aca="true">IF($A157="",0,INDEX(tblPosn,$A157,4))</f>
        <v>18501.203125</v>
      </c>
      <c r="R157" s="59" t="n">
        <f aca="true">IF($A157="",0,INDEX(tblPosn,$A157,5))</f>
        <v>27751.8046875</v>
      </c>
      <c r="S157" s="59" t="n">
        <f aca="true">IF($A157="",0,INDEX(tblPosn,$A157,6))</f>
        <v>0</v>
      </c>
      <c r="T157" s="98" t="n">
        <f aca="false">O157*F157+P157*K157+R157*AC157+S157*AH157/0.72+Q157*X157</f>
        <v>0</v>
      </c>
      <c r="V157" s="161" t="n">
        <f aca="false">D157</f>
        <v>40664</v>
      </c>
      <c r="W157" s="94" t="n">
        <f aca="false">VLOOKUP($D157,tblPriorPrice,4)</f>
        <v>32</v>
      </c>
      <c r="X157" s="95" t="n">
        <f aca="false">Y157-W157</f>
        <v>0</v>
      </c>
      <c r="Y157" s="191" t="n">
        <f aca="true">Y145+OFFSET($CG$50,$B157,$C157)</f>
        <v>32</v>
      </c>
      <c r="Z157" s="96" t="n">
        <f aca="true">Y157+OFFSET($CU$51,$B157,$C157)</f>
        <v>27</v>
      </c>
      <c r="AA157" s="177" t="n">
        <f aca="true">Y157+OFFSET($DI$51,$B157,$C157)</f>
        <v>58</v>
      </c>
      <c r="AB157" s="94" t="n">
        <f aca="false">VLOOKUP($D157,tblPriorPrice,5)</f>
        <v>32</v>
      </c>
      <c r="AC157" s="190" t="n">
        <f aca="false">AD157-AB157</f>
        <v>0</v>
      </c>
      <c r="AD157" s="191" t="n">
        <f aca="true">AD145+OFFSET($CG$73,$B157,$C157)</f>
        <v>32</v>
      </c>
      <c r="AE157" s="96" t="n">
        <f aca="true">AD157+OFFSET($CU$74,$B157,$C157)</f>
        <v>27</v>
      </c>
      <c r="AF157" s="177" t="n">
        <f aca="true">AD157+OFFSET($DI$74,$B157,$C157)</f>
        <v>58</v>
      </c>
      <c r="AG157" s="94" t="n">
        <f aca="false">VLOOKUP($D157,tblPriorPrice,6)</f>
        <v>1</v>
      </c>
      <c r="AH157" s="190" t="n">
        <f aca="false">AI157-AG157</f>
        <v>0</v>
      </c>
      <c r="AI157" s="191" t="n">
        <f aca="true">AI145+OFFSET($CG$96,$B157,$C157)</f>
        <v>1</v>
      </c>
      <c r="AJ157" s="96" t="n">
        <f aca="true">AI157+OFFSET($CU$96,$B157,$C157)</f>
        <v>1</v>
      </c>
      <c r="AK157" s="97" t="n">
        <f aca="true">AI157+OFFSET($DI$96,$B157,$C157)</f>
        <v>1</v>
      </c>
      <c r="AL157" s="178" t="n">
        <v>42</v>
      </c>
      <c r="AM157" s="165" t="n">
        <v>0.4</v>
      </c>
      <c r="AN157" s="167" t="n">
        <f aca="false">'[3]Pricing Summary'!$AM135</f>
        <v>0.18</v>
      </c>
      <c r="AO157" s="167" t="n">
        <f aca="false">0.9*AN157</f>
        <v>0.162</v>
      </c>
      <c r="AP157" s="166" t="n">
        <f aca="false">1.5*AN157</f>
        <v>0.27</v>
      </c>
      <c r="AQ157" s="167" t="n">
        <f aca="false">AN157</f>
        <v>0.18</v>
      </c>
      <c r="AR157" s="166" t="n">
        <f aca="false">0.8*AQ157</f>
        <v>0.144</v>
      </c>
      <c r="AS157" s="166" t="n">
        <f aca="false">1.2*AQ157</f>
        <v>0.216</v>
      </c>
      <c r="AT157" s="169" t="n">
        <f aca="false">IF(G157&lt;110,17.94063*(LN(G157/100))+6.727568*(LN(G157/100)^2)+15.06494,(-4.1*G157+2135)/100)*0.5</f>
        <v>1.67862159684781</v>
      </c>
      <c r="AU157" s="169" t="n">
        <f aca="false">(0.75*AT157-AT157)</f>
        <v>-0.419655399211954</v>
      </c>
      <c r="AV157" s="166" t="n">
        <f aca="false">AT157/0.5*1.25-AT157</f>
        <v>2.51793239527172</v>
      </c>
      <c r="AW157" s="168" t="n">
        <f aca="false">IF(L157&lt;15,(15*L157+375)/100,(-4.71*L157+670.65)/100)*0.5</f>
        <v>2.59965</v>
      </c>
      <c r="AX157" s="166" t="n">
        <f aca="false">0.75*AW157-AW157</f>
        <v>-0.6499125</v>
      </c>
      <c r="AY157" s="166" t="n">
        <f aca="false">AW157/0.5*1.25-AW157</f>
        <v>3.899475</v>
      </c>
      <c r="AZ157" s="167" t="n">
        <v>0.5</v>
      </c>
      <c r="BA157" s="74"/>
      <c r="BQ157" s="108" t="n">
        <v>36907.7428240741</v>
      </c>
      <c r="BR157" s="109" t="n">
        <v>36907.743287037</v>
      </c>
      <c r="BS157" s="110" t="n">
        <v>40603</v>
      </c>
      <c r="BT157" s="111" t="n">
        <v>107518.2890625</v>
      </c>
      <c r="BU157" s="112" t="n">
        <v>72457.9765625</v>
      </c>
      <c r="BV157" s="112" t="n">
        <v>18698.833984375</v>
      </c>
      <c r="BW157" s="112" t="n">
        <v>18698.833984375</v>
      </c>
      <c r="BX157" s="113" t="n">
        <v>0</v>
      </c>
      <c r="BZ157" s="110" t="n">
        <v>40664</v>
      </c>
      <c r="CA157" s="185" t="n">
        <v>32</v>
      </c>
      <c r="CB157" s="116" t="n">
        <v>32</v>
      </c>
      <c r="CC157" s="181" t="n">
        <v>32</v>
      </c>
      <c r="CD157" s="181" t="n">
        <v>32</v>
      </c>
      <c r="CE157" s="117" t="n">
        <v>1</v>
      </c>
    </row>
    <row r="158" customFormat="false" ht="12.75" hidden="false" customHeight="false" outlineLevel="0" collapsed="false">
      <c r="A158" s="0" t="n">
        <f aca="true">IF(ISERROR(MATCH(D158,iRefDt,0)),"",MATCH(D158,iRefDt,0))</f>
        <v>158</v>
      </c>
      <c r="B158" s="92" t="n">
        <f aca="false">MATCH(YEAR(D158),iSpreads)</f>
        <v>11</v>
      </c>
      <c r="C158" s="0" t="n">
        <f aca="false">MONTH(D158)</f>
        <v>6</v>
      </c>
      <c r="D158" s="93" t="n">
        <f aca="false">DATE(YEAR(D157),MONTH(D157)+1,1)</f>
        <v>40695</v>
      </c>
      <c r="E158" s="94" t="n">
        <f aca="false">VLOOKUP($D158,tblPriorPrice,2)</f>
        <v>39</v>
      </c>
      <c r="F158" s="190" t="n">
        <f aca="false">G158-E158</f>
        <v>0</v>
      </c>
      <c r="G158" s="190" t="n">
        <f aca="true">G146+OFFSET($CG$4,$B158,$C158)</f>
        <v>39</v>
      </c>
      <c r="H158" s="96" t="n">
        <f aca="true">G158+OFFSET($CU$4,$B158,$C158)</f>
        <v>34</v>
      </c>
      <c r="I158" s="96" t="n">
        <f aca="true">G158+OFFSET($DI$4,$B158,$C158)</f>
        <v>64</v>
      </c>
      <c r="J158" s="94" t="n">
        <f aca="false">VLOOKUP($D158,tblPriorPrice,3)</f>
        <v>39</v>
      </c>
      <c r="K158" s="190" t="n">
        <f aca="false">L158-J158</f>
        <v>0</v>
      </c>
      <c r="L158" s="190" t="n">
        <f aca="true">L146+OFFSET($CG$27,$B158,$C158)</f>
        <v>39</v>
      </c>
      <c r="M158" s="96" t="n">
        <f aca="true">$L158+OFFSET($CU$27,$B158,$C158)</f>
        <v>34</v>
      </c>
      <c r="N158" s="97" t="n">
        <f aca="true">$L158+OFFSET($DI$27,$B158,$C158)</f>
        <v>54</v>
      </c>
      <c r="O158" s="59" t="n">
        <f aca="true">IF($A158="",0,INDEX(tblPosn,$A158,2))</f>
        <v>101227.6796875</v>
      </c>
      <c r="P158" s="59" t="n">
        <f aca="true">IF($A158="",0,INDEX(tblPosn,$A158,3))</f>
        <v>69018.875</v>
      </c>
      <c r="Q158" s="59" t="n">
        <f aca="true">IF($A158="",0,INDEX(tblPosn,$A158,4))</f>
        <v>18405.033203125</v>
      </c>
      <c r="R158" s="59" t="n">
        <f aca="true">IF($A158="",0,INDEX(tblPosn,$A158,5))</f>
        <v>18405.033203125</v>
      </c>
      <c r="S158" s="59" t="n">
        <f aca="true">IF($A158="",0,INDEX(tblPosn,$A158,6))</f>
        <v>0</v>
      </c>
      <c r="T158" s="98" t="n">
        <f aca="false">O158*F158+P158*K158+R158*AC158+S158*AH158/0.72+Q158*X158</f>
        <v>0</v>
      </c>
      <c r="V158" s="161" t="n">
        <f aca="false">D158</f>
        <v>40695</v>
      </c>
      <c r="W158" s="94" t="n">
        <f aca="false">VLOOKUP($D158,tblPriorPrice,4)</f>
        <v>39</v>
      </c>
      <c r="X158" s="95" t="n">
        <f aca="false">Y158-W158</f>
        <v>0</v>
      </c>
      <c r="Y158" s="191" t="n">
        <f aca="true">Y146+OFFSET($CG$50,$B158,$C158)</f>
        <v>39</v>
      </c>
      <c r="Z158" s="96" t="n">
        <f aca="true">Y158+OFFSET($CU$51,$B158,$C158)</f>
        <v>34</v>
      </c>
      <c r="AA158" s="177" t="n">
        <f aca="true">Y158+OFFSET($DI$51,$B158,$C158)</f>
        <v>65</v>
      </c>
      <c r="AB158" s="94" t="n">
        <f aca="false">VLOOKUP($D158,tblPriorPrice,5)</f>
        <v>39</v>
      </c>
      <c r="AC158" s="190" t="n">
        <f aca="false">AD158-AB158</f>
        <v>0</v>
      </c>
      <c r="AD158" s="191" t="n">
        <f aca="true">AD146+OFFSET($CG$73,$B158,$C158)</f>
        <v>39</v>
      </c>
      <c r="AE158" s="96" t="n">
        <f aca="true">AD158+OFFSET($CU$74,$B158,$C158)</f>
        <v>34</v>
      </c>
      <c r="AF158" s="177" t="n">
        <f aca="true">AD158+OFFSET($DI$74,$B158,$C158)</f>
        <v>65</v>
      </c>
      <c r="AG158" s="94" t="n">
        <f aca="false">VLOOKUP($D158,tblPriorPrice,6)</f>
        <v>1</v>
      </c>
      <c r="AH158" s="190" t="n">
        <f aca="false">AI158-AG158</f>
        <v>0</v>
      </c>
      <c r="AI158" s="191" t="n">
        <f aca="true">AI146+OFFSET($CG$96,$B158,$C158)</f>
        <v>1</v>
      </c>
      <c r="AJ158" s="96" t="n">
        <f aca="true">AI158+OFFSET($CU$96,$B158,$C158)</f>
        <v>1</v>
      </c>
      <c r="AK158" s="97" t="n">
        <f aca="true">AI158+OFFSET($DI$96,$B158,$C158)</f>
        <v>1</v>
      </c>
      <c r="AL158" s="178" t="n">
        <v>43</v>
      </c>
      <c r="AM158" s="165" t="n">
        <v>0.4</v>
      </c>
      <c r="AN158" s="167" t="n">
        <f aca="false">'[3]Pricing Summary'!$AM136</f>
        <v>0.18</v>
      </c>
      <c r="AO158" s="167" t="n">
        <f aca="false">0.9*AN158</f>
        <v>0.162</v>
      </c>
      <c r="AP158" s="166" t="n">
        <f aca="false">1.5*AN158</f>
        <v>0.27</v>
      </c>
      <c r="AQ158" s="167" t="n">
        <f aca="false">AN158</f>
        <v>0.18</v>
      </c>
      <c r="AR158" s="166" t="n">
        <f aca="false">0.8*AQ158</f>
        <v>0.144</v>
      </c>
      <c r="AS158" s="166" t="n">
        <f aca="false">1.2*AQ158</f>
        <v>0.216</v>
      </c>
      <c r="AT158" s="169" t="n">
        <f aca="false">IF(G158&lt;110,17.94063*(LN(G158/100))+6.727568*(LN(G158/100)^2)+15.06494,(-4.1*G158+2135)/100)*0.5</f>
        <v>2.06836530423771</v>
      </c>
      <c r="AU158" s="169" t="n">
        <f aca="false">(0.75*AT158-AT158)</f>
        <v>-0.517091326059428</v>
      </c>
      <c r="AV158" s="166" t="n">
        <f aca="false">AT158/0.5*1.25-AT158</f>
        <v>3.10254795635657</v>
      </c>
      <c r="AW158" s="168" t="n">
        <f aca="false">IF(L158&lt;15,(15*L158+375)/100,(-4.71*L158+670.65)/100)*0.5</f>
        <v>2.4348</v>
      </c>
      <c r="AX158" s="166" t="n">
        <f aca="false">0.75*AW158-AW158</f>
        <v>-0.6087</v>
      </c>
      <c r="AY158" s="166" t="n">
        <f aca="false">AW158/0.5*1.25-AW158</f>
        <v>3.6522</v>
      </c>
      <c r="AZ158" s="167" t="n">
        <v>0.5</v>
      </c>
      <c r="BA158" s="74"/>
      <c r="BQ158" s="108" t="n">
        <v>36907.7428240741</v>
      </c>
      <c r="BR158" s="109" t="n">
        <v>36907.743287037</v>
      </c>
      <c r="BS158" s="110" t="n">
        <v>40634</v>
      </c>
      <c r="BT158" s="111" t="n">
        <v>97655.3359375</v>
      </c>
      <c r="BU158" s="112" t="n">
        <v>69463.171875</v>
      </c>
      <c r="BV158" s="112" t="n">
        <v>23251.26953125</v>
      </c>
      <c r="BW158" s="112" t="n">
        <v>18601.015625</v>
      </c>
      <c r="BX158" s="113" t="n">
        <v>0</v>
      </c>
      <c r="BZ158" s="110" t="n">
        <v>40695</v>
      </c>
      <c r="CA158" s="185" t="n">
        <v>39</v>
      </c>
      <c r="CB158" s="116" t="n">
        <v>39</v>
      </c>
      <c r="CC158" s="181" t="n">
        <v>39</v>
      </c>
      <c r="CD158" s="181" t="n">
        <v>39</v>
      </c>
      <c r="CE158" s="117" t="n">
        <v>1</v>
      </c>
    </row>
    <row r="159" customFormat="false" ht="12.75" hidden="false" customHeight="false" outlineLevel="0" collapsed="false">
      <c r="A159" s="0" t="n">
        <f aca="true">IF(ISERROR(MATCH(D159,iRefDt,0)),"",MATCH(D159,iRefDt,0))</f>
        <v>159</v>
      </c>
      <c r="B159" s="92" t="n">
        <f aca="false">MATCH(YEAR(D159),iSpreads)</f>
        <v>11</v>
      </c>
      <c r="C159" s="0" t="n">
        <f aca="false">MONTH(D159)</f>
        <v>7</v>
      </c>
      <c r="D159" s="93" t="n">
        <f aca="false">DATE(YEAR(D158),MONTH(D158)+1,1)</f>
        <v>40725</v>
      </c>
      <c r="E159" s="94" t="n">
        <f aca="false">VLOOKUP($D159,tblPriorPrice,2)</f>
        <v>39</v>
      </c>
      <c r="F159" s="190" t="n">
        <f aca="false">G159-E159</f>
        <v>0</v>
      </c>
      <c r="G159" s="190" t="n">
        <f aca="true">G147+OFFSET($CG$4,$B159,$C159)</f>
        <v>39</v>
      </c>
      <c r="H159" s="96" t="n">
        <f aca="true">G159+OFFSET($CU$4,$B159,$C159)</f>
        <v>34</v>
      </c>
      <c r="I159" s="96" t="n">
        <f aca="true">G159+OFFSET($DI$4,$B159,$C159)</f>
        <v>64</v>
      </c>
      <c r="J159" s="94" t="n">
        <f aca="false">VLOOKUP($D159,tblPriorPrice,3)</f>
        <v>39</v>
      </c>
      <c r="K159" s="190" t="n">
        <f aca="false">L159-J159</f>
        <v>0</v>
      </c>
      <c r="L159" s="190" t="n">
        <f aca="true">L147+OFFSET($CG$27,$B159,$C159)</f>
        <v>39</v>
      </c>
      <c r="M159" s="96" t="n">
        <f aca="true">$L159+OFFSET($CU$27,$B159,$C159)</f>
        <v>34</v>
      </c>
      <c r="N159" s="97" t="n">
        <f aca="true">$L159+OFFSET($DI$27,$B159,$C159)</f>
        <v>54</v>
      </c>
      <c r="O159" s="59" t="n">
        <f aca="true">IF($A159="",0,INDEX(tblPosn,$A159,2))</f>
        <v>91522.234375</v>
      </c>
      <c r="P159" s="59" t="n">
        <f aca="true">IF($A159="",0,INDEX(tblPosn,$A159,3))</f>
        <v>70929.734375</v>
      </c>
      <c r="Q159" s="59" t="n">
        <f aca="true">IF($A159="",0,INDEX(tblPosn,$A159,4))</f>
        <v>22880.55859375</v>
      </c>
      <c r="R159" s="59" t="n">
        <f aca="true">IF($A159="",0,INDEX(tblPosn,$A159,5))</f>
        <v>27456.671875</v>
      </c>
      <c r="S159" s="59" t="n">
        <f aca="true">IF($A159="",0,INDEX(tblPosn,$A159,6))</f>
        <v>0</v>
      </c>
      <c r="T159" s="98" t="n">
        <f aca="false">O159*F159+P159*K159+R159*AC159+S159*AH159/0.72+Q159*X159</f>
        <v>0</v>
      </c>
      <c r="V159" s="161" t="n">
        <f aca="false">D159</f>
        <v>40725</v>
      </c>
      <c r="W159" s="94" t="n">
        <f aca="false">VLOOKUP($D159,tblPriorPrice,4)</f>
        <v>39</v>
      </c>
      <c r="X159" s="95" t="n">
        <f aca="false">Y159-W159</f>
        <v>0</v>
      </c>
      <c r="Y159" s="191" t="n">
        <f aca="true">Y147+OFFSET($CG$50,$B159,$C159)</f>
        <v>39</v>
      </c>
      <c r="Z159" s="96" t="n">
        <f aca="true">Y159+OFFSET($CU$51,$B159,$C159)</f>
        <v>34</v>
      </c>
      <c r="AA159" s="177" t="n">
        <f aca="true">Y159+OFFSET($DI$51,$B159,$C159)</f>
        <v>65</v>
      </c>
      <c r="AB159" s="94" t="n">
        <f aca="false">VLOOKUP($D159,tblPriorPrice,5)</f>
        <v>39</v>
      </c>
      <c r="AC159" s="190" t="n">
        <f aca="false">AD159-AB159</f>
        <v>0</v>
      </c>
      <c r="AD159" s="191" t="n">
        <f aca="true">AD147+OFFSET($CG$73,$B159,$C159)</f>
        <v>39</v>
      </c>
      <c r="AE159" s="96" t="n">
        <f aca="true">AD159+OFFSET($CU$74,$B159,$C159)</f>
        <v>34</v>
      </c>
      <c r="AF159" s="177" t="n">
        <f aca="true">AD159+OFFSET($DI$74,$B159,$C159)</f>
        <v>65</v>
      </c>
      <c r="AG159" s="94" t="n">
        <f aca="false">VLOOKUP($D159,tblPriorPrice,6)</f>
        <v>1</v>
      </c>
      <c r="AH159" s="190" t="n">
        <f aca="false">AI159-AG159</f>
        <v>0</v>
      </c>
      <c r="AI159" s="191" t="n">
        <f aca="true">AI147+OFFSET($CG$96,$B159,$C159)</f>
        <v>1</v>
      </c>
      <c r="AJ159" s="96" t="n">
        <f aca="true">AI159+OFFSET($CU$96,$B159,$C159)</f>
        <v>1</v>
      </c>
      <c r="AK159" s="97" t="n">
        <f aca="true">AI159+OFFSET($DI$96,$B159,$C159)</f>
        <v>1</v>
      </c>
      <c r="AL159" s="178" t="n">
        <v>43</v>
      </c>
      <c r="AM159" s="165" t="n">
        <v>0.4</v>
      </c>
      <c r="AN159" s="167" t="n">
        <f aca="false">'[3]Pricing Summary'!$AM137</f>
        <v>0.18</v>
      </c>
      <c r="AO159" s="167" t="n">
        <f aca="false">0.9*AN159</f>
        <v>0.162</v>
      </c>
      <c r="AP159" s="166" t="n">
        <f aca="false">1.5*AN159</f>
        <v>0.27</v>
      </c>
      <c r="AQ159" s="167" t="n">
        <f aca="false">AN159</f>
        <v>0.18</v>
      </c>
      <c r="AR159" s="166" t="n">
        <f aca="false">0.8*AQ159</f>
        <v>0.144</v>
      </c>
      <c r="AS159" s="166" t="n">
        <f aca="false">1.2*AQ159</f>
        <v>0.216</v>
      </c>
      <c r="AT159" s="169" t="n">
        <f aca="false">IF(G159&lt;110,17.94063*(LN(G159/100))+6.727568*(LN(G159/100)^2)+15.06494,(-4.1*G159+2135)/100)*0.5</f>
        <v>2.06836530423771</v>
      </c>
      <c r="AU159" s="169" t="n">
        <f aca="false">(0.75*AT159-AT159)</f>
        <v>-0.517091326059428</v>
      </c>
      <c r="AV159" s="166" t="n">
        <f aca="false">AT159/0.5*1.25-AT159</f>
        <v>3.10254795635657</v>
      </c>
      <c r="AW159" s="168" t="n">
        <f aca="false">IF(L159&lt;15,(15*L159+375)/100,(-4.71*L159+670.65)/100)*0.5</f>
        <v>2.4348</v>
      </c>
      <c r="AX159" s="166" t="n">
        <f aca="false">0.75*AW159-AW159</f>
        <v>-0.6087</v>
      </c>
      <c r="AY159" s="166" t="n">
        <f aca="false">AW159/0.5*1.25-AW159</f>
        <v>3.6522</v>
      </c>
      <c r="AZ159" s="167" t="n">
        <v>0.5</v>
      </c>
      <c r="BA159" s="74"/>
      <c r="BQ159" s="108" t="n">
        <v>36907.7428240741</v>
      </c>
      <c r="BR159" s="109" t="n">
        <v>36907.743287037</v>
      </c>
      <c r="BS159" s="110" t="n">
        <v>40664</v>
      </c>
      <c r="BT159" s="111" t="n">
        <v>97131.3125</v>
      </c>
      <c r="BU159" s="112" t="n">
        <v>71692.15625</v>
      </c>
      <c r="BV159" s="112" t="n">
        <v>18501.203125</v>
      </c>
      <c r="BW159" s="112" t="n">
        <v>27751.8046875</v>
      </c>
      <c r="BX159" s="113" t="n">
        <v>0</v>
      </c>
      <c r="BZ159" s="110" t="n">
        <v>40725</v>
      </c>
      <c r="CA159" s="185" t="n">
        <v>39</v>
      </c>
      <c r="CB159" s="116" t="n">
        <v>39</v>
      </c>
      <c r="CC159" s="181" t="n">
        <v>39</v>
      </c>
      <c r="CD159" s="181" t="n">
        <v>39</v>
      </c>
      <c r="CE159" s="117" t="n">
        <v>1</v>
      </c>
    </row>
    <row r="160" customFormat="false" ht="12.75" hidden="false" customHeight="false" outlineLevel="0" collapsed="false">
      <c r="A160" s="0" t="n">
        <f aca="true">IF(ISERROR(MATCH(D160,iRefDt,0)),"",MATCH(D160,iRefDt,0))</f>
        <v>160</v>
      </c>
      <c r="B160" s="92" t="n">
        <f aca="false">MATCH(YEAR(D160),iSpreads)</f>
        <v>11</v>
      </c>
      <c r="C160" s="0" t="n">
        <f aca="false">MONTH(D160)</f>
        <v>8</v>
      </c>
      <c r="D160" s="93" t="n">
        <f aca="false">DATE(YEAR(D159),MONTH(D159)+1,1)</f>
        <v>40756</v>
      </c>
      <c r="E160" s="94" t="n">
        <f aca="false">VLOOKUP($D160,tblPriorPrice,2)</f>
        <v>41</v>
      </c>
      <c r="F160" s="190" t="n">
        <f aca="false">G160-E160</f>
        <v>0</v>
      </c>
      <c r="G160" s="190" t="n">
        <f aca="true">G148+OFFSET($CG$4,$B160,$C160)</f>
        <v>41</v>
      </c>
      <c r="H160" s="96" t="n">
        <f aca="true">G160+OFFSET($CU$4,$B160,$C160)</f>
        <v>36</v>
      </c>
      <c r="I160" s="96" t="n">
        <f aca="true">G160+OFFSET($DI$4,$B160,$C160)</f>
        <v>66</v>
      </c>
      <c r="J160" s="94" t="n">
        <f aca="false">VLOOKUP($D160,tblPriorPrice,3)</f>
        <v>41</v>
      </c>
      <c r="K160" s="190" t="n">
        <f aca="false">L160-J160</f>
        <v>0</v>
      </c>
      <c r="L160" s="190" t="n">
        <f aca="true">L148+OFFSET($CG$27,$B160,$C160)</f>
        <v>41</v>
      </c>
      <c r="M160" s="96" t="n">
        <f aca="true">$L160+OFFSET($CU$27,$B160,$C160)</f>
        <v>36</v>
      </c>
      <c r="N160" s="97" t="n">
        <f aca="true">$L160+OFFSET($DI$27,$B160,$C160)</f>
        <v>56</v>
      </c>
      <c r="O160" s="59" t="n">
        <f aca="true">IF($A160="",0,INDEX(tblPosn,$A160,2))</f>
        <v>104688.671875</v>
      </c>
      <c r="P160" s="59" t="n">
        <f aca="true">IF($A160="",0,INDEX(tblPosn,$A160,3))</f>
        <v>70551.0625</v>
      </c>
      <c r="Q160" s="59" t="n">
        <f aca="true">IF($A160="",0,INDEX(tblPosn,$A160,4))</f>
        <v>18206.7265625</v>
      </c>
      <c r="R160" s="59" t="n">
        <f aca="true">IF($A160="",0,INDEX(tblPosn,$A160,5))</f>
        <v>18206.7265625</v>
      </c>
      <c r="S160" s="59" t="n">
        <f aca="true">IF($A160="",0,INDEX(tblPosn,$A160,6))</f>
        <v>0</v>
      </c>
      <c r="T160" s="98" t="n">
        <f aca="false">O160*F160+P160*K160+R160*AC160+S160*AH160/0.72+Q160*X160</f>
        <v>0</v>
      </c>
      <c r="V160" s="161" t="n">
        <f aca="false">D160</f>
        <v>40756</v>
      </c>
      <c r="W160" s="94" t="n">
        <f aca="false">VLOOKUP($D160,tblPriorPrice,4)</f>
        <v>41</v>
      </c>
      <c r="X160" s="95" t="n">
        <f aca="false">Y160-W160</f>
        <v>0</v>
      </c>
      <c r="Y160" s="191" t="n">
        <f aca="true">Y148+OFFSET($CG$50,$B160,$C160)</f>
        <v>41</v>
      </c>
      <c r="Z160" s="96" t="n">
        <f aca="true">Y160+OFFSET($CU$51,$B160,$C160)</f>
        <v>36</v>
      </c>
      <c r="AA160" s="177" t="n">
        <f aca="true">Y160+OFFSET($DI$51,$B160,$C160)</f>
        <v>67</v>
      </c>
      <c r="AB160" s="94" t="n">
        <f aca="false">VLOOKUP($D160,tblPriorPrice,5)</f>
        <v>41</v>
      </c>
      <c r="AC160" s="190" t="n">
        <f aca="false">AD160-AB160</f>
        <v>0</v>
      </c>
      <c r="AD160" s="191" t="n">
        <f aca="true">AD148+OFFSET($CG$73,$B160,$C160)</f>
        <v>41</v>
      </c>
      <c r="AE160" s="96" t="n">
        <f aca="true">AD160+OFFSET($CU$74,$B160,$C160)</f>
        <v>36</v>
      </c>
      <c r="AF160" s="177" t="n">
        <f aca="true">AD160+OFFSET($DI$74,$B160,$C160)</f>
        <v>67</v>
      </c>
      <c r="AG160" s="94" t="n">
        <f aca="false">VLOOKUP($D160,tblPriorPrice,6)</f>
        <v>1</v>
      </c>
      <c r="AH160" s="190" t="n">
        <f aca="false">AI160-AG160</f>
        <v>0</v>
      </c>
      <c r="AI160" s="191" t="n">
        <f aca="true">AI148+OFFSET($CG$96,$B160,$C160)</f>
        <v>1</v>
      </c>
      <c r="AJ160" s="96" t="n">
        <f aca="true">AI160+OFFSET($CU$96,$B160,$C160)</f>
        <v>1</v>
      </c>
      <c r="AK160" s="97" t="n">
        <f aca="true">AI160+OFFSET($DI$96,$B160,$C160)</f>
        <v>1</v>
      </c>
      <c r="AL160" s="178" t="n">
        <v>43</v>
      </c>
      <c r="AM160" s="165" t="n">
        <v>0.4</v>
      </c>
      <c r="AN160" s="167" t="n">
        <f aca="false">'[3]Pricing Summary'!$AM138</f>
        <v>0.18</v>
      </c>
      <c r="AO160" s="167" t="n">
        <f aca="false">0.9*AN160</f>
        <v>0.162</v>
      </c>
      <c r="AP160" s="166" t="n">
        <f aca="false">1.5*AN160</f>
        <v>0.27</v>
      </c>
      <c r="AQ160" s="167" t="n">
        <f aca="false">AN160</f>
        <v>0.18</v>
      </c>
      <c r="AR160" s="166" t="n">
        <f aca="false">0.8*AQ160</f>
        <v>0.144</v>
      </c>
      <c r="AS160" s="166" t="n">
        <f aca="false">1.2*AQ160</f>
        <v>0.216</v>
      </c>
      <c r="AT160" s="169" t="n">
        <f aca="false">IF(G160&lt;110,17.94063*(LN(G160/100))+6.727568*(LN(G160/100)^2)+15.06494,(-4.1*G160+2135)/100)*0.5</f>
        <v>2.20858471004844</v>
      </c>
      <c r="AU160" s="169" t="n">
        <f aca="false">(0.75*AT160-AT160)</f>
        <v>-0.552146177512111</v>
      </c>
      <c r="AV160" s="166" t="n">
        <f aca="false">AT160/0.5*1.25-AT160</f>
        <v>3.31287706507267</v>
      </c>
      <c r="AW160" s="168" t="n">
        <f aca="false">IF(L160&lt;15,(15*L160+375)/100,(-4.71*L160+670.65)/100)*0.5</f>
        <v>2.3877</v>
      </c>
      <c r="AX160" s="166" t="n">
        <f aca="false">0.75*AW160-AW160</f>
        <v>-0.596925</v>
      </c>
      <c r="AY160" s="166" t="n">
        <f aca="false">AW160/0.5*1.25-AW160</f>
        <v>3.58155</v>
      </c>
      <c r="AZ160" s="167" t="n">
        <v>0.5</v>
      </c>
      <c r="BA160" s="74"/>
      <c r="BQ160" s="108" t="n">
        <v>36907.7428240741</v>
      </c>
      <c r="BR160" s="109" t="n">
        <v>36907.743287037</v>
      </c>
      <c r="BS160" s="110" t="n">
        <v>40695</v>
      </c>
      <c r="BT160" s="111" t="n">
        <v>101227.6796875</v>
      </c>
      <c r="BU160" s="112" t="n">
        <v>69018.875</v>
      </c>
      <c r="BV160" s="112" t="n">
        <v>18405.033203125</v>
      </c>
      <c r="BW160" s="112" t="n">
        <v>18405.033203125</v>
      </c>
      <c r="BX160" s="113" t="n">
        <v>0</v>
      </c>
      <c r="BZ160" s="110" t="n">
        <v>40756</v>
      </c>
      <c r="CA160" s="185" t="n">
        <v>41</v>
      </c>
      <c r="CB160" s="116" t="n">
        <v>41</v>
      </c>
      <c r="CC160" s="181" t="n">
        <v>41</v>
      </c>
      <c r="CD160" s="181" t="n">
        <v>41</v>
      </c>
      <c r="CE160" s="117" t="n">
        <v>1</v>
      </c>
    </row>
    <row r="161" customFormat="false" ht="12.75" hidden="false" customHeight="false" outlineLevel="0" collapsed="false">
      <c r="A161" s="0" t="n">
        <f aca="true">IF(ISERROR(MATCH(D161,iRefDt,0)),"",MATCH(D161,iRefDt,0))</f>
        <v>161</v>
      </c>
      <c r="B161" s="92" t="n">
        <f aca="false">MATCH(YEAR(D161),iSpreads)</f>
        <v>11</v>
      </c>
      <c r="C161" s="0" t="n">
        <f aca="false">MONTH(D161)</f>
        <v>9</v>
      </c>
      <c r="D161" s="93" t="n">
        <f aca="false">DATE(YEAR(D160),MONTH(D160)+1,1)</f>
        <v>40787</v>
      </c>
      <c r="E161" s="94" t="n">
        <f aca="false">VLOOKUP($D161,tblPriorPrice,2)</f>
        <v>35</v>
      </c>
      <c r="F161" s="190" t="n">
        <f aca="false">G161-E161</f>
        <v>0</v>
      </c>
      <c r="G161" s="190" t="n">
        <f aca="true">G149+OFFSET($CG$4,$B161,$C161)</f>
        <v>35</v>
      </c>
      <c r="H161" s="96" t="n">
        <f aca="true">G161+OFFSET($CU$4,$B161,$C161)</f>
        <v>30</v>
      </c>
      <c r="I161" s="96" t="n">
        <f aca="true">G161+OFFSET($DI$4,$B161,$C161)</f>
        <v>60</v>
      </c>
      <c r="J161" s="94" t="n">
        <f aca="false">VLOOKUP($D161,tblPriorPrice,3)</f>
        <v>35</v>
      </c>
      <c r="K161" s="190" t="n">
        <f aca="false">L161-J161</f>
        <v>0</v>
      </c>
      <c r="L161" s="190" t="n">
        <f aca="true">L149+OFFSET($CG$27,$B161,$C161)</f>
        <v>35</v>
      </c>
      <c r="M161" s="96" t="n">
        <f aca="true">$L161+OFFSET($CU$27,$B161,$C161)</f>
        <v>30</v>
      </c>
      <c r="N161" s="97" t="n">
        <f aca="true">$L161+OFFSET($DI$27,$B161,$C161)</f>
        <v>50</v>
      </c>
      <c r="O161" s="59" t="n">
        <f aca="true">IF($A161="",0,INDEX(tblPosn,$A161,2))</f>
        <v>95082.6953125</v>
      </c>
      <c r="P161" s="59" t="n">
        <f aca="true">IF($A161="",0,INDEX(tblPosn,$A161,3))</f>
        <v>67916.2109375</v>
      </c>
      <c r="Q161" s="59" t="n">
        <f aca="true">IF($A161="",0,INDEX(tblPosn,$A161,4))</f>
        <v>18110.990234375</v>
      </c>
      <c r="R161" s="59" t="n">
        <f aca="true">IF($A161="",0,INDEX(tblPosn,$A161,5))</f>
        <v>22638.736328125</v>
      </c>
      <c r="S161" s="59" t="n">
        <f aca="true">IF($A161="",0,INDEX(tblPosn,$A161,6))</f>
        <v>0</v>
      </c>
      <c r="T161" s="98" t="n">
        <f aca="false">O161*F161+P161*K161+R161*AC161+S161*AH161/0.72+Q161*X161</f>
        <v>0</v>
      </c>
      <c r="V161" s="161" t="n">
        <f aca="false">D161</f>
        <v>40787</v>
      </c>
      <c r="W161" s="94" t="n">
        <f aca="false">VLOOKUP($D161,tblPriorPrice,4)</f>
        <v>35</v>
      </c>
      <c r="X161" s="95" t="n">
        <f aca="false">Y161-W161</f>
        <v>0</v>
      </c>
      <c r="Y161" s="191" t="n">
        <f aca="true">Y149+OFFSET($CG$50,$B161,$C161)</f>
        <v>35</v>
      </c>
      <c r="Z161" s="96" t="n">
        <f aca="true">Y161+OFFSET($CU$51,$B161,$C161)</f>
        <v>30</v>
      </c>
      <c r="AA161" s="177" t="n">
        <f aca="true">Y161+OFFSET($DI$51,$B161,$C161)</f>
        <v>61</v>
      </c>
      <c r="AB161" s="94" t="n">
        <f aca="false">VLOOKUP($D161,tblPriorPrice,5)</f>
        <v>35</v>
      </c>
      <c r="AC161" s="190" t="n">
        <f aca="false">AD161-AB161</f>
        <v>0</v>
      </c>
      <c r="AD161" s="191" t="n">
        <f aca="true">AD149+OFFSET($CG$73,$B161,$C161)</f>
        <v>35</v>
      </c>
      <c r="AE161" s="96" t="n">
        <f aca="true">AD161+OFFSET($CU$74,$B161,$C161)</f>
        <v>30</v>
      </c>
      <c r="AF161" s="177" t="n">
        <f aca="true">AD161+OFFSET($DI$74,$B161,$C161)</f>
        <v>61</v>
      </c>
      <c r="AG161" s="94" t="n">
        <f aca="false">VLOOKUP($D161,tblPriorPrice,6)</f>
        <v>1</v>
      </c>
      <c r="AH161" s="190" t="n">
        <f aca="false">AI161-AG161</f>
        <v>0</v>
      </c>
      <c r="AI161" s="191" t="n">
        <f aca="true">AI149+OFFSET($CG$96,$B161,$C161)</f>
        <v>1</v>
      </c>
      <c r="AJ161" s="96" t="n">
        <f aca="true">AI161+OFFSET($CU$96,$B161,$C161)</f>
        <v>1</v>
      </c>
      <c r="AK161" s="97" t="n">
        <f aca="true">AI161+OFFSET($DI$96,$B161,$C161)</f>
        <v>1</v>
      </c>
      <c r="AL161" s="178" t="n">
        <v>44</v>
      </c>
      <c r="AM161" s="165" t="n">
        <v>0.4</v>
      </c>
      <c r="AN161" s="167" t="n">
        <f aca="false">'[3]Pricing Summary'!$AM139</f>
        <v>0.18</v>
      </c>
      <c r="AO161" s="167" t="n">
        <f aca="false">0.9*AN161</f>
        <v>0.162</v>
      </c>
      <c r="AP161" s="166" t="n">
        <f aca="false">1.5*AN161</f>
        <v>0.27</v>
      </c>
      <c r="AQ161" s="167" t="n">
        <f aca="false">AN161</f>
        <v>0.18</v>
      </c>
      <c r="AR161" s="166" t="n">
        <f aca="false">0.8*AQ161</f>
        <v>0.144</v>
      </c>
      <c r="AS161" s="166" t="n">
        <f aca="false">1.2*AQ161</f>
        <v>0.216</v>
      </c>
      <c r="AT161" s="169" t="n">
        <f aca="false">IF(G161&lt;110,17.94063*(LN(G161/100))+6.727568*(LN(G161/100)^2)+15.06494,(-4.1*G161+2135)/100)*0.5</f>
        <v>1.82255031269953</v>
      </c>
      <c r="AU161" s="169" t="n">
        <f aca="false">(0.75*AT161-AT161)</f>
        <v>-0.455637578174882</v>
      </c>
      <c r="AV161" s="166" t="n">
        <f aca="false">AT161/0.5*1.25-AT161</f>
        <v>2.73382546904929</v>
      </c>
      <c r="AW161" s="168" t="n">
        <f aca="false">IF(L161&lt;15,(15*L161+375)/100,(-4.71*L161+670.65)/100)*0.5</f>
        <v>2.529</v>
      </c>
      <c r="AX161" s="166" t="n">
        <f aca="false">0.75*AW161-AW161</f>
        <v>-0.63225</v>
      </c>
      <c r="AY161" s="166" t="n">
        <f aca="false">AW161/0.5*1.25-AW161</f>
        <v>3.7935</v>
      </c>
      <c r="AZ161" s="167" t="n">
        <v>0.5</v>
      </c>
      <c r="BA161" s="74"/>
      <c r="BQ161" s="108" t="n">
        <v>36907.7428240741</v>
      </c>
      <c r="BR161" s="109" t="n">
        <v>36907.743287037</v>
      </c>
      <c r="BS161" s="110" t="n">
        <v>40725</v>
      </c>
      <c r="BT161" s="111" t="n">
        <v>91522.234375</v>
      </c>
      <c r="BU161" s="112" t="n">
        <v>70929.734375</v>
      </c>
      <c r="BV161" s="112" t="n">
        <v>22880.55859375</v>
      </c>
      <c r="BW161" s="112" t="n">
        <v>27456.671875</v>
      </c>
      <c r="BX161" s="113" t="n">
        <v>0</v>
      </c>
      <c r="BZ161" s="110" t="n">
        <v>40787</v>
      </c>
      <c r="CA161" s="185" t="n">
        <v>35</v>
      </c>
      <c r="CB161" s="116" t="n">
        <v>35</v>
      </c>
      <c r="CC161" s="181" t="n">
        <v>35</v>
      </c>
      <c r="CD161" s="181" t="n">
        <v>35</v>
      </c>
      <c r="CE161" s="117" t="n">
        <v>1</v>
      </c>
    </row>
    <row r="162" customFormat="false" ht="12.75" hidden="false" customHeight="false" outlineLevel="0" collapsed="false">
      <c r="A162" s="0" t="n">
        <f aca="true">IF(ISERROR(MATCH(D162,iRefDt,0)),"",MATCH(D162,iRefDt,0))</f>
        <v>162</v>
      </c>
      <c r="B162" s="92" t="n">
        <f aca="false">MATCH(YEAR(D162),iSpreads)</f>
        <v>11</v>
      </c>
      <c r="C162" s="0" t="n">
        <f aca="false">MONTH(D162)</f>
        <v>10</v>
      </c>
      <c r="D162" s="93" t="n">
        <f aca="false">DATE(YEAR(D161),MONTH(D161)+1,1)</f>
        <v>40817</v>
      </c>
      <c r="E162" s="94" t="n">
        <f aca="false">VLOOKUP($D162,tblPriorPrice,2)</f>
        <v>37</v>
      </c>
      <c r="F162" s="190" t="n">
        <f aca="false">G162-E162</f>
        <v>0</v>
      </c>
      <c r="G162" s="190" t="n">
        <f aca="true">G150+OFFSET($CG$4,$B162,$C162)</f>
        <v>37</v>
      </c>
      <c r="H162" s="96" t="n">
        <f aca="true">G162+OFFSET($CU$4,$B162,$C162)</f>
        <v>32</v>
      </c>
      <c r="I162" s="96" t="n">
        <f aca="true">G162+OFFSET($DI$4,$B162,$C162)</f>
        <v>62</v>
      </c>
      <c r="J162" s="94" t="n">
        <f aca="false">VLOOKUP($D162,tblPriorPrice,3)</f>
        <v>37</v>
      </c>
      <c r="K162" s="190" t="n">
        <f aca="false">L162-J162</f>
        <v>0</v>
      </c>
      <c r="L162" s="190" t="n">
        <f aca="true">L150+OFFSET($CG$27,$B162,$C162)</f>
        <v>37</v>
      </c>
      <c r="M162" s="96" t="n">
        <f aca="true">$L162+OFFSET($CU$27,$B162,$C162)</f>
        <v>32</v>
      </c>
      <c r="N162" s="97" t="n">
        <f aca="true">$L162+OFFSET($DI$27,$B162,$C162)</f>
        <v>52</v>
      </c>
      <c r="O162" s="59" t="n">
        <f aca="true">IF($A162="",0,INDEX(tblPosn,$A162,2))</f>
        <v>94567.734375</v>
      </c>
      <c r="P162" s="59" t="n">
        <f aca="true">IF($A162="",0,INDEX(tblPosn,$A162,3))</f>
        <v>70081.453125</v>
      </c>
      <c r="Q162" s="59" t="n">
        <f aca="true">IF($A162="",0,INDEX(tblPosn,$A162,4))</f>
        <v>22516.12890625</v>
      </c>
      <c r="R162" s="59" t="n">
        <f aca="true">IF($A162="",0,INDEX(tblPosn,$A162,5))</f>
        <v>22516.12890625</v>
      </c>
      <c r="S162" s="59" t="n">
        <f aca="true">IF($A162="",0,INDEX(tblPosn,$A162,6))</f>
        <v>0</v>
      </c>
      <c r="T162" s="98" t="n">
        <f aca="false">O162*F162+P162*K162+R162*AC162+S162*AH162/0.72+Q162*X162</f>
        <v>0</v>
      </c>
      <c r="V162" s="161" t="n">
        <f aca="false">D162</f>
        <v>40817</v>
      </c>
      <c r="W162" s="94" t="n">
        <f aca="false">VLOOKUP($D162,tblPriorPrice,4)</f>
        <v>37</v>
      </c>
      <c r="X162" s="95" t="n">
        <f aca="false">Y162-W162</f>
        <v>0</v>
      </c>
      <c r="Y162" s="191" t="n">
        <f aca="true">Y150+OFFSET($CG$50,$B162,$C162)</f>
        <v>37</v>
      </c>
      <c r="Z162" s="96" t="n">
        <f aca="true">Y162+OFFSET($CU$51,$B162,$C162)</f>
        <v>32</v>
      </c>
      <c r="AA162" s="177" t="n">
        <f aca="true">Y162+OFFSET($DI$51,$B162,$C162)</f>
        <v>63</v>
      </c>
      <c r="AB162" s="94" t="n">
        <f aca="false">VLOOKUP($D162,tblPriorPrice,5)</f>
        <v>37</v>
      </c>
      <c r="AC162" s="190" t="n">
        <f aca="false">AD162-AB162</f>
        <v>0</v>
      </c>
      <c r="AD162" s="191" t="n">
        <f aca="true">AD150+OFFSET($CG$73,$B162,$C162)</f>
        <v>37</v>
      </c>
      <c r="AE162" s="96" t="n">
        <f aca="true">AD162+OFFSET($CU$74,$B162,$C162)</f>
        <v>32</v>
      </c>
      <c r="AF162" s="177" t="n">
        <f aca="true">AD162+OFFSET($DI$74,$B162,$C162)</f>
        <v>63</v>
      </c>
      <c r="AG162" s="94" t="n">
        <f aca="false">VLOOKUP($D162,tblPriorPrice,6)</f>
        <v>1</v>
      </c>
      <c r="AH162" s="190" t="n">
        <f aca="false">AI162-AG162</f>
        <v>0</v>
      </c>
      <c r="AI162" s="191" t="n">
        <f aca="true">AI150+OFFSET($CG$96,$B162,$C162)</f>
        <v>1</v>
      </c>
      <c r="AJ162" s="96" t="n">
        <f aca="true">AI162+OFFSET($CU$96,$B162,$C162)</f>
        <v>1</v>
      </c>
      <c r="AK162" s="97" t="n">
        <f aca="true">AI162+OFFSET($DI$96,$B162,$C162)</f>
        <v>1</v>
      </c>
      <c r="AL162" s="178" t="n">
        <v>44</v>
      </c>
      <c r="AM162" s="165" t="n">
        <v>0.4</v>
      </c>
      <c r="AN162" s="167" t="n">
        <f aca="false">'[3]Pricing Summary'!$AM140</f>
        <v>0.18</v>
      </c>
      <c r="AO162" s="167" t="n">
        <f aca="false">0.9*AN162</f>
        <v>0.162</v>
      </c>
      <c r="AP162" s="166" t="n">
        <f aca="false">1.5*AN162</f>
        <v>0.27</v>
      </c>
      <c r="AQ162" s="167" t="n">
        <f aca="false">AN162</f>
        <v>0.18</v>
      </c>
      <c r="AR162" s="166" t="n">
        <f aca="false">0.8*AQ162</f>
        <v>0.144</v>
      </c>
      <c r="AS162" s="166" t="n">
        <f aca="false">1.2*AQ162</f>
        <v>0.216</v>
      </c>
      <c r="AT162" s="169" t="n">
        <f aca="false">IF(G162&lt;110,17.94063*(LN(G162/100))+6.727568*(LN(G162/100)^2)+15.06494,(-4.1*G162+2135)/100)*0.5</f>
        <v>1.93894082389981</v>
      </c>
      <c r="AU162" s="169" t="n">
        <f aca="false">(0.75*AT162-AT162)</f>
        <v>-0.484735205974953</v>
      </c>
      <c r="AV162" s="166" t="n">
        <f aca="false">AT162/0.5*1.25-AT162</f>
        <v>2.90841123584972</v>
      </c>
      <c r="AW162" s="168" t="n">
        <f aca="false">IF(L162&lt;15,(15*L162+375)/100,(-4.71*L162+670.65)/100)*0.5</f>
        <v>2.4819</v>
      </c>
      <c r="AX162" s="166" t="n">
        <f aca="false">0.75*AW162-AW162</f>
        <v>-0.620475</v>
      </c>
      <c r="AY162" s="166" t="n">
        <f aca="false">AW162/0.5*1.25-AW162</f>
        <v>3.72285</v>
      </c>
      <c r="AZ162" s="167" t="n">
        <v>0.5</v>
      </c>
      <c r="BA162" s="74"/>
      <c r="BQ162" s="108" t="n">
        <v>36907.7428240741</v>
      </c>
      <c r="BR162" s="109" t="n">
        <v>36907.743287037</v>
      </c>
      <c r="BS162" s="110" t="n">
        <v>40756</v>
      </c>
      <c r="BT162" s="111" t="n">
        <v>104688.671875</v>
      </c>
      <c r="BU162" s="112" t="n">
        <v>70551.0625</v>
      </c>
      <c r="BV162" s="112" t="n">
        <v>18206.7265625</v>
      </c>
      <c r="BW162" s="112" t="n">
        <v>18206.7265625</v>
      </c>
      <c r="BX162" s="113" t="n">
        <v>0</v>
      </c>
      <c r="BZ162" s="110" t="n">
        <v>40817</v>
      </c>
      <c r="CA162" s="185" t="n">
        <v>37</v>
      </c>
      <c r="CB162" s="116" t="n">
        <v>37</v>
      </c>
      <c r="CC162" s="181" t="n">
        <v>37</v>
      </c>
      <c r="CD162" s="181" t="n">
        <v>37</v>
      </c>
      <c r="CE162" s="117" t="n">
        <v>1</v>
      </c>
    </row>
    <row r="163" customFormat="false" ht="12.75" hidden="false" customHeight="false" outlineLevel="0" collapsed="false">
      <c r="A163" s="0" t="n">
        <f aca="true">IF(ISERROR(MATCH(D163,iRefDt,0)),"",MATCH(D163,iRefDt,0))</f>
        <v>163</v>
      </c>
      <c r="B163" s="92" t="n">
        <f aca="false">MATCH(YEAR(D163),iSpreads)</f>
        <v>11</v>
      </c>
      <c r="C163" s="0" t="n">
        <f aca="false">MONTH(D163)</f>
        <v>11</v>
      </c>
      <c r="D163" s="93" t="n">
        <f aca="false">DATE(YEAR(D162),MONTH(D162)+1,1)</f>
        <v>40848</v>
      </c>
      <c r="E163" s="94" t="n">
        <f aca="false">VLOOKUP($D163,tblPriorPrice,2)</f>
        <v>31</v>
      </c>
      <c r="F163" s="190" t="n">
        <f aca="false">G163-E163</f>
        <v>0</v>
      </c>
      <c r="G163" s="190" t="n">
        <f aca="true">G151+OFFSET($CG$4,$B163,$C163)</f>
        <v>31</v>
      </c>
      <c r="H163" s="96" t="n">
        <f aca="true">G163+OFFSET($CU$4,$B163,$C163)</f>
        <v>26</v>
      </c>
      <c r="I163" s="96" t="n">
        <f aca="true">G163+OFFSET($DI$4,$B163,$C163)</f>
        <v>56</v>
      </c>
      <c r="J163" s="94" t="n">
        <f aca="false">VLOOKUP($D163,tblPriorPrice,3)</f>
        <v>31</v>
      </c>
      <c r="K163" s="190" t="n">
        <f aca="false">L163-J163</f>
        <v>0</v>
      </c>
      <c r="L163" s="190" t="n">
        <f aca="true">L151+OFFSET($CG$27,$B163,$C163)</f>
        <v>31</v>
      </c>
      <c r="M163" s="96" t="n">
        <f aca="true">$L163+OFFSET($CU$27,$B163,$C163)</f>
        <v>26</v>
      </c>
      <c r="N163" s="97" t="n">
        <f aca="true">$L163+OFFSET($DI$27,$B163,$C163)</f>
        <v>46</v>
      </c>
      <c r="O163" s="59" t="n">
        <f aca="true">IF($A163="",0,INDEX(tblPosn,$A163,2))</f>
        <v>94071.5390625</v>
      </c>
      <c r="P163" s="59" t="n">
        <f aca="true">IF($A163="",0,INDEX(tblPosn,$A163,3))</f>
        <v>67193.953125</v>
      </c>
      <c r="Q163" s="59" t="n">
        <f aca="true">IF($A163="",0,INDEX(tblPosn,$A163,4))</f>
        <v>17918.388671875</v>
      </c>
      <c r="R163" s="59" t="n">
        <f aca="true">IF($A163="",0,INDEX(tblPosn,$A163,5))</f>
        <v>22397.986328125</v>
      </c>
      <c r="S163" s="59" t="n">
        <f aca="true">IF($A163="",0,INDEX(tblPosn,$A163,6))</f>
        <v>0</v>
      </c>
      <c r="T163" s="98" t="n">
        <f aca="false">O163*F163+P163*K163+R163*AC163+S163*AH163/0.72+Q163*X163</f>
        <v>0</v>
      </c>
      <c r="V163" s="161" t="n">
        <f aca="false">D163</f>
        <v>40848</v>
      </c>
      <c r="W163" s="94" t="n">
        <f aca="false">VLOOKUP($D163,tblPriorPrice,4)</f>
        <v>31</v>
      </c>
      <c r="X163" s="95" t="n">
        <f aca="false">Y163-W163</f>
        <v>0</v>
      </c>
      <c r="Y163" s="191" t="n">
        <f aca="true">Y151+OFFSET($CG$50,$B163,$C163)</f>
        <v>31</v>
      </c>
      <c r="Z163" s="96" t="n">
        <f aca="true">Y163+OFFSET($CU$51,$B163,$C163)</f>
        <v>26</v>
      </c>
      <c r="AA163" s="177" t="n">
        <f aca="true">Y163+OFFSET($DI$51,$B163,$C163)</f>
        <v>57</v>
      </c>
      <c r="AB163" s="94" t="n">
        <f aca="false">VLOOKUP($D163,tblPriorPrice,5)</f>
        <v>31</v>
      </c>
      <c r="AC163" s="190" t="n">
        <f aca="false">AD163-AB163</f>
        <v>0</v>
      </c>
      <c r="AD163" s="191" t="n">
        <f aca="true">AD151+OFFSET($CG$73,$B163,$C163)</f>
        <v>31</v>
      </c>
      <c r="AE163" s="96" t="n">
        <f aca="true">AD163+OFFSET($CU$74,$B163,$C163)</f>
        <v>26</v>
      </c>
      <c r="AF163" s="177" t="n">
        <f aca="true">AD163+OFFSET($DI$74,$B163,$C163)</f>
        <v>57</v>
      </c>
      <c r="AG163" s="94" t="n">
        <f aca="false">VLOOKUP($D163,tblPriorPrice,6)</f>
        <v>1</v>
      </c>
      <c r="AH163" s="190" t="n">
        <f aca="false">AI163-AG163</f>
        <v>0</v>
      </c>
      <c r="AI163" s="191" t="n">
        <f aca="true">AI151+OFFSET($CG$96,$B163,$C163)</f>
        <v>1</v>
      </c>
      <c r="AJ163" s="96" t="n">
        <f aca="true">AI163+OFFSET($CU$96,$B163,$C163)</f>
        <v>1</v>
      </c>
      <c r="AK163" s="97" t="n">
        <f aca="true">AI163+OFFSET($DI$96,$B163,$C163)</f>
        <v>1</v>
      </c>
      <c r="AL163" s="178" t="n">
        <v>44</v>
      </c>
      <c r="AM163" s="165" t="n">
        <v>0.4</v>
      </c>
      <c r="AN163" s="167" t="n">
        <f aca="false">'[3]Pricing Summary'!$AM141</f>
        <v>0.18</v>
      </c>
      <c r="AO163" s="167" t="n">
        <f aca="false">0.9*AN163</f>
        <v>0.162</v>
      </c>
      <c r="AP163" s="166" t="n">
        <f aca="false">1.5*AN163</f>
        <v>0.27</v>
      </c>
      <c r="AQ163" s="167" t="n">
        <f aca="false">AN163</f>
        <v>0.18</v>
      </c>
      <c r="AR163" s="166" t="n">
        <f aca="false">0.8*AQ163</f>
        <v>0.144</v>
      </c>
      <c r="AS163" s="166" t="n">
        <f aca="false">1.2*AQ163</f>
        <v>0.216</v>
      </c>
      <c r="AT163" s="169" t="n">
        <f aca="false">IF(G163&lt;110,17.94063*(LN(G163/100))+6.727568*(LN(G163/100)^2)+15.06494,(-4.1*G163+2135)/100)*0.5</f>
        <v>1.64058990686036</v>
      </c>
      <c r="AU163" s="169" t="n">
        <f aca="false">(0.75*AT163-AT163)</f>
        <v>-0.410147476715089</v>
      </c>
      <c r="AV163" s="166" t="n">
        <f aca="false">AT163/0.5*1.25-AT163</f>
        <v>2.46088486029054</v>
      </c>
      <c r="AW163" s="168" t="n">
        <f aca="false">IF(L163&lt;15,(15*L163+375)/100,(-4.71*L163+670.65)/100)*0.5</f>
        <v>2.6232</v>
      </c>
      <c r="AX163" s="166" t="n">
        <f aca="false">0.75*AW163-AW163</f>
        <v>-0.6558</v>
      </c>
      <c r="AY163" s="166" t="n">
        <f aca="false">AW163/0.5*1.25-AW163</f>
        <v>3.9348</v>
      </c>
      <c r="AZ163" s="167" t="n">
        <v>0.5</v>
      </c>
      <c r="BA163" s="74"/>
      <c r="BQ163" s="108" t="n">
        <v>36907.7428240741</v>
      </c>
      <c r="BR163" s="109" t="n">
        <v>36907.743287037</v>
      </c>
      <c r="BS163" s="110" t="n">
        <v>40787</v>
      </c>
      <c r="BT163" s="111" t="n">
        <v>95082.6953125</v>
      </c>
      <c r="BU163" s="112" t="n">
        <v>67916.2109375</v>
      </c>
      <c r="BV163" s="112" t="n">
        <v>18110.990234375</v>
      </c>
      <c r="BW163" s="112" t="n">
        <v>22638.736328125</v>
      </c>
      <c r="BX163" s="113" t="n">
        <v>0</v>
      </c>
      <c r="BZ163" s="110" t="n">
        <v>40848</v>
      </c>
      <c r="CA163" s="185" t="n">
        <v>31</v>
      </c>
      <c r="CB163" s="116" t="n">
        <v>31</v>
      </c>
      <c r="CC163" s="181" t="n">
        <v>31</v>
      </c>
      <c r="CD163" s="181" t="n">
        <v>31</v>
      </c>
      <c r="CE163" s="117" t="n">
        <v>1</v>
      </c>
    </row>
    <row r="164" customFormat="false" ht="12.75" hidden="false" customHeight="false" outlineLevel="0" collapsed="false">
      <c r="A164" s="0" t="n">
        <f aca="true">IF(ISERROR(MATCH(D164,iRefDt,0)),"",MATCH(D164,iRefDt,0))</f>
        <v>164</v>
      </c>
      <c r="B164" s="92" t="n">
        <f aca="false">MATCH(YEAR(D164),iSpreads)</f>
        <v>11</v>
      </c>
      <c r="C164" s="0" t="n">
        <f aca="false">MONTH(D164)</f>
        <v>12</v>
      </c>
      <c r="D164" s="93" t="n">
        <f aca="false">DATE(YEAR(D163),MONTH(D163)+1,1)</f>
        <v>40878</v>
      </c>
      <c r="E164" s="94" t="n">
        <f aca="false">VLOOKUP($D164,tblPriorPrice,2)</f>
        <v>32</v>
      </c>
      <c r="F164" s="190" t="n">
        <f aca="false">G164-E164</f>
        <v>0</v>
      </c>
      <c r="G164" s="190" t="n">
        <f aca="true">G152+OFFSET($CG$4,$B164,$C164)</f>
        <v>32</v>
      </c>
      <c r="H164" s="96" t="n">
        <f aca="true">G164+OFFSET($CU$4,$B164,$C164)</f>
        <v>27</v>
      </c>
      <c r="I164" s="96" t="n">
        <f aca="true">G164+OFFSET($DI$4,$B164,$C164)</f>
        <v>57</v>
      </c>
      <c r="J164" s="94" t="n">
        <f aca="false">VLOOKUP($D164,tblPriorPrice,3)</f>
        <v>29</v>
      </c>
      <c r="K164" s="190" t="n">
        <f aca="false">L164-J164</f>
        <v>0</v>
      </c>
      <c r="L164" s="190" t="n">
        <f aca="true">L152+OFFSET($CG$27,$B164,$C164)</f>
        <v>29</v>
      </c>
      <c r="M164" s="96" t="n">
        <f aca="true">$L164+OFFSET($CU$27,$B164,$C164)</f>
        <v>24</v>
      </c>
      <c r="N164" s="97" t="n">
        <f aca="true">$L164+OFFSET($DI$27,$B164,$C164)</f>
        <v>44</v>
      </c>
      <c r="O164" s="59" t="n">
        <f aca="true">IF($A164="",0,INDEX(tblPosn,$A164,2))</f>
        <v>93565.171875</v>
      </c>
      <c r="P164" s="59" t="n">
        <f aca="true">IF($A164="",0,INDEX(tblPosn,$A164,3))</f>
        <v>69060.0078125</v>
      </c>
      <c r="Q164" s="59" t="n">
        <f aca="true">IF($A164="",0,INDEX(tblPosn,$A164,4))</f>
        <v>22277.421875</v>
      </c>
      <c r="R164" s="59" t="n">
        <f aca="true">IF($A164="",0,INDEX(tblPosn,$A164,5))</f>
        <v>22277.421875</v>
      </c>
      <c r="S164" s="59" t="n">
        <f aca="true">IF($A164="",0,INDEX(tblPosn,$A164,6))</f>
        <v>0</v>
      </c>
      <c r="T164" s="98" t="n">
        <f aca="false">O164*F164+P164*K164+R164*AC164+S164*AH164/0.72+Q164*X164</f>
        <v>0</v>
      </c>
      <c r="V164" s="161" t="n">
        <f aca="false">D164</f>
        <v>40878</v>
      </c>
      <c r="W164" s="94" t="n">
        <f aca="false">VLOOKUP($D164,tblPriorPrice,4)</f>
        <v>29</v>
      </c>
      <c r="X164" s="95" t="n">
        <f aca="false">Y164-W164</f>
        <v>0</v>
      </c>
      <c r="Y164" s="191" t="n">
        <f aca="true">Y152+OFFSET($CG$50,$B164,$C164)</f>
        <v>29</v>
      </c>
      <c r="Z164" s="96" t="n">
        <f aca="true">Y164+OFFSET($CU$51,$B164,$C164)</f>
        <v>24</v>
      </c>
      <c r="AA164" s="177" t="n">
        <f aca="true">Y164+OFFSET($DI$51,$B164,$C164)</f>
        <v>55</v>
      </c>
      <c r="AB164" s="94" t="n">
        <f aca="false">VLOOKUP($D164,tblPriorPrice,5)</f>
        <v>29</v>
      </c>
      <c r="AC164" s="190" t="n">
        <f aca="false">AD164-AB164</f>
        <v>0</v>
      </c>
      <c r="AD164" s="191" t="n">
        <f aca="true">AD152+OFFSET($CG$73,$B164,$C164)</f>
        <v>29</v>
      </c>
      <c r="AE164" s="96" t="n">
        <f aca="true">AD164+OFFSET($CU$74,$B164,$C164)</f>
        <v>24</v>
      </c>
      <c r="AF164" s="177" t="n">
        <f aca="true">AD164+OFFSET($DI$74,$B164,$C164)</f>
        <v>55</v>
      </c>
      <c r="AG164" s="94" t="n">
        <f aca="false">VLOOKUP($D164,tblPriorPrice,6)</f>
        <v>1</v>
      </c>
      <c r="AH164" s="190" t="n">
        <f aca="false">AI164-AG164</f>
        <v>0</v>
      </c>
      <c r="AI164" s="191" t="n">
        <f aca="true">AI152+OFFSET($CG$96,$B164,$C164)</f>
        <v>1</v>
      </c>
      <c r="AJ164" s="96" t="n">
        <f aca="true">AI164+OFFSET($CU$96,$B164,$C164)</f>
        <v>1</v>
      </c>
      <c r="AK164" s="97" t="n">
        <f aca="true">AI164+OFFSET($DI$96,$B164,$C164)</f>
        <v>1</v>
      </c>
      <c r="AL164" s="178" t="n">
        <v>45</v>
      </c>
      <c r="AM164" s="165" t="n">
        <v>0.4</v>
      </c>
      <c r="AN164" s="167" t="n">
        <f aca="false">'[3]Pricing Summary'!$AM142</f>
        <v>0.18</v>
      </c>
      <c r="AO164" s="167" t="n">
        <f aca="false">0.9*AN164</f>
        <v>0.162</v>
      </c>
      <c r="AP164" s="166" t="n">
        <f aca="false">1.5*AN164</f>
        <v>0.27</v>
      </c>
      <c r="AQ164" s="167" t="n">
        <f aca="false">AN164</f>
        <v>0.18</v>
      </c>
      <c r="AR164" s="166" t="n">
        <f aca="false">0.8*AQ164</f>
        <v>0.144</v>
      </c>
      <c r="AS164" s="166" t="n">
        <f aca="false">1.2*AQ164</f>
        <v>0.216</v>
      </c>
      <c r="AT164" s="169" t="n">
        <f aca="false">IF(G164&lt;110,17.94063*(LN(G164/100))+6.727568*(LN(G164/100)^2)+15.06494,(-4.1*G164+2135)/100)*0.5</f>
        <v>1.67862159684781</v>
      </c>
      <c r="AU164" s="169" t="n">
        <f aca="false">(0.75*AT164-AT164)</f>
        <v>-0.419655399211954</v>
      </c>
      <c r="AV164" s="166" t="n">
        <f aca="false">AT164/0.5*1.25-AT164</f>
        <v>2.51793239527172</v>
      </c>
      <c r="AW164" s="168" t="n">
        <f aca="false">IF(L164&lt;15,(15*L164+375)/100,(-4.71*L164+670.65)/100)*0.5</f>
        <v>2.6703</v>
      </c>
      <c r="AX164" s="166" t="n">
        <f aca="false">0.75*AW164-AW164</f>
        <v>-0.667575</v>
      </c>
      <c r="AY164" s="166" t="n">
        <f aca="false">AW164/0.5*1.25-AW164</f>
        <v>4.00545</v>
      </c>
      <c r="AZ164" s="167" t="n">
        <v>0.5</v>
      </c>
      <c r="BA164" s="74"/>
      <c r="BQ164" s="108" t="n">
        <v>36907.7428240741</v>
      </c>
      <c r="BR164" s="109" t="n">
        <v>36907.743287037</v>
      </c>
      <c r="BS164" s="110" t="n">
        <v>40817</v>
      </c>
      <c r="BT164" s="111" t="n">
        <v>94567.734375</v>
      </c>
      <c r="BU164" s="112" t="n">
        <v>70081.453125</v>
      </c>
      <c r="BV164" s="112" t="n">
        <v>22516.12890625</v>
      </c>
      <c r="BW164" s="112" t="n">
        <v>22516.12890625</v>
      </c>
      <c r="BX164" s="113" t="n">
        <v>0</v>
      </c>
      <c r="BZ164" s="110" t="n">
        <v>40878</v>
      </c>
      <c r="CA164" s="185" t="n">
        <v>32</v>
      </c>
      <c r="CB164" s="116" t="n">
        <v>29</v>
      </c>
      <c r="CC164" s="181" t="n">
        <v>29</v>
      </c>
      <c r="CD164" s="181" t="n">
        <v>29</v>
      </c>
      <c r="CE164" s="117" t="n">
        <v>1</v>
      </c>
    </row>
    <row r="165" customFormat="false" ht="12.75" hidden="false" customHeight="false" outlineLevel="0" collapsed="false">
      <c r="A165" s="0" t="n">
        <f aca="true">IF(ISERROR(MATCH(D165,iRefDt,0)),"",MATCH(D165,iRefDt,0))</f>
        <v>165</v>
      </c>
      <c r="B165" s="92" t="n">
        <f aca="false">MATCH(YEAR(D165),iSpreads)</f>
        <v>12</v>
      </c>
      <c r="C165" s="0" t="n">
        <f aca="false">MONTH(D165)</f>
        <v>1</v>
      </c>
      <c r="D165" s="93" t="n">
        <f aca="false">DATE(YEAR(D164),MONTH(D164)+1,1)</f>
        <v>40909</v>
      </c>
      <c r="E165" s="94" t="n">
        <f aca="false">VLOOKUP($D165,tblPriorPrice,2)</f>
        <v>33</v>
      </c>
      <c r="F165" s="190" t="n">
        <f aca="false">G165-E165</f>
        <v>0</v>
      </c>
      <c r="G165" s="190" t="n">
        <f aca="true">G153+OFFSET($CG$4,$B165,$C165)</f>
        <v>33</v>
      </c>
      <c r="H165" s="96" t="n">
        <f aca="true">G165+OFFSET($CU$4,$B165,$C165)</f>
        <v>28</v>
      </c>
      <c r="I165" s="96" t="n">
        <f aca="true">G165+OFFSET($DI$4,$B165,$C165)</f>
        <v>59</v>
      </c>
      <c r="J165" s="94" t="n">
        <f aca="false">VLOOKUP($D165,tblPriorPrice,3)</f>
        <v>31</v>
      </c>
      <c r="K165" s="190" t="n">
        <f aca="false">L165-J165</f>
        <v>0</v>
      </c>
      <c r="L165" s="190" t="n">
        <f aca="true">L153+OFFSET($CG$27,$B165,$C165)</f>
        <v>31</v>
      </c>
      <c r="M165" s="96" t="n">
        <f aca="true">$L165+OFFSET($CU$27,$B165,$C165)</f>
        <v>26</v>
      </c>
      <c r="N165" s="97" t="n">
        <f aca="true">$L165+OFFSET($DI$27,$B165,$C165)</f>
        <v>47</v>
      </c>
      <c r="O165" s="59" t="n">
        <f aca="true">IF($A165="",0,INDEX(tblPosn,$A165,2))</f>
        <v>93052.7265625</v>
      </c>
      <c r="P165" s="59" t="n">
        <f aca="true">IF($A165="",0,INDEX(tblPosn,$A165,3))</f>
        <v>68681.7734375</v>
      </c>
      <c r="Q165" s="59" t="n">
        <f aca="true">IF($A165="",0,INDEX(tblPosn,$A165,4))</f>
        <v>17724.328125</v>
      </c>
      <c r="R165" s="59" t="n">
        <f aca="true">IF($A165="",0,INDEX(tblPosn,$A165,5))</f>
        <v>26586.494140625</v>
      </c>
      <c r="S165" s="59" t="n">
        <f aca="true">IF($A165="",0,INDEX(tblPosn,$A165,6))</f>
        <v>0</v>
      </c>
      <c r="T165" s="98" t="n">
        <f aca="false">O165*F165+P165*K165+R165*AC165+S165*AH165/0.72+Q165*X165</f>
        <v>0</v>
      </c>
      <c r="V165" s="161" t="n">
        <f aca="false">D165</f>
        <v>40909</v>
      </c>
      <c r="W165" s="94" t="n">
        <f aca="false">VLOOKUP($D165,tblPriorPrice,4)</f>
        <v>31</v>
      </c>
      <c r="X165" s="95" t="n">
        <f aca="false">Y165-W165</f>
        <v>0</v>
      </c>
      <c r="Y165" s="191" t="n">
        <f aca="true">Y153+OFFSET($CG$50,$B165,$C165)</f>
        <v>31</v>
      </c>
      <c r="Z165" s="96" t="n">
        <f aca="true">Y165+OFFSET($CU$51,$B165,$C165)</f>
        <v>26</v>
      </c>
      <c r="AA165" s="177" t="n">
        <f aca="true">Y165+OFFSET($DI$51,$B165,$C165)</f>
        <v>58</v>
      </c>
      <c r="AB165" s="94" t="n">
        <f aca="false">VLOOKUP($D165,tblPriorPrice,5)</f>
        <v>31</v>
      </c>
      <c r="AC165" s="190" t="n">
        <f aca="false">AD165-AB165</f>
        <v>0</v>
      </c>
      <c r="AD165" s="191" t="n">
        <f aca="true">AD153+OFFSET($CG$73,$B165,$C165)</f>
        <v>31</v>
      </c>
      <c r="AE165" s="96" t="n">
        <f aca="true">AD165+OFFSET($CU$74,$B165,$C165)</f>
        <v>26</v>
      </c>
      <c r="AF165" s="177" t="n">
        <f aca="true">AD165+OFFSET($DI$74,$B165,$C165)</f>
        <v>58</v>
      </c>
      <c r="AG165" s="94" t="n">
        <f aca="false">VLOOKUP($D165,tblPriorPrice,6)</f>
        <v>1</v>
      </c>
      <c r="AH165" s="190" t="n">
        <f aca="false">AI165-AG165</f>
        <v>0</v>
      </c>
      <c r="AI165" s="191" t="n">
        <f aca="true">AI153+OFFSET($CG$96,$B165,$C165)</f>
        <v>1</v>
      </c>
      <c r="AJ165" s="96" t="n">
        <f aca="true">AI165+OFFSET($CU$96,$B165,$C165)</f>
        <v>1</v>
      </c>
      <c r="AK165" s="97" t="n">
        <f aca="true">AI165+OFFSET($DI$96,$B165,$C165)</f>
        <v>1</v>
      </c>
      <c r="AL165" s="178" t="n">
        <v>45</v>
      </c>
      <c r="AM165" s="165" t="n">
        <v>0.4</v>
      </c>
      <c r="AN165" s="167" t="n">
        <f aca="false">'[3]Pricing Summary'!$AM143</f>
        <v>0.18</v>
      </c>
      <c r="AO165" s="167" t="n">
        <f aca="false">0.9*AN165</f>
        <v>0.162</v>
      </c>
      <c r="AP165" s="166" t="n">
        <f aca="false">1.5*AN165</f>
        <v>0.27</v>
      </c>
      <c r="AQ165" s="167" t="n">
        <f aca="false">AN165</f>
        <v>0.18</v>
      </c>
      <c r="AR165" s="166" t="n">
        <f aca="false">0.8*AQ165</f>
        <v>0.144</v>
      </c>
      <c r="AS165" s="166" t="n">
        <f aca="false">1.2*AQ165</f>
        <v>0.216</v>
      </c>
      <c r="AT165" s="169" t="n">
        <f aca="false">IF(G165&lt;110,17.94063*(LN(G165/100))+6.727568*(LN(G165/100)^2)+15.06494,(-4.1*G165+2135)/100)*0.5</f>
        <v>1.72195432632388</v>
      </c>
      <c r="AU165" s="169" t="n">
        <f aca="false">(0.75*AT165-AT165)</f>
        <v>-0.43048858158097</v>
      </c>
      <c r="AV165" s="166" t="n">
        <f aca="false">AT165/0.5*1.25-AT165</f>
        <v>2.58293148948582</v>
      </c>
      <c r="AW165" s="168" t="n">
        <f aca="false">IF(L165&lt;15,(15*L165+375)/100,(-4.71*L165+670.65)/100)*0.5</f>
        <v>2.6232</v>
      </c>
      <c r="AX165" s="166" t="n">
        <f aca="false">0.75*AW165-AW165</f>
        <v>-0.6558</v>
      </c>
      <c r="AY165" s="166" t="n">
        <f aca="false">AW165/0.5*1.25-AW165</f>
        <v>3.9348</v>
      </c>
      <c r="AZ165" s="167" t="n">
        <v>0.5</v>
      </c>
      <c r="BA165" s="74"/>
      <c r="BQ165" s="108" t="n">
        <v>36907.7428240741</v>
      </c>
      <c r="BR165" s="109" t="n">
        <v>36907.743287037</v>
      </c>
      <c r="BS165" s="110" t="n">
        <v>40848</v>
      </c>
      <c r="BT165" s="111" t="n">
        <v>94071.5390625</v>
      </c>
      <c r="BU165" s="112" t="n">
        <v>67193.953125</v>
      </c>
      <c r="BV165" s="112" t="n">
        <v>17918.388671875</v>
      </c>
      <c r="BW165" s="112" t="n">
        <v>22397.986328125</v>
      </c>
      <c r="BX165" s="113" t="n">
        <v>0</v>
      </c>
      <c r="BZ165" s="110" t="n">
        <v>40909</v>
      </c>
      <c r="CA165" s="185" t="n">
        <v>33</v>
      </c>
      <c r="CB165" s="116" t="n">
        <v>31</v>
      </c>
      <c r="CC165" s="181" t="n">
        <v>31</v>
      </c>
      <c r="CD165" s="181" t="n">
        <v>31</v>
      </c>
      <c r="CE165" s="117" t="n">
        <v>1</v>
      </c>
    </row>
    <row r="166" customFormat="false" ht="12.75" hidden="false" customHeight="false" outlineLevel="0" collapsed="false">
      <c r="A166" s="0" t="n">
        <f aca="true">IF(ISERROR(MATCH(D166,iRefDt,0)),"",MATCH(D166,iRefDt,0))</f>
        <v>166</v>
      </c>
      <c r="B166" s="92" t="n">
        <f aca="false">MATCH(YEAR(D166),iSpreads)</f>
        <v>12</v>
      </c>
      <c r="C166" s="0" t="n">
        <f aca="false">MONTH(D166)</f>
        <v>2</v>
      </c>
      <c r="D166" s="93" t="n">
        <f aca="false">DATE(YEAR(D165),MONTH(D165)+1,1)</f>
        <v>40940</v>
      </c>
      <c r="E166" s="94" t="n">
        <f aca="false">VLOOKUP($D166,tblPriorPrice,2)</f>
        <v>30</v>
      </c>
      <c r="F166" s="190" t="n">
        <f aca="false">G166-E166</f>
        <v>0</v>
      </c>
      <c r="G166" s="190" t="n">
        <f aca="true">G154+OFFSET($CG$4,$B166,$C166)</f>
        <v>30</v>
      </c>
      <c r="H166" s="96" t="n">
        <f aca="true">G166+OFFSET($CU$4,$B166,$C166)</f>
        <v>25</v>
      </c>
      <c r="I166" s="96" t="n">
        <f aca="true">G166+OFFSET($DI$4,$B166,$C166)</f>
        <v>56</v>
      </c>
      <c r="J166" s="94" t="n">
        <f aca="false">VLOOKUP($D166,tblPriorPrice,3)</f>
        <v>30</v>
      </c>
      <c r="K166" s="190" t="n">
        <f aca="false">L166-J166</f>
        <v>0</v>
      </c>
      <c r="L166" s="190" t="n">
        <f aca="true">L154+OFFSET($CG$27,$B166,$C166)</f>
        <v>30</v>
      </c>
      <c r="M166" s="96" t="n">
        <f aca="true">$L166+OFFSET($CU$27,$B166,$C166)</f>
        <v>25</v>
      </c>
      <c r="N166" s="97" t="n">
        <f aca="true">$L166+OFFSET($DI$27,$B166,$C166)</f>
        <v>46</v>
      </c>
      <c r="O166" s="59" t="n">
        <f aca="true">IF($A166="",0,INDEX(tblPosn,$A166,2))</f>
        <v>92579.2578125</v>
      </c>
      <c r="P166" s="59" t="n">
        <f aca="true">IF($A166="",0,INDEX(tblPosn,$A166,3))</f>
        <v>63923.76953125</v>
      </c>
      <c r="Q166" s="59" t="n">
        <f aca="true">IF($A166="",0,INDEX(tblPosn,$A166,4))</f>
        <v>17634.14453125</v>
      </c>
      <c r="R166" s="59" t="n">
        <f aca="true">IF($A166="",0,INDEX(tblPosn,$A166,5))</f>
        <v>17634.14453125</v>
      </c>
      <c r="S166" s="59" t="n">
        <f aca="true">IF($A166="",0,INDEX(tblPosn,$A166,6))</f>
        <v>0</v>
      </c>
      <c r="T166" s="98" t="n">
        <f aca="false">O166*F166+P166*K166+R166*AC166+S166*AH166/0.72+Q166*X166</f>
        <v>0</v>
      </c>
      <c r="V166" s="161" t="n">
        <f aca="false">D166</f>
        <v>40940</v>
      </c>
      <c r="W166" s="94" t="n">
        <f aca="false">VLOOKUP($D166,tblPriorPrice,4)</f>
        <v>30</v>
      </c>
      <c r="X166" s="95" t="n">
        <f aca="false">Y166-W166</f>
        <v>0</v>
      </c>
      <c r="Y166" s="191" t="n">
        <f aca="true">Y154+OFFSET($CG$50,$B166,$C166)</f>
        <v>30</v>
      </c>
      <c r="Z166" s="96" t="n">
        <f aca="true">Y166+OFFSET($CU$51,$B166,$C166)</f>
        <v>25</v>
      </c>
      <c r="AA166" s="177" t="n">
        <f aca="true">Y166+OFFSET($DI$51,$B166,$C166)</f>
        <v>57</v>
      </c>
      <c r="AB166" s="94" t="n">
        <f aca="false">VLOOKUP($D166,tblPriorPrice,5)</f>
        <v>30</v>
      </c>
      <c r="AC166" s="190" t="n">
        <f aca="false">AD166-AB166</f>
        <v>0</v>
      </c>
      <c r="AD166" s="191" t="n">
        <f aca="true">AD154+OFFSET($CG$73,$B166,$C166)</f>
        <v>30</v>
      </c>
      <c r="AE166" s="96" t="n">
        <f aca="true">AD166+OFFSET($CU$74,$B166,$C166)</f>
        <v>25</v>
      </c>
      <c r="AF166" s="177" t="n">
        <f aca="true">AD166+OFFSET($DI$74,$B166,$C166)</f>
        <v>57</v>
      </c>
      <c r="AG166" s="94" t="n">
        <f aca="false">VLOOKUP($D166,tblPriorPrice,6)</f>
        <v>1</v>
      </c>
      <c r="AH166" s="190" t="n">
        <f aca="false">AI166-AG166</f>
        <v>0</v>
      </c>
      <c r="AI166" s="191" t="n">
        <f aca="true">AI154+OFFSET($CG$96,$B166,$C166)</f>
        <v>1</v>
      </c>
      <c r="AJ166" s="96" t="n">
        <f aca="true">AI166+OFFSET($CU$96,$B166,$C166)</f>
        <v>1</v>
      </c>
      <c r="AK166" s="97" t="n">
        <f aca="true">AI166+OFFSET($DI$96,$B166,$C166)</f>
        <v>1</v>
      </c>
      <c r="AL166" s="178" t="n">
        <v>45</v>
      </c>
      <c r="AM166" s="165" t="n">
        <v>0.4</v>
      </c>
      <c r="AN166" s="167" t="n">
        <f aca="false">'[3]Pricing Summary'!$AM144</f>
        <v>0.175</v>
      </c>
      <c r="AO166" s="167" t="n">
        <f aca="false">0.9*AN166</f>
        <v>0.1575</v>
      </c>
      <c r="AP166" s="166" t="n">
        <f aca="false">1.5*AN166</f>
        <v>0.2625</v>
      </c>
      <c r="AQ166" s="167" t="n">
        <f aca="false">AN166</f>
        <v>0.175</v>
      </c>
      <c r="AR166" s="166" t="n">
        <f aca="false">0.8*AQ166</f>
        <v>0.14</v>
      </c>
      <c r="AS166" s="166" t="n">
        <f aca="false">1.2*AQ166</f>
        <v>0.21</v>
      </c>
      <c r="AT166" s="169" t="n">
        <f aca="false">IF(G166&lt;110,17.94063*(LN(G166/100))+6.727568*(LN(G166/100)^2)+15.06494,(-4.1*G166+2135)/100)*0.5</f>
        <v>1.60842951845599</v>
      </c>
      <c r="AU166" s="169" t="n">
        <f aca="false">(0.75*AT166-AT166)</f>
        <v>-0.402107379613998</v>
      </c>
      <c r="AV166" s="166" t="n">
        <f aca="false">AT166/0.5*1.25-AT166</f>
        <v>2.41264427768399</v>
      </c>
      <c r="AW166" s="168" t="n">
        <f aca="false">IF(L166&lt;15,(15*L166+375)/100,(-4.71*L166+670.65)/100)*0.5</f>
        <v>2.64675</v>
      </c>
      <c r="AX166" s="166" t="n">
        <f aca="false">0.75*AW166-AW166</f>
        <v>-0.6616875</v>
      </c>
      <c r="AY166" s="166" t="n">
        <f aca="false">AW166/0.5*1.25-AW166</f>
        <v>3.970125</v>
      </c>
      <c r="AZ166" s="167" t="n">
        <v>0.5</v>
      </c>
      <c r="BA166" s="74"/>
      <c r="BQ166" s="108" t="n">
        <v>36907.7428240741</v>
      </c>
      <c r="BR166" s="109" t="n">
        <v>36907.743287037</v>
      </c>
      <c r="BS166" s="110" t="n">
        <v>40878</v>
      </c>
      <c r="BT166" s="111" t="n">
        <v>93565.171875</v>
      </c>
      <c r="BU166" s="112" t="n">
        <v>69060.0078125</v>
      </c>
      <c r="BV166" s="112" t="n">
        <v>22277.421875</v>
      </c>
      <c r="BW166" s="112" t="n">
        <v>22277.421875</v>
      </c>
      <c r="BX166" s="113" t="n">
        <v>0</v>
      </c>
      <c r="BZ166" s="110" t="n">
        <v>40940</v>
      </c>
      <c r="CA166" s="185" t="n">
        <v>30</v>
      </c>
      <c r="CB166" s="116" t="n">
        <v>30</v>
      </c>
      <c r="CC166" s="181" t="n">
        <v>30</v>
      </c>
      <c r="CD166" s="181" t="n">
        <v>30</v>
      </c>
      <c r="CE166" s="117" t="n">
        <v>1</v>
      </c>
    </row>
    <row r="167" customFormat="false" ht="12.75" hidden="false" customHeight="false" outlineLevel="0" collapsed="false">
      <c r="A167" s="0" t="n">
        <f aca="true">IF(ISERROR(MATCH(D167,iRefDt,0)),"",MATCH(D167,iRefDt,0))</f>
        <v>167</v>
      </c>
      <c r="B167" s="92" t="n">
        <f aca="false">MATCH(YEAR(D167),iSpreads)</f>
        <v>12</v>
      </c>
      <c r="C167" s="0" t="n">
        <f aca="false">MONTH(D167)</f>
        <v>3</v>
      </c>
      <c r="D167" s="93" t="n">
        <f aca="false">DATE(YEAR(D166),MONTH(D166)+1,1)</f>
        <v>40969</v>
      </c>
      <c r="E167" s="94" t="n">
        <f aca="false">VLOOKUP($D167,tblPriorPrice,2)</f>
        <v>29</v>
      </c>
      <c r="F167" s="190" t="n">
        <f aca="false">G167-E167</f>
        <v>0</v>
      </c>
      <c r="G167" s="190" t="n">
        <f aca="true">G155+OFFSET($CG$4,$B167,$C167)</f>
        <v>29</v>
      </c>
      <c r="H167" s="96" t="n">
        <f aca="true">G167+OFFSET($CU$4,$B167,$C167)</f>
        <v>24</v>
      </c>
      <c r="I167" s="96" t="n">
        <f aca="true">G167+OFFSET($DI$4,$B167,$C167)</f>
        <v>55</v>
      </c>
      <c r="J167" s="94" t="n">
        <f aca="false">VLOOKUP($D167,tblPriorPrice,3)</f>
        <v>29</v>
      </c>
      <c r="K167" s="190" t="n">
        <f aca="false">L167-J167</f>
        <v>0</v>
      </c>
      <c r="L167" s="190" t="n">
        <f aca="true">L155+OFFSET($CG$27,$B167,$C167)</f>
        <v>29</v>
      </c>
      <c r="M167" s="96" t="n">
        <f aca="true">$L167+OFFSET($CU$27,$B167,$C167)</f>
        <v>24</v>
      </c>
      <c r="N167" s="97" t="n">
        <f aca="true">$L167+OFFSET($DI$27,$B167,$C167)</f>
        <v>45</v>
      </c>
      <c r="O167" s="59" t="n">
        <f aca="true">IF($A167="",0,INDEX(tblPosn,$A167,2))</f>
        <v>96457.6796875</v>
      </c>
      <c r="P167" s="59" t="n">
        <f aca="true">IF($A167="",0,INDEX(tblPosn,$A167,3))</f>
        <v>67958.8125</v>
      </c>
      <c r="Q167" s="59" t="n">
        <f aca="true">IF($A167="",0,INDEX(tblPosn,$A167,4))</f>
        <v>21922.19921875</v>
      </c>
      <c r="R167" s="59" t="n">
        <f aca="true">IF($A167="",0,INDEX(tblPosn,$A167,5))</f>
        <v>17537.759765625</v>
      </c>
      <c r="S167" s="59" t="n">
        <f aca="true">IF($A167="",0,INDEX(tblPosn,$A167,6))</f>
        <v>0</v>
      </c>
      <c r="T167" s="98" t="n">
        <f aca="false">O167*F167+P167*K167+R167*AC167+S167*AH167/0.72+Q167*X167</f>
        <v>0</v>
      </c>
      <c r="V167" s="161" t="n">
        <f aca="false">D167</f>
        <v>40969</v>
      </c>
      <c r="W167" s="94" t="n">
        <f aca="false">VLOOKUP($D167,tblPriorPrice,4)</f>
        <v>29</v>
      </c>
      <c r="X167" s="95" t="n">
        <f aca="false">Y167-W167</f>
        <v>0</v>
      </c>
      <c r="Y167" s="191" t="n">
        <f aca="true">Y155+OFFSET($CG$50,$B167,$C167)</f>
        <v>29</v>
      </c>
      <c r="Z167" s="96" t="n">
        <f aca="true">Y167+OFFSET($CU$51,$B167,$C167)</f>
        <v>24</v>
      </c>
      <c r="AA167" s="177" t="n">
        <f aca="true">Y167+OFFSET($DI$51,$B167,$C167)</f>
        <v>56</v>
      </c>
      <c r="AB167" s="94" t="n">
        <f aca="false">VLOOKUP($D167,tblPriorPrice,5)</f>
        <v>29</v>
      </c>
      <c r="AC167" s="190" t="n">
        <f aca="false">AD167-AB167</f>
        <v>0</v>
      </c>
      <c r="AD167" s="191" t="n">
        <f aca="true">AD155+OFFSET($CG$73,$B167,$C167)</f>
        <v>29</v>
      </c>
      <c r="AE167" s="96" t="n">
        <f aca="true">AD167+OFFSET($CU$74,$B167,$C167)</f>
        <v>24</v>
      </c>
      <c r="AF167" s="177" t="n">
        <f aca="true">AD167+OFFSET($DI$74,$B167,$C167)</f>
        <v>56</v>
      </c>
      <c r="AG167" s="94" t="n">
        <f aca="false">VLOOKUP($D167,tblPriorPrice,6)</f>
        <v>1</v>
      </c>
      <c r="AH167" s="190" t="n">
        <f aca="false">AI167-AG167</f>
        <v>0</v>
      </c>
      <c r="AI167" s="191" t="n">
        <f aca="true">AI155+OFFSET($CG$96,$B167,$C167)</f>
        <v>1</v>
      </c>
      <c r="AJ167" s="96" t="n">
        <f aca="true">AI167+OFFSET($CU$96,$B167,$C167)</f>
        <v>1</v>
      </c>
      <c r="AK167" s="97" t="n">
        <f aca="true">AI167+OFFSET($DI$96,$B167,$C167)</f>
        <v>1</v>
      </c>
      <c r="AL167" s="178" t="n">
        <v>46</v>
      </c>
      <c r="AM167" s="165" t="n">
        <v>0.4</v>
      </c>
      <c r="AN167" s="167" t="n">
        <f aca="false">'[3]Pricing Summary'!$AM145</f>
        <v>0.17</v>
      </c>
      <c r="AO167" s="167" t="n">
        <f aca="false">0.9*AN167</f>
        <v>0.153</v>
      </c>
      <c r="AP167" s="166" t="n">
        <f aca="false">1.5*AN167</f>
        <v>0.255</v>
      </c>
      <c r="AQ167" s="167" t="n">
        <f aca="false">AN167</f>
        <v>0.17</v>
      </c>
      <c r="AR167" s="166" t="n">
        <f aca="false">0.8*AQ167</f>
        <v>0.136</v>
      </c>
      <c r="AS167" s="166" t="n">
        <f aca="false">1.2*AQ167</f>
        <v>0.204</v>
      </c>
      <c r="AT167" s="169" t="n">
        <f aca="false">IF(G167&lt;110,17.94063*(LN(G167/100))+6.727568*(LN(G167/100)^2)+15.06494,(-4.1*G167+2135)/100)*0.5</f>
        <v>1.58278405940532</v>
      </c>
      <c r="AU167" s="169" t="n">
        <f aca="false">(0.75*AT167-AT167)</f>
        <v>-0.395696014851329</v>
      </c>
      <c r="AV167" s="166" t="n">
        <f aca="false">AT167/0.5*1.25-AT167</f>
        <v>2.37417608910797</v>
      </c>
      <c r="AW167" s="168" t="n">
        <f aca="false">IF(L167&lt;15,(15*L167+375)/100,(-4.71*L167+670.65)/100)*0.5</f>
        <v>2.6703</v>
      </c>
      <c r="AX167" s="166" t="n">
        <f aca="false">0.75*AW167-AW167</f>
        <v>-0.667575</v>
      </c>
      <c r="AY167" s="166" t="n">
        <f aca="false">AW167/0.5*1.25-AW167</f>
        <v>4.00545</v>
      </c>
      <c r="AZ167" s="167" t="n">
        <v>0.5</v>
      </c>
      <c r="BA167" s="74"/>
      <c r="BQ167" s="108" t="n">
        <v>36907.7428240741</v>
      </c>
      <c r="BR167" s="109" t="n">
        <v>36907.743287037</v>
      </c>
      <c r="BS167" s="110" t="n">
        <v>40909</v>
      </c>
      <c r="BT167" s="111" t="n">
        <v>93052.7265625</v>
      </c>
      <c r="BU167" s="112" t="n">
        <v>68681.7734375</v>
      </c>
      <c r="BV167" s="112" t="n">
        <v>17724.328125</v>
      </c>
      <c r="BW167" s="112" t="n">
        <v>26586.494140625</v>
      </c>
      <c r="BX167" s="113" t="n">
        <v>0</v>
      </c>
      <c r="BZ167" s="110" t="n">
        <v>40969</v>
      </c>
      <c r="CA167" s="185" t="n">
        <v>29</v>
      </c>
      <c r="CB167" s="116" t="n">
        <v>29</v>
      </c>
      <c r="CC167" s="181" t="n">
        <v>29</v>
      </c>
      <c r="CD167" s="181" t="n">
        <v>29</v>
      </c>
      <c r="CE167" s="117" t="n">
        <v>1</v>
      </c>
    </row>
    <row r="168" customFormat="false" ht="12.75" hidden="false" customHeight="false" outlineLevel="0" collapsed="false">
      <c r="A168" s="0" t="n">
        <f aca="true">IF(ISERROR(MATCH(D168,iRefDt,0)),"",MATCH(D168,iRefDt,0))</f>
        <v>168</v>
      </c>
      <c r="B168" s="92" t="n">
        <f aca="false">MATCH(YEAR(D168),iSpreads)</f>
        <v>12</v>
      </c>
      <c r="C168" s="0" t="n">
        <f aca="false">MONTH(D168)</f>
        <v>4</v>
      </c>
      <c r="D168" s="93" t="n">
        <f aca="false">DATE(YEAR(D167),MONTH(D167)+1,1)</f>
        <v>41000</v>
      </c>
      <c r="E168" s="94" t="n">
        <f aca="false">VLOOKUP($D168,tblPriorPrice,2)</f>
        <v>29</v>
      </c>
      <c r="F168" s="190" t="n">
        <f aca="false">G168-E168</f>
        <v>0</v>
      </c>
      <c r="G168" s="190" t="n">
        <f aca="true">G156+OFFSET($CG$4,$B168,$C168)</f>
        <v>29</v>
      </c>
      <c r="H168" s="96" t="n">
        <f aca="true">G168+OFFSET($CU$4,$B168,$C168)</f>
        <v>24</v>
      </c>
      <c r="I168" s="96" t="n">
        <f aca="true">G168+OFFSET($DI$4,$B168,$C168)</f>
        <v>55</v>
      </c>
      <c r="J168" s="94" t="n">
        <f aca="false">VLOOKUP($D168,tblPriorPrice,3)</f>
        <v>29</v>
      </c>
      <c r="K168" s="190" t="n">
        <f aca="false">L168-J168</f>
        <v>0</v>
      </c>
      <c r="L168" s="190" t="n">
        <f aca="true">L156+OFFSET($CG$27,$B168,$C168)</f>
        <v>29</v>
      </c>
      <c r="M168" s="96" t="n">
        <f aca="true">$L168+OFFSET($CU$27,$B168,$C168)</f>
        <v>24</v>
      </c>
      <c r="N168" s="97" t="n">
        <f aca="true">$L168+OFFSET($DI$27,$B168,$C168)</f>
        <v>45</v>
      </c>
      <c r="O168" s="59" t="n">
        <f aca="true">IF($A168="",0,INDEX(tblPosn,$A168,2))</f>
        <v>91589.703125</v>
      </c>
      <c r="P168" s="59" t="n">
        <f aca="true">IF($A168="",0,INDEX(tblPosn,$A168,3))</f>
        <v>65148.6328125</v>
      </c>
      <c r="Q168" s="59" t="n">
        <f aca="true">IF($A168="",0,INDEX(tblPosn,$A168,4))</f>
        <v>17445.658203125</v>
      </c>
      <c r="R168" s="59" t="n">
        <f aca="true">IF($A168="",0,INDEX(tblPosn,$A168,5))</f>
        <v>21807.072265625</v>
      </c>
      <c r="S168" s="59" t="n">
        <f aca="true">IF($A168="",0,INDEX(tblPosn,$A168,6))</f>
        <v>0</v>
      </c>
      <c r="T168" s="98" t="n">
        <f aca="false">O168*F168+P168*K168+R168*AC168+S168*AH168/0.72+Q168*X168</f>
        <v>0</v>
      </c>
      <c r="V168" s="161" t="n">
        <f aca="false">D168</f>
        <v>41000</v>
      </c>
      <c r="W168" s="94" t="n">
        <f aca="false">VLOOKUP($D168,tblPriorPrice,4)</f>
        <v>29</v>
      </c>
      <c r="X168" s="95" t="n">
        <f aca="false">Y168-W168</f>
        <v>0</v>
      </c>
      <c r="Y168" s="191" t="n">
        <f aca="true">Y156+OFFSET($CG$50,$B168,$C168)</f>
        <v>29</v>
      </c>
      <c r="Z168" s="96" t="n">
        <f aca="true">Y168+OFFSET($CU$51,$B168,$C168)</f>
        <v>24</v>
      </c>
      <c r="AA168" s="177" t="n">
        <f aca="true">Y168+OFFSET($DI$51,$B168,$C168)</f>
        <v>56</v>
      </c>
      <c r="AB168" s="94" t="n">
        <f aca="false">VLOOKUP($D168,tblPriorPrice,5)</f>
        <v>29</v>
      </c>
      <c r="AC168" s="190" t="n">
        <f aca="false">AD168-AB168</f>
        <v>0</v>
      </c>
      <c r="AD168" s="191" t="n">
        <f aca="true">AD156+OFFSET($CG$73,$B168,$C168)</f>
        <v>29</v>
      </c>
      <c r="AE168" s="96" t="n">
        <f aca="true">AD168+OFFSET($CU$74,$B168,$C168)</f>
        <v>24</v>
      </c>
      <c r="AF168" s="177" t="n">
        <f aca="true">AD168+OFFSET($DI$74,$B168,$C168)</f>
        <v>56</v>
      </c>
      <c r="AG168" s="94" t="n">
        <f aca="false">VLOOKUP($D168,tblPriorPrice,6)</f>
        <v>1</v>
      </c>
      <c r="AH168" s="190" t="n">
        <f aca="false">AI168-AG168</f>
        <v>0</v>
      </c>
      <c r="AI168" s="191" t="n">
        <f aca="true">AI156+OFFSET($CG$96,$B168,$C168)</f>
        <v>1</v>
      </c>
      <c r="AJ168" s="96" t="n">
        <f aca="true">AI168+OFFSET($CU$96,$B168,$C168)</f>
        <v>1</v>
      </c>
      <c r="AK168" s="97" t="n">
        <f aca="true">AI168+OFFSET($DI$96,$B168,$C168)</f>
        <v>1</v>
      </c>
      <c r="AL168" s="178" t="n">
        <v>46</v>
      </c>
      <c r="AM168" s="165" t="n">
        <v>0.4</v>
      </c>
      <c r="AN168" s="167" t="n">
        <f aca="false">'[3]Pricing Summary'!$AM146</f>
        <v>0.17</v>
      </c>
      <c r="AO168" s="167" t="n">
        <f aca="false">0.9*AN168</f>
        <v>0.153</v>
      </c>
      <c r="AP168" s="166" t="n">
        <f aca="false">1.5*AN168</f>
        <v>0.255</v>
      </c>
      <c r="AQ168" s="167" t="n">
        <f aca="false">AN168</f>
        <v>0.17</v>
      </c>
      <c r="AR168" s="166" t="n">
        <f aca="false">0.8*AQ168</f>
        <v>0.136</v>
      </c>
      <c r="AS168" s="166" t="n">
        <f aca="false">1.2*AQ168</f>
        <v>0.204</v>
      </c>
      <c r="AT168" s="169" t="n">
        <f aca="false">IF(G168&lt;110,17.94063*(LN(G168/100))+6.727568*(LN(G168/100)^2)+15.06494,(-4.1*G168+2135)/100)*0.5</f>
        <v>1.58278405940532</v>
      </c>
      <c r="AU168" s="169" t="n">
        <f aca="false">(0.75*AT168-AT168)</f>
        <v>-0.395696014851329</v>
      </c>
      <c r="AV168" s="166" t="n">
        <f aca="false">AT168/0.5*1.25-AT168</f>
        <v>2.37417608910797</v>
      </c>
      <c r="AW168" s="168" t="n">
        <f aca="false">IF(L168&lt;15,(15*L168+375)/100,(-4.71*L168+670.65)/100)*0.5</f>
        <v>2.6703</v>
      </c>
      <c r="AX168" s="166" t="n">
        <f aca="false">0.75*AW168-AW168</f>
        <v>-0.667575</v>
      </c>
      <c r="AY168" s="166" t="n">
        <f aca="false">AW168/0.5*1.25-AW168</f>
        <v>4.00545</v>
      </c>
      <c r="AZ168" s="167" t="n">
        <v>0.5</v>
      </c>
      <c r="BA168" s="74"/>
      <c r="BQ168" s="108" t="n">
        <v>36907.7428240741</v>
      </c>
      <c r="BR168" s="109" t="n">
        <v>36907.743287037</v>
      </c>
      <c r="BS168" s="110" t="n">
        <v>40940</v>
      </c>
      <c r="BT168" s="111" t="n">
        <v>92579.2578125</v>
      </c>
      <c r="BU168" s="112" t="n">
        <v>63923.76953125</v>
      </c>
      <c r="BV168" s="112" t="n">
        <v>17634.14453125</v>
      </c>
      <c r="BW168" s="112" t="n">
        <v>17634.14453125</v>
      </c>
      <c r="BX168" s="113" t="n">
        <v>0</v>
      </c>
      <c r="BZ168" s="110" t="n">
        <v>41000</v>
      </c>
      <c r="CA168" s="185" t="n">
        <v>29</v>
      </c>
      <c r="CB168" s="116" t="n">
        <v>29</v>
      </c>
      <c r="CC168" s="181" t="n">
        <v>29</v>
      </c>
      <c r="CD168" s="181" t="n">
        <v>29</v>
      </c>
      <c r="CE168" s="117" t="n">
        <v>1</v>
      </c>
    </row>
    <row r="169" customFormat="false" ht="12.75" hidden="false" customHeight="false" outlineLevel="0" collapsed="false">
      <c r="A169" s="0" t="n">
        <f aca="true">IF(ISERROR(MATCH(D169,iRefDt,0)),"",MATCH(D169,iRefDt,0))</f>
        <v>169</v>
      </c>
      <c r="B169" s="92" t="n">
        <f aca="false">MATCH(YEAR(D169),iSpreads)</f>
        <v>12</v>
      </c>
      <c r="C169" s="0" t="n">
        <f aca="false">MONTH(D169)</f>
        <v>5</v>
      </c>
      <c r="D169" s="93" t="n">
        <f aca="false">DATE(YEAR(D168),MONTH(D168)+1,1)</f>
        <v>41030</v>
      </c>
      <c r="E169" s="94" t="n">
        <f aca="false">VLOOKUP($D169,tblPriorPrice,2)</f>
        <v>32</v>
      </c>
      <c r="F169" s="190" t="n">
        <f aca="false">G169-E169</f>
        <v>0</v>
      </c>
      <c r="G169" s="190" t="n">
        <f aca="true">G157+OFFSET($CG$4,$B169,$C169)</f>
        <v>32</v>
      </c>
      <c r="H169" s="96" t="n">
        <f aca="true">G169+OFFSET($CU$4,$B169,$C169)</f>
        <v>27</v>
      </c>
      <c r="I169" s="96" t="n">
        <f aca="true">G169+OFFSET($DI$4,$B169,$C169)</f>
        <v>58</v>
      </c>
      <c r="J169" s="94" t="n">
        <f aca="false">VLOOKUP($D169,tblPriorPrice,3)</f>
        <v>32</v>
      </c>
      <c r="K169" s="190" t="n">
        <f aca="false">L169-J169</f>
        <v>0</v>
      </c>
      <c r="L169" s="190" t="n">
        <f aca="true">L157+OFFSET($CG$27,$B169,$C169)</f>
        <v>32</v>
      </c>
      <c r="M169" s="96" t="n">
        <f aca="true">$L169+OFFSET($CU$27,$B169,$C169)</f>
        <v>27</v>
      </c>
      <c r="N169" s="97" t="n">
        <f aca="true">$L169+OFFSET($DI$27,$B169,$C169)</f>
        <v>48</v>
      </c>
      <c r="O169" s="59" t="n">
        <f aca="true">IF($A169="",0,INDEX(tblPosn,$A169,2))</f>
        <v>95427.7265625</v>
      </c>
      <c r="P169" s="59" t="n">
        <f aca="true">IF($A169="",0,INDEX(tblPosn,$A169,3))</f>
        <v>67233.171875</v>
      </c>
      <c r="Q169" s="59" t="n">
        <f aca="true">IF($A169="",0,INDEX(tblPosn,$A169,4))</f>
        <v>17350.49609375</v>
      </c>
      <c r="R169" s="59" t="n">
        <f aca="true">IF($A169="",0,INDEX(tblPosn,$A169,5))</f>
        <v>21688.12109375</v>
      </c>
      <c r="S169" s="59" t="n">
        <f aca="true">IF($A169="",0,INDEX(tblPosn,$A169,6))</f>
        <v>0</v>
      </c>
      <c r="T169" s="98" t="n">
        <f aca="false">O169*F169+P169*K169+R169*AC169+S169*AH169/0.72+Q169*X169</f>
        <v>0</v>
      </c>
      <c r="V169" s="161" t="n">
        <f aca="false">D169</f>
        <v>41030</v>
      </c>
      <c r="W169" s="94" t="n">
        <f aca="false">VLOOKUP($D169,tblPriorPrice,4)</f>
        <v>32</v>
      </c>
      <c r="X169" s="95" t="n">
        <f aca="false">Y169-W169</f>
        <v>0</v>
      </c>
      <c r="Y169" s="191" t="n">
        <f aca="true">Y157+OFFSET($CG$50,$B169,$C169)</f>
        <v>32</v>
      </c>
      <c r="Z169" s="96" t="n">
        <f aca="true">Y169+OFFSET($CU$51,$B169,$C169)</f>
        <v>27</v>
      </c>
      <c r="AA169" s="177" t="n">
        <f aca="true">Y169+OFFSET($DI$51,$B169,$C169)</f>
        <v>59</v>
      </c>
      <c r="AB169" s="94" t="n">
        <f aca="false">VLOOKUP($D169,tblPriorPrice,5)</f>
        <v>32</v>
      </c>
      <c r="AC169" s="190" t="n">
        <f aca="false">AD169-AB169</f>
        <v>0</v>
      </c>
      <c r="AD169" s="191" t="n">
        <f aca="true">AD157+OFFSET($CG$73,$B169,$C169)</f>
        <v>32</v>
      </c>
      <c r="AE169" s="96" t="n">
        <f aca="true">AD169+OFFSET($CU$74,$B169,$C169)</f>
        <v>27</v>
      </c>
      <c r="AF169" s="177" t="n">
        <f aca="true">AD169+OFFSET($DI$74,$B169,$C169)</f>
        <v>59</v>
      </c>
      <c r="AG169" s="94" t="n">
        <f aca="false">VLOOKUP($D169,tblPriorPrice,6)</f>
        <v>1</v>
      </c>
      <c r="AH169" s="190" t="n">
        <f aca="false">AI169-AG169</f>
        <v>0</v>
      </c>
      <c r="AI169" s="191" t="n">
        <f aca="true">AI157+OFFSET($CG$96,$B169,$C169)</f>
        <v>1</v>
      </c>
      <c r="AJ169" s="96" t="n">
        <f aca="true">AI169+OFFSET($CU$96,$B169,$C169)</f>
        <v>1</v>
      </c>
      <c r="AK169" s="97" t="n">
        <f aca="true">AI169+OFFSET($DI$96,$B169,$C169)</f>
        <v>1</v>
      </c>
      <c r="AL169" s="178" t="n">
        <v>46</v>
      </c>
      <c r="AM169" s="165" t="n">
        <v>0.4</v>
      </c>
      <c r="AN169" s="167" t="n">
        <f aca="false">'[3]Pricing Summary'!$AM147</f>
        <v>0.17</v>
      </c>
      <c r="AO169" s="167" t="n">
        <f aca="false">0.9*AN169</f>
        <v>0.153</v>
      </c>
      <c r="AP169" s="166" t="n">
        <f aca="false">1.5*AN169</f>
        <v>0.255</v>
      </c>
      <c r="AQ169" s="167" t="n">
        <f aca="false">AN169</f>
        <v>0.17</v>
      </c>
      <c r="AR169" s="166" t="n">
        <f aca="false">0.8*AQ169</f>
        <v>0.136</v>
      </c>
      <c r="AS169" s="166" t="n">
        <f aca="false">1.2*AQ169</f>
        <v>0.204</v>
      </c>
      <c r="AT169" s="169" t="n">
        <f aca="false">IF(G169&lt;110,17.94063*(LN(G169/100))+6.727568*(LN(G169/100)^2)+15.06494,(-4.1*G169+2135)/100)*0.5</f>
        <v>1.67862159684781</v>
      </c>
      <c r="AU169" s="169" t="n">
        <f aca="false">(0.75*AT169-AT169)</f>
        <v>-0.419655399211954</v>
      </c>
      <c r="AV169" s="166" t="n">
        <f aca="false">AT169/0.5*1.25-AT169</f>
        <v>2.51793239527172</v>
      </c>
      <c r="AW169" s="168" t="n">
        <f aca="false">IF(L169&lt;15,(15*L169+375)/100,(-4.71*L169+670.65)/100)*0.5</f>
        <v>2.59965</v>
      </c>
      <c r="AX169" s="166" t="n">
        <f aca="false">0.75*AW169-AW169</f>
        <v>-0.6499125</v>
      </c>
      <c r="AY169" s="166" t="n">
        <f aca="false">AW169/0.5*1.25-AW169</f>
        <v>3.899475</v>
      </c>
      <c r="AZ169" s="167" t="n">
        <v>0.5</v>
      </c>
      <c r="BA169" s="74"/>
      <c r="BQ169" s="108" t="n">
        <v>36907.7428240741</v>
      </c>
      <c r="BR169" s="109" t="n">
        <v>36907.743287037</v>
      </c>
      <c r="BS169" s="110" t="n">
        <v>40969</v>
      </c>
      <c r="BT169" s="111" t="n">
        <v>96457.6796875</v>
      </c>
      <c r="BU169" s="112" t="n">
        <v>67958.8125</v>
      </c>
      <c r="BV169" s="112" t="n">
        <v>21922.19921875</v>
      </c>
      <c r="BW169" s="112" t="n">
        <v>17537.759765625</v>
      </c>
      <c r="BX169" s="113" t="n">
        <v>0</v>
      </c>
      <c r="BZ169" s="110" t="n">
        <v>41030</v>
      </c>
      <c r="CA169" s="185" t="n">
        <v>32</v>
      </c>
      <c r="CB169" s="116" t="n">
        <v>32</v>
      </c>
      <c r="CC169" s="181" t="n">
        <v>32</v>
      </c>
      <c r="CD169" s="181" t="n">
        <v>32</v>
      </c>
      <c r="CE169" s="117" t="n">
        <v>1</v>
      </c>
    </row>
    <row r="170" customFormat="false" ht="12.75" hidden="false" customHeight="false" outlineLevel="0" collapsed="false">
      <c r="A170" s="0" t="n">
        <f aca="true">IF(ISERROR(MATCH(D170,iRefDt,0)),"",MATCH(D170,iRefDt,0))</f>
        <v>170</v>
      </c>
      <c r="B170" s="92" t="n">
        <f aca="false">MATCH(YEAR(D170),iSpreads)</f>
        <v>12</v>
      </c>
      <c r="C170" s="0" t="n">
        <f aca="false">MONTH(D170)</f>
        <v>6</v>
      </c>
      <c r="D170" s="93" t="n">
        <f aca="false">DATE(YEAR(D169),MONTH(D169)+1,1)</f>
        <v>41061</v>
      </c>
      <c r="E170" s="94" t="n">
        <f aca="false">VLOOKUP($D170,tblPriorPrice,2)</f>
        <v>39</v>
      </c>
      <c r="F170" s="190" t="n">
        <f aca="false">G170-E170</f>
        <v>0</v>
      </c>
      <c r="G170" s="190" t="n">
        <f aca="true">G158+OFFSET($CG$4,$B170,$C170)</f>
        <v>39</v>
      </c>
      <c r="H170" s="96" t="n">
        <f aca="true">G170+OFFSET($CU$4,$B170,$C170)</f>
        <v>34</v>
      </c>
      <c r="I170" s="96" t="n">
        <f aca="true">G170+OFFSET($DI$4,$B170,$C170)</f>
        <v>65</v>
      </c>
      <c r="J170" s="94" t="n">
        <f aca="false">VLOOKUP($D170,tblPriorPrice,3)</f>
        <v>39</v>
      </c>
      <c r="K170" s="190" t="n">
        <f aca="false">L170-J170</f>
        <v>0</v>
      </c>
      <c r="L170" s="190" t="n">
        <f aca="true">L158+OFFSET($CG$27,$B170,$C170)</f>
        <v>39</v>
      </c>
      <c r="M170" s="96" t="n">
        <f aca="true">$L170+OFFSET($CU$27,$B170,$C170)</f>
        <v>34</v>
      </c>
      <c r="N170" s="97" t="n">
        <f aca="true">$L170+OFFSET($DI$27,$B170,$C170)</f>
        <v>55</v>
      </c>
      <c r="O170" s="59" t="n">
        <f aca="true">IF($A170="",0,INDEX(tblPosn,$A170,2))</f>
        <v>90612.78125</v>
      </c>
      <c r="P170" s="59" t="n">
        <f aca="true">IF($A170="",0,INDEX(tblPosn,$A170,3))</f>
        <v>64723.41796875</v>
      </c>
      <c r="Q170" s="59" t="n">
        <f aca="true">IF($A170="",0,INDEX(tblPosn,$A170,4))</f>
        <v>21574.47265625</v>
      </c>
      <c r="R170" s="59" t="n">
        <f aca="true">IF($A170="",0,INDEX(tblPosn,$A170,5))</f>
        <v>17259.578125</v>
      </c>
      <c r="S170" s="59" t="n">
        <f aca="true">IF($A170="",0,INDEX(tblPosn,$A170,6))</f>
        <v>0</v>
      </c>
      <c r="T170" s="98" t="n">
        <f aca="false">O170*F170+P170*K170+R170*AC170+S170*AH170/0.72+Q170*X170</f>
        <v>0</v>
      </c>
      <c r="V170" s="161" t="n">
        <f aca="false">D170</f>
        <v>41061</v>
      </c>
      <c r="W170" s="94" t="n">
        <f aca="false">VLOOKUP($D170,tblPriorPrice,4)</f>
        <v>39</v>
      </c>
      <c r="X170" s="95" t="n">
        <f aca="false">Y170-W170</f>
        <v>0</v>
      </c>
      <c r="Y170" s="191" t="n">
        <f aca="true">Y158+OFFSET($CG$50,$B170,$C170)</f>
        <v>39</v>
      </c>
      <c r="Z170" s="96" t="n">
        <f aca="true">Y170+OFFSET($CU$51,$B170,$C170)</f>
        <v>34</v>
      </c>
      <c r="AA170" s="177" t="n">
        <f aca="true">Y170+OFFSET($DI$51,$B170,$C170)</f>
        <v>66</v>
      </c>
      <c r="AB170" s="94" t="n">
        <f aca="false">VLOOKUP($D170,tblPriorPrice,5)</f>
        <v>39</v>
      </c>
      <c r="AC170" s="190" t="n">
        <f aca="false">AD170-AB170</f>
        <v>0</v>
      </c>
      <c r="AD170" s="191" t="n">
        <f aca="true">AD158+OFFSET($CG$73,$B170,$C170)</f>
        <v>39</v>
      </c>
      <c r="AE170" s="96" t="n">
        <f aca="true">AD170+OFFSET($CU$74,$B170,$C170)</f>
        <v>34</v>
      </c>
      <c r="AF170" s="177" t="n">
        <f aca="true">AD170+OFFSET($DI$74,$B170,$C170)</f>
        <v>66</v>
      </c>
      <c r="AG170" s="94" t="n">
        <f aca="false">VLOOKUP($D170,tblPriorPrice,6)</f>
        <v>1</v>
      </c>
      <c r="AH170" s="190" t="n">
        <f aca="false">AI170-AG170</f>
        <v>0</v>
      </c>
      <c r="AI170" s="191" t="n">
        <f aca="true">AI158+OFFSET($CG$96,$B170,$C170)</f>
        <v>1</v>
      </c>
      <c r="AJ170" s="96" t="n">
        <f aca="true">AI170+OFFSET($CU$96,$B170,$C170)</f>
        <v>1</v>
      </c>
      <c r="AK170" s="97" t="n">
        <f aca="true">AI170+OFFSET($DI$96,$B170,$C170)</f>
        <v>1</v>
      </c>
      <c r="AL170" s="178" t="n">
        <v>47</v>
      </c>
      <c r="AM170" s="165" t="n">
        <v>0.4</v>
      </c>
      <c r="AN170" s="167" t="n">
        <f aca="false">'[3]Pricing Summary'!$AM148</f>
        <v>0.17</v>
      </c>
      <c r="AO170" s="167" t="n">
        <f aca="false">0.9*AN170</f>
        <v>0.153</v>
      </c>
      <c r="AP170" s="166" t="n">
        <f aca="false">1.5*AN170</f>
        <v>0.255</v>
      </c>
      <c r="AQ170" s="167" t="n">
        <f aca="false">AN170</f>
        <v>0.17</v>
      </c>
      <c r="AR170" s="166" t="n">
        <f aca="false">0.8*AQ170</f>
        <v>0.136</v>
      </c>
      <c r="AS170" s="166" t="n">
        <f aca="false">1.2*AQ170</f>
        <v>0.204</v>
      </c>
      <c r="AT170" s="169" t="n">
        <f aca="false">IF(G170&lt;110,17.94063*(LN(G170/100))+6.727568*(LN(G170/100)^2)+15.06494,(-4.1*G170+2135)/100)*0.5</f>
        <v>2.06836530423771</v>
      </c>
      <c r="AU170" s="169" t="n">
        <f aca="false">(0.75*AT170-AT170)</f>
        <v>-0.517091326059428</v>
      </c>
      <c r="AV170" s="166" t="n">
        <f aca="false">AT170/0.5*1.25-AT170</f>
        <v>3.10254795635657</v>
      </c>
      <c r="AW170" s="168" t="n">
        <f aca="false">IF(L170&lt;15,(15*L170+375)/100,(-4.71*L170+670.65)/100)*0.5</f>
        <v>2.4348</v>
      </c>
      <c r="AX170" s="166" t="n">
        <f aca="false">0.75*AW170-AW170</f>
        <v>-0.6087</v>
      </c>
      <c r="AY170" s="166" t="n">
        <f aca="false">AW170/0.5*1.25-AW170</f>
        <v>3.6522</v>
      </c>
      <c r="AZ170" s="167" t="n">
        <v>0.5</v>
      </c>
      <c r="BA170" s="74"/>
      <c r="BQ170" s="108" t="n">
        <v>36907.7428240741</v>
      </c>
      <c r="BR170" s="109" t="n">
        <v>36907.743287037</v>
      </c>
      <c r="BS170" s="110" t="n">
        <v>41000</v>
      </c>
      <c r="BT170" s="111" t="n">
        <v>91589.703125</v>
      </c>
      <c r="BU170" s="112" t="n">
        <v>65148.6328125</v>
      </c>
      <c r="BV170" s="112" t="n">
        <v>17445.658203125</v>
      </c>
      <c r="BW170" s="112" t="n">
        <v>21807.072265625</v>
      </c>
      <c r="BX170" s="113" t="n">
        <v>0</v>
      </c>
      <c r="BZ170" s="110" t="n">
        <v>41061</v>
      </c>
      <c r="CA170" s="185" t="n">
        <v>39</v>
      </c>
      <c r="CB170" s="116" t="n">
        <v>39</v>
      </c>
      <c r="CC170" s="181" t="n">
        <v>39</v>
      </c>
      <c r="CD170" s="181" t="n">
        <v>39</v>
      </c>
      <c r="CE170" s="117" t="n">
        <v>1</v>
      </c>
    </row>
    <row r="171" customFormat="false" ht="12.75" hidden="false" customHeight="false" outlineLevel="0" collapsed="false">
      <c r="A171" s="0" t="n">
        <f aca="true">IF(ISERROR(MATCH(D171,iRefDt,0)),"",MATCH(D171,iRefDt,0))</f>
        <v>171</v>
      </c>
      <c r="B171" s="92" t="n">
        <f aca="false">MATCH(YEAR(D171),iSpreads)</f>
        <v>12</v>
      </c>
      <c r="C171" s="0" t="n">
        <f aca="false">MONTH(D171)</f>
        <v>7</v>
      </c>
      <c r="D171" s="93" t="n">
        <f aca="false">DATE(YEAR(D170),MONTH(D170)+1,1)</f>
        <v>41091</v>
      </c>
      <c r="E171" s="94" t="n">
        <f aca="false">VLOOKUP($D171,tblPriorPrice,2)</f>
        <v>39</v>
      </c>
      <c r="F171" s="190" t="n">
        <f aca="false">G171-E171</f>
        <v>0</v>
      </c>
      <c r="G171" s="190" t="n">
        <f aca="true">G159+OFFSET($CG$4,$B171,$C171)</f>
        <v>39</v>
      </c>
      <c r="H171" s="96" t="n">
        <f aca="true">G171+OFFSET($CU$4,$B171,$C171)</f>
        <v>34</v>
      </c>
      <c r="I171" s="96" t="n">
        <f aca="true">G171+OFFSET($DI$4,$B171,$C171)</f>
        <v>65</v>
      </c>
      <c r="J171" s="94" t="n">
        <f aca="false">VLOOKUP($D171,tblPriorPrice,3)</f>
        <v>39</v>
      </c>
      <c r="K171" s="190" t="n">
        <f aca="false">L171-J171</f>
        <v>0</v>
      </c>
      <c r="L171" s="190" t="n">
        <f aca="true">L159+OFFSET($CG$27,$B171,$C171)</f>
        <v>39</v>
      </c>
      <c r="M171" s="96" t="n">
        <f aca="true">$L171+OFFSET($CU$27,$B171,$C171)</f>
        <v>34</v>
      </c>
      <c r="N171" s="97" t="n">
        <f aca="true">$L171+OFFSET($DI$27,$B171,$C171)</f>
        <v>55</v>
      </c>
      <c r="O171" s="59" t="n">
        <f aca="true">IF($A171="",0,INDEX(tblPosn,$A171,2))</f>
        <v>90113.4765625</v>
      </c>
      <c r="P171" s="59" t="n">
        <f aca="true">IF($A171="",0,INDEX(tblPosn,$A171,3))</f>
        <v>66512.328125</v>
      </c>
      <c r="Q171" s="59" t="n">
        <f aca="true">IF($A171="",0,INDEX(tblPosn,$A171,4))</f>
        <v>17164.470703125</v>
      </c>
      <c r="R171" s="59" t="n">
        <f aca="true">IF($A171="",0,INDEX(tblPosn,$A171,5))</f>
        <v>25746.70703125</v>
      </c>
      <c r="S171" s="59" t="n">
        <f aca="true">IF($A171="",0,INDEX(tblPosn,$A171,6))</f>
        <v>0</v>
      </c>
      <c r="T171" s="98" t="n">
        <f aca="false">O171*F171+P171*K171+R171*AC171+S171*AH171/0.72+Q171*X171</f>
        <v>0</v>
      </c>
      <c r="V171" s="161" t="n">
        <f aca="false">D171</f>
        <v>41091</v>
      </c>
      <c r="W171" s="94" t="n">
        <f aca="false">VLOOKUP($D171,tblPriorPrice,4)</f>
        <v>39</v>
      </c>
      <c r="X171" s="95" t="n">
        <f aca="false">Y171-W171</f>
        <v>0</v>
      </c>
      <c r="Y171" s="191" t="n">
        <f aca="true">Y159+OFFSET($CG$50,$B171,$C171)</f>
        <v>39</v>
      </c>
      <c r="Z171" s="96" t="n">
        <f aca="true">Y171+OFFSET($CU$51,$B171,$C171)</f>
        <v>34</v>
      </c>
      <c r="AA171" s="177" t="n">
        <f aca="true">Y171+OFFSET($DI$51,$B171,$C171)</f>
        <v>66</v>
      </c>
      <c r="AB171" s="94" t="n">
        <f aca="false">VLOOKUP($D171,tblPriorPrice,5)</f>
        <v>39</v>
      </c>
      <c r="AC171" s="190" t="n">
        <f aca="false">AD171-AB171</f>
        <v>0</v>
      </c>
      <c r="AD171" s="191" t="n">
        <f aca="true">AD159+OFFSET($CG$73,$B171,$C171)</f>
        <v>39</v>
      </c>
      <c r="AE171" s="96" t="n">
        <f aca="true">AD171+OFFSET($CU$74,$B171,$C171)</f>
        <v>34</v>
      </c>
      <c r="AF171" s="177" t="n">
        <f aca="true">AD171+OFFSET($DI$74,$B171,$C171)</f>
        <v>66</v>
      </c>
      <c r="AG171" s="94" t="n">
        <f aca="false">VLOOKUP($D171,tblPriorPrice,6)</f>
        <v>1</v>
      </c>
      <c r="AH171" s="190" t="n">
        <f aca="false">AI171-AG171</f>
        <v>0</v>
      </c>
      <c r="AI171" s="191" t="n">
        <f aca="true">AI159+OFFSET($CG$96,$B171,$C171)</f>
        <v>1</v>
      </c>
      <c r="AJ171" s="96" t="n">
        <f aca="true">AI171+OFFSET($CU$96,$B171,$C171)</f>
        <v>1</v>
      </c>
      <c r="AK171" s="97" t="n">
        <f aca="true">AI171+OFFSET($DI$96,$B171,$C171)</f>
        <v>1</v>
      </c>
      <c r="AL171" s="178" t="n">
        <v>47</v>
      </c>
      <c r="AM171" s="165" t="n">
        <v>0.4</v>
      </c>
      <c r="AN171" s="167" t="n">
        <f aca="false">'[3]Pricing Summary'!$AM149</f>
        <v>0.17</v>
      </c>
      <c r="AO171" s="167" t="n">
        <f aca="false">0.9*AN171</f>
        <v>0.153</v>
      </c>
      <c r="AP171" s="166" t="n">
        <f aca="false">1.5*AN171</f>
        <v>0.255</v>
      </c>
      <c r="AQ171" s="167" t="n">
        <f aca="false">AN171</f>
        <v>0.17</v>
      </c>
      <c r="AR171" s="166" t="n">
        <f aca="false">0.8*AQ171</f>
        <v>0.136</v>
      </c>
      <c r="AS171" s="166" t="n">
        <f aca="false">1.2*AQ171</f>
        <v>0.204</v>
      </c>
      <c r="AT171" s="169" t="n">
        <f aca="false">IF(G171&lt;110,17.94063*(LN(G171/100))+6.727568*(LN(G171/100)^2)+15.06494,(-4.1*G171+2135)/100)*0.5</f>
        <v>2.06836530423771</v>
      </c>
      <c r="AU171" s="169" t="n">
        <f aca="false">(0.75*AT171-AT171)</f>
        <v>-0.517091326059428</v>
      </c>
      <c r="AV171" s="166" t="n">
        <f aca="false">AT171/0.5*1.25-AT171</f>
        <v>3.10254795635657</v>
      </c>
      <c r="AW171" s="168" t="n">
        <f aca="false">IF(L171&lt;15,(15*L171+375)/100,(-4.71*L171+670.65)/100)*0.5</f>
        <v>2.4348</v>
      </c>
      <c r="AX171" s="166" t="n">
        <f aca="false">0.75*AW171-AW171</f>
        <v>-0.6087</v>
      </c>
      <c r="AY171" s="166" t="n">
        <f aca="false">AW171/0.5*1.25-AW171</f>
        <v>3.6522</v>
      </c>
      <c r="AZ171" s="167" t="n">
        <v>0.5</v>
      </c>
      <c r="BA171" s="74"/>
      <c r="BQ171" s="108" t="n">
        <v>36907.7428240741</v>
      </c>
      <c r="BR171" s="109" t="n">
        <v>36907.743287037</v>
      </c>
      <c r="BS171" s="110" t="n">
        <v>41030</v>
      </c>
      <c r="BT171" s="111" t="n">
        <v>95427.7265625</v>
      </c>
      <c r="BU171" s="112" t="n">
        <v>67233.171875</v>
      </c>
      <c r="BV171" s="112" t="n">
        <v>17350.49609375</v>
      </c>
      <c r="BW171" s="112" t="n">
        <v>21688.12109375</v>
      </c>
      <c r="BX171" s="113" t="n">
        <v>0</v>
      </c>
      <c r="BZ171" s="110" t="n">
        <v>41091</v>
      </c>
      <c r="CA171" s="185" t="n">
        <v>39</v>
      </c>
      <c r="CB171" s="116" t="n">
        <v>39</v>
      </c>
      <c r="CC171" s="181" t="n">
        <v>39</v>
      </c>
      <c r="CD171" s="181" t="n">
        <v>39</v>
      </c>
      <c r="CE171" s="117" t="n">
        <v>1</v>
      </c>
    </row>
    <row r="172" customFormat="false" ht="12.75" hidden="false" customHeight="false" outlineLevel="0" collapsed="false">
      <c r="A172" s="0" t="n">
        <f aca="true">IF(ISERROR(MATCH(D172,iRefDt,0)),"",MATCH(D172,iRefDt,0))</f>
        <v>172</v>
      </c>
      <c r="B172" s="92" t="n">
        <f aca="false">MATCH(YEAR(D172),iSpreads)</f>
        <v>12</v>
      </c>
      <c r="C172" s="0" t="n">
        <f aca="false">MONTH(D172)</f>
        <v>8</v>
      </c>
      <c r="D172" s="93" t="n">
        <f aca="false">DATE(YEAR(D171),MONTH(D171)+1,1)</f>
        <v>41122</v>
      </c>
      <c r="E172" s="94" t="n">
        <f aca="false">VLOOKUP($D172,tblPriorPrice,2)</f>
        <v>41</v>
      </c>
      <c r="F172" s="190" t="n">
        <f aca="false">G172-E172</f>
        <v>0</v>
      </c>
      <c r="G172" s="190" t="n">
        <f aca="true">G160+OFFSET($CG$4,$B172,$C172)</f>
        <v>41</v>
      </c>
      <c r="H172" s="96" t="n">
        <f aca="true">G172+OFFSET($CU$4,$B172,$C172)</f>
        <v>36</v>
      </c>
      <c r="I172" s="96" t="n">
        <f aca="true">G172+OFFSET($DI$4,$B172,$C172)</f>
        <v>67</v>
      </c>
      <c r="J172" s="94" t="n">
        <f aca="false">VLOOKUP($D172,tblPriorPrice,3)</f>
        <v>41</v>
      </c>
      <c r="K172" s="190" t="n">
        <f aca="false">L172-J172</f>
        <v>0</v>
      </c>
      <c r="L172" s="190" t="n">
        <f aca="true">L160+OFFSET($CG$27,$B172,$C172)</f>
        <v>41</v>
      </c>
      <c r="M172" s="96" t="n">
        <f aca="true">$L172+OFFSET($CU$27,$B172,$C172)</f>
        <v>36</v>
      </c>
      <c r="N172" s="97" t="n">
        <f aca="true">$L172+OFFSET($DI$27,$B172,$C172)</f>
        <v>57</v>
      </c>
      <c r="O172" s="59" t="n">
        <f aca="true">IF($A172="",0,INDEX(tblPosn,$A172,2))</f>
        <v>98162.3046875</v>
      </c>
      <c r="P172" s="59" t="n">
        <f aca="true">IF($A172="",0,INDEX(tblPosn,$A172,3))</f>
        <v>66152.859375</v>
      </c>
      <c r="Q172" s="59" t="n">
        <f aca="true">IF($A172="",0,INDEX(tblPosn,$A172,4))</f>
        <v>17071.705078125</v>
      </c>
      <c r="R172" s="59" t="n">
        <f aca="true">IF($A172="",0,INDEX(tblPosn,$A172,5))</f>
        <v>17071.705078125</v>
      </c>
      <c r="S172" s="59" t="n">
        <f aca="true">IF($A172="",0,INDEX(tblPosn,$A172,6))</f>
        <v>0</v>
      </c>
      <c r="T172" s="98" t="n">
        <f aca="false">O172*F172+P172*K172+R172*AC172+S172*AH172/0.72+Q172*X172</f>
        <v>0</v>
      </c>
      <c r="V172" s="161" t="n">
        <f aca="false">D172</f>
        <v>41122</v>
      </c>
      <c r="W172" s="94" t="n">
        <f aca="false">VLOOKUP($D172,tblPriorPrice,4)</f>
        <v>41</v>
      </c>
      <c r="X172" s="95" t="n">
        <f aca="false">Y172-W172</f>
        <v>0</v>
      </c>
      <c r="Y172" s="191" t="n">
        <f aca="true">Y160+OFFSET($CG$50,$B172,$C172)</f>
        <v>41</v>
      </c>
      <c r="Z172" s="96" t="n">
        <f aca="true">Y172+OFFSET($CU$51,$B172,$C172)</f>
        <v>36</v>
      </c>
      <c r="AA172" s="177" t="n">
        <f aca="true">Y172+OFFSET($DI$51,$B172,$C172)</f>
        <v>68</v>
      </c>
      <c r="AB172" s="94" t="n">
        <f aca="false">VLOOKUP($D172,tblPriorPrice,5)</f>
        <v>41</v>
      </c>
      <c r="AC172" s="190" t="n">
        <f aca="false">AD172-AB172</f>
        <v>0</v>
      </c>
      <c r="AD172" s="191" t="n">
        <f aca="true">AD160+OFFSET($CG$73,$B172,$C172)</f>
        <v>41</v>
      </c>
      <c r="AE172" s="96" t="n">
        <f aca="true">AD172+OFFSET($CU$74,$B172,$C172)</f>
        <v>36</v>
      </c>
      <c r="AF172" s="177" t="n">
        <f aca="true">AD172+OFFSET($DI$74,$B172,$C172)</f>
        <v>68</v>
      </c>
      <c r="AG172" s="94" t="n">
        <f aca="false">VLOOKUP($D172,tblPriorPrice,6)</f>
        <v>1</v>
      </c>
      <c r="AH172" s="190" t="n">
        <f aca="false">AI172-AG172</f>
        <v>0</v>
      </c>
      <c r="AI172" s="191" t="n">
        <f aca="true">AI160+OFFSET($CG$96,$B172,$C172)</f>
        <v>1</v>
      </c>
      <c r="AJ172" s="96" t="n">
        <f aca="true">AI172+OFFSET($CU$96,$B172,$C172)</f>
        <v>1</v>
      </c>
      <c r="AK172" s="97" t="n">
        <f aca="true">AI172+OFFSET($DI$96,$B172,$C172)</f>
        <v>1</v>
      </c>
      <c r="AL172" s="178" t="n">
        <v>47</v>
      </c>
      <c r="AM172" s="165" t="n">
        <v>0.4</v>
      </c>
      <c r="AN172" s="167" t="n">
        <f aca="false">'[3]Pricing Summary'!$AM150</f>
        <v>0.17</v>
      </c>
      <c r="AO172" s="167" t="n">
        <f aca="false">0.9*AN172</f>
        <v>0.153</v>
      </c>
      <c r="AP172" s="166" t="n">
        <f aca="false">1.5*AN172</f>
        <v>0.255</v>
      </c>
      <c r="AQ172" s="167" t="n">
        <f aca="false">AN172</f>
        <v>0.17</v>
      </c>
      <c r="AR172" s="166" t="n">
        <f aca="false">0.8*AQ172</f>
        <v>0.136</v>
      </c>
      <c r="AS172" s="166" t="n">
        <f aca="false">1.2*AQ172</f>
        <v>0.204</v>
      </c>
      <c r="AT172" s="169" t="n">
        <f aca="false">IF(G172&lt;110,17.94063*(LN(G172/100))+6.727568*(LN(G172/100)^2)+15.06494,(-4.1*G172+2135)/100)*0.5</f>
        <v>2.20858471004844</v>
      </c>
      <c r="AU172" s="169" t="n">
        <f aca="false">(0.75*AT172-AT172)</f>
        <v>-0.552146177512111</v>
      </c>
      <c r="AV172" s="166" t="n">
        <f aca="false">AT172/0.5*1.25-AT172</f>
        <v>3.31287706507267</v>
      </c>
      <c r="AW172" s="168" t="n">
        <f aca="false">IF(L172&lt;15,(15*L172+375)/100,(-4.71*L172+670.65)/100)*0.5</f>
        <v>2.3877</v>
      </c>
      <c r="AX172" s="166" t="n">
        <f aca="false">0.75*AW172-AW172</f>
        <v>-0.596925</v>
      </c>
      <c r="AY172" s="166" t="n">
        <f aca="false">AW172/0.5*1.25-AW172</f>
        <v>3.58155</v>
      </c>
      <c r="AZ172" s="167" t="n">
        <v>0.5</v>
      </c>
      <c r="BA172" s="74"/>
      <c r="BQ172" s="108" t="n">
        <v>36907.7428240741</v>
      </c>
      <c r="BR172" s="109" t="n">
        <v>36907.743287037</v>
      </c>
      <c r="BS172" s="110" t="n">
        <v>41061</v>
      </c>
      <c r="BT172" s="111" t="n">
        <v>90612.78125</v>
      </c>
      <c r="BU172" s="112" t="n">
        <v>64723.41796875</v>
      </c>
      <c r="BV172" s="112" t="n">
        <v>21574.47265625</v>
      </c>
      <c r="BW172" s="112" t="n">
        <v>17259.578125</v>
      </c>
      <c r="BX172" s="113" t="n">
        <v>0</v>
      </c>
      <c r="BZ172" s="110" t="n">
        <v>41122</v>
      </c>
      <c r="CA172" s="185" t="n">
        <v>41</v>
      </c>
      <c r="CB172" s="116" t="n">
        <v>41</v>
      </c>
      <c r="CC172" s="181" t="n">
        <v>41</v>
      </c>
      <c r="CD172" s="181" t="n">
        <v>41</v>
      </c>
      <c r="CE172" s="117" t="n">
        <v>1</v>
      </c>
    </row>
    <row r="173" customFormat="false" ht="12.75" hidden="false" customHeight="false" outlineLevel="0" collapsed="false">
      <c r="A173" s="0" t="n">
        <f aca="true">IF(ISERROR(MATCH(D173,iRefDt,0)),"",MATCH(D173,iRefDt,0))</f>
        <v>173</v>
      </c>
      <c r="B173" s="92" t="n">
        <f aca="false">MATCH(YEAR(D173),iSpreads)</f>
        <v>12</v>
      </c>
      <c r="C173" s="0" t="n">
        <f aca="false">MONTH(D173)</f>
        <v>9</v>
      </c>
      <c r="D173" s="93" t="n">
        <f aca="false">DATE(YEAR(D172),MONTH(D172)+1,1)</f>
        <v>41153</v>
      </c>
      <c r="E173" s="94" t="n">
        <f aca="false">VLOOKUP($D173,tblPriorPrice,2)</f>
        <v>35</v>
      </c>
      <c r="F173" s="190" t="n">
        <f aca="false">G173-E173</f>
        <v>0</v>
      </c>
      <c r="G173" s="190" t="n">
        <f aca="true">G161+OFFSET($CG$4,$B173,$C173)</f>
        <v>35</v>
      </c>
      <c r="H173" s="96" t="n">
        <f aca="true">G173+OFFSET($CU$4,$B173,$C173)</f>
        <v>30</v>
      </c>
      <c r="I173" s="96" t="n">
        <f aca="true">G173+OFFSET($DI$4,$B173,$C173)</f>
        <v>61</v>
      </c>
      <c r="J173" s="94" t="n">
        <f aca="false">VLOOKUP($D173,tblPriorPrice,3)</f>
        <v>35</v>
      </c>
      <c r="K173" s="190" t="n">
        <f aca="false">L173-J173</f>
        <v>0</v>
      </c>
      <c r="L173" s="190" t="n">
        <f aca="true">L161+OFFSET($CG$27,$B173,$C173)</f>
        <v>35</v>
      </c>
      <c r="M173" s="96" t="n">
        <f aca="true">$L173+OFFSET($CU$27,$B173,$C173)</f>
        <v>30</v>
      </c>
      <c r="N173" s="97" t="n">
        <f aca="true">$L173+OFFSET($DI$27,$B173,$C173)</f>
        <v>51</v>
      </c>
      <c r="O173" s="59" t="n">
        <f aca="true">IF($A173="",0,INDEX(tblPosn,$A173,2))</f>
        <v>80651.703125</v>
      </c>
      <c r="P173" s="59" t="n">
        <f aca="true">IF($A173="",0,INDEX(tblPosn,$A173,3))</f>
        <v>63672.390625</v>
      </c>
      <c r="Q173" s="59" t="n">
        <f aca="true">IF($A173="",0,INDEX(tblPosn,$A173,4))</f>
        <v>21224.130859375</v>
      </c>
      <c r="R173" s="59" t="n">
        <f aca="true">IF($A173="",0,INDEX(tblPosn,$A173,5))</f>
        <v>25468.95703125</v>
      </c>
      <c r="S173" s="59" t="n">
        <f aca="true">IF($A173="",0,INDEX(tblPosn,$A173,6))</f>
        <v>0</v>
      </c>
      <c r="T173" s="98" t="n">
        <f aca="false">O173*F173+P173*K173+R173*AC173+S173*AH173/0.72+Q173*X173</f>
        <v>0</v>
      </c>
      <c r="V173" s="161" t="n">
        <f aca="false">D173</f>
        <v>41153</v>
      </c>
      <c r="W173" s="94" t="n">
        <f aca="false">VLOOKUP($D173,tblPriorPrice,4)</f>
        <v>35</v>
      </c>
      <c r="X173" s="95" t="n">
        <f aca="false">Y173-W173</f>
        <v>0</v>
      </c>
      <c r="Y173" s="191" t="n">
        <f aca="true">Y161+OFFSET($CG$50,$B173,$C173)</f>
        <v>35</v>
      </c>
      <c r="Z173" s="96" t="n">
        <f aca="true">Y173+OFFSET($CU$51,$B173,$C173)</f>
        <v>30</v>
      </c>
      <c r="AA173" s="177" t="n">
        <f aca="true">Y173+OFFSET($DI$51,$B173,$C173)</f>
        <v>62</v>
      </c>
      <c r="AB173" s="94" t="n">
        <f aca="false">VLOOKUP($D173,tblPriorPrice,5)</f>
        <v>35</v>
      </c>
      <c r="AC173" s="190" t="n">
        <f aca="false">AD173-AB173</f>
        <v>0</v>
      </c>
      <c r="AD173" s="191" t="n">
        <f aca="true">AD161+OFFSET($CG$73,$B173,$C173)</f>
        <v>35</v>
      </c>
      <c r="AE173" s="96" t="n">
        <f aca="true">AD173+OFFSET($CU$74,$B173,$C173)</f>
        <v>30</v>
      </c>
      <c r="AF173" s="177" t="n">
        <f aca="true">AD173+OFFSET($DI$74,$B173,$C173)</f>
        <v>62</v>
      </c>
      <c r="AG173" s="94" t="n">
        <f aca="false">VLOOKUP($D173,tblPriorPrice,6)</f>
        <v>1</v>
      </c>
      <c r="AH173" s="190" t="n">
        <f aca="false">AI173-AG173</f>
        <v>0</v>
      </c>
      <c r="AI173" s="191" t="n">
        <f aca="true">AI161+OFFSET($CG$96,$B173,$C173)</f>
        <v>1</v>
      </c>
      <c r="AJ173" s="96" t="n">
        <f aca="true">AI173+OFFSET($CU$96,$B173,$C173)</f>
        <v>1</v>
      </c>
      <c r="AK173" s="97" t="n">
        <f aca="true">AI173+OFFSET($DI$96,$B173,$C173)</f>
        <v>1</v>
      </c>
      <c r="AL173" s="178" t="n">
        <v>48</v>
      </c>
      <c r="AM173" s="165" t="n">
        <v>0.4</v>
      </c>
      <c r="AN173" s="167" t="n">
        <f aca="false">'[3]Pricing Summary'!$AM151</f>
        <v>0.17</v>
      </c>
      <c r="AO173" s="167" t="n">
        <f aca="false">0.9*AN173</f>
        <v>0.153</v>
      </c>
      <c r="AP173" s="166" t="n">
        <f aca="false">1.5*AN173</f>
        <v>0.255</v>
      </c>
      <c r="AQ173" s="167" t="n">
        <f aca="false">AN173</f>
        <v>0.17</v>
      </c>
      <c r="AR173" s="166" t="n">
        <f aca="false">0.8*AQ173</f>
        <v>0.136</v>
      </c>
      <c r="AS173" s="166" t="n">
        <f aca="false">1.2*AQ173</f>
        <v>0.204</v>
      </c>
      <c r="AT173" s="169" t="n">
        <f aca="false">IF(G173&lt;110,17.94063*(LN(G173/100))+6.727568*(LN(G173/100)^2)+15.06494,(-4.1*G173+2135)/100)*0.5</f>
        <v>1.82255031269953</v>
      </c>
      <c r="AU173" s="169" t="n">
        <f aca="false">(0.75*AT173-AT173)</f>
        <v>-0.455637578174882</v>
      </c>
      <c r="AV173" s="166" t="n">
        <f aca="false">AT173/0.5*1.25-AT173</f>
        <v>2.73382546904929</v>
      </c>
      <c r="AW173" s="168" t="n">
        <f aca="false">IF(L173&lt;15,(15*L173+375)/100,(-4.71*L173+670.65)/100)*0.5</f>
        <v>2.529</v>
      </c>
      <c r="AX173" s="166" t="n">
        <f aca="false">0.75*AW173-AW173</f>
        <v>-0.63225</v>
      </c>
      <c r="AY173" s="166" t="n">
        <f aca="false">AW173/0.5*1.25-AW173</f>
        <v>3.7935</v>
      </c>
      <c r="AZ173" s="167" t="n">
        <v>0.5</v>
      </c>
      <c r="BA173" s="74"/>
      <c r="BQ173" s="108" t="n">
        <v>36907.7428240741</v>
      </c>
      <c r="BR173" s="109" t="n">
        <v>36907.743287037</v>
      </c>
      <c r="BS173" s="110" t="n">
        <v>41091</v>
      </c>
      <c r="BT173" s="111" t="n">
        <v>90113.4765625</v>
      </c>
      <c r="BU173" s="112" t="n">
        <v>66512.328125</v>
      </c>
      <c r="BV173" s="112" t="n">
        <v>17164.470703125</v>
      </c>
      <c r="BW173" s="112" t="n">
        <v>25746.70703125</v>
      </c>
      <c r="BX173" s="113" t="n">
        <v>0</v>
      </c>
      <c r="BZ173" s="110" t="n">
        <v>41153</v>
      </c>
      <c r="CA173" s="185" t="n">
        <v>35</v>
      </c>
      <c r="CB173" s="116" t="n">
        <v>35</v>
      </c>
      <c r="CC173" s="181" t="n">
        <v>35</v>
      </c>
      <c r="CD173" s="181" t="n">
        <v>35</v>
      </c>
      <c r="CE173" s="117" t="n">
        <v>1</v>
      </c>
    </row>
    <row r="174" customFormat="false" ht="12.75" hidden="false" customHeight="false" outlineLevel="0" collapsed="false">
      <c r="A174" s="0" t="n">
        <f aca="true">IF(ISERROR(MATCH(D174,iRefDt,0)),"",MATCH(D174,iRefDt,0))</f>
        <v>174</v>
      </c>
      <c r="B174" s="92" t="n">
        <f aca="false">MATCH(YEAR(D174),iSpreads)</f>
        <v>12</v>
      </c>
      <c r="C174" s="0" t="n">
        <f aca="false">MONTH(D174)</f>
        <v>10</v>
      </c>
      <c r="D174" s="93" t="n">
        <f aca="false">DATE(YEAR(D173),MONTH(D173)+1,1)</f>
        <v>41183</v>
      </c>
      <c r="E174" s="94" t="n">
        <f aca="false">VLOOKUP($D174,tblPriorPrice,2)</f>
        <v>37</v>
      </c>
      <c r="F174" s="190" t="n">
        <f aca="false">G174-E174</f>
        <v>0</v>
      </c>
      <c r="G174" s="190" t="n">
        <f aca="true">G162+OFFSET($CG$4,$B174,$C174)</f>
        <v>37</v>
      </c>
      <c r="H174" s="96" t="n">
        <f aca="true">G174+OFFSET($CU$4,$B174,$C174)</f>
        <v>32</v>
      </c>
      <c r="I174" s="96" t="n">
        <f aca="true">G174+OFFSET($DI$4,$B174,$C174)</f>
        <v>63</v>
      </c>
      <c r="J174" s="94" t="n">
        <f aca="false">VLOOKUP($D174,tblPriorPrice,3)</f>
        <v>37</v>
      </c>
      <c r="K174" s="190" t="n">
        <f aca="false">L174-J174</f>
        <v>0</v>
      </c>
      <c r="L174" s="190" t="n">
        <f aca="true">L162+OFFSET($CG$27,$B174,$C174)</f>
        <v>37</v>
      </c>
      <c r="M174" s="96" t="n">
        <f aca="true">$L174+OFFSET($CU$27,$B174,$C174)</f>
        <v>32</v>
      </c>
      <c r="N174" s="97" t="n">
        <f aca="true">$L174+OFFSET($DI$27,$B174,$C174)</f>
        <v>53</v>
      </c>
      <c r="O174" s="59" t="n">
        <f aca="true">IF($A174="",0,INDEX(tblPosn,$A174,2))</f>
        <v>97100.09375</v>
      </c>
      <c r="P174" s="59" t="n">
        <f aca="true">IF($A174="",0,INDEX(tblPosn,$A174,3))</f>
        <v>65700.875</v>
      </c>
      <c r="Q174" s="59" t="n">
        <f aca="true">IF($A174="",0,INDEX(tblPosn,$A174,4))</f>
        <v>16886.97265625</v>
      </c>
      <c r="R174" s="59" t="n">
        <f aca="true">IF($A174="",0,INDEX(tblPosn,$A174,5))</f>
        <v>16886.97265625</v>
      </c>
      <c r="S174" s="59" t="n">
        <f aca="true">IF($A174="",0,INDEX(tblPosn,$A174,6))</f>
        <v>0</v>
      </c>
      <c r="T174" s="98" t="n">
        <f aca="false">O174*F174+P174*K174+R174*AC174+S174*AH174/0.72+Q174*X174</f>
        <v>0</v>
      </c>
      <c r="V174" s="161" t="n">
        <f aca="false">D174</f>
        <v>41183</v>
      </c>
      <c r="W174" s="94" t="n">
        <f aca="false">VLOOKUP($D174,tblPriorPrice,4)</f>
        <v>37</v>
      </c>
      <c r="X174" s="95" t="n">
        <f aca="false">Y174-W174</f>
        <v>0</v>
      </c>
      <c r="Y174" s="191" t="n">
        <f aca="true">Y162+OFFSET($CG$50,$B174,$C174)</f>
        <v>37</v>
      </c>
      <c r="Z174" s="96" t="n">
        <f aca="true">Y174+OFFSET($CU$51,$B174,$C174)</f>
        <v>32</v>
      </c>
      <c r="AA174" s="177" t="n">
        <f aca="true">Y174+OFFSET($DI$51,$B174,$C174)</f>
        <v>64</v>
      </c>
      <c r="AB174" s="94" t="n">
        <f aca="false">VLOOKUP($D174,tblPriorPrice,5)</f>
        <v>37</v>
      </c>
      <c r="AC174" s="190" t="n">
        <f aca="false">AD174-AB174</f>
        <v>0</v>
      </c>
      <c r="AD174" s="191" t="n">
        <f aca="true">AD162+OFFSET($CG$73,$B174,$C174)</f>
        <v>37</v>
      </c>
      <c r="AE174" s="96" t="n">
        <f aca="true">AD174+OFFSET($CU$74,$B174,$C174)</f>
        <v>32</v>
      </c>
      <c r="AF174" s="177" t="n">
        <f aca="true">AD174+OFFSET($DI$74,$B174,$C174)</f>
        <v>64</v>
      </c>
      <c r="AG174" s="94" t="n">
        <f aca="false">VLOOKUP($D174,tblPriorPrice,6)</f>
        <v>1</v>
      </c>
      <c r="AH174" s="190" t="n">
        <f aca="false">AI174-AG174</f>
        <v>0</v>
      </c>
      <c r="AI174" s="191" t="n">
        <f aca="true">AI162+OFFSET($CG$96,$B174,$C174)</f>
        <v>1</v>
      </c>
      <c r="AJ174" s="96" t="n">
        <f aca="true">AI174+OFFSET($CU$96,$B174,$C174)</f>
        <v>1</v>
      </c>
      <c r="AK174" s="97" t="n">
        <f aca="true">AI174+OFFSET($DI$96,$B174,$C174)</f>
        <v>1</v>
      </c>
      <c r="AL174" s="178" t="n">
        <v>48</v>
      </c>
      <c r="AM174" s="165" t="n">
        <v>0.4</v>
      </c>
      <c r="AN174" s="167" t="n">
        <f aca="false">'[3]Pricing Summary'!$AM152</f>
        <v>0.17</v>
      </c>
      <c r="AO174" s="167" t="n">
        <f aca="false">0.9*AN174</f>
        <v>0.153</v>
      </c>
      <c r="AP174" s="166" t="n">
        <f aca="false">1.5*AN174</f>
        <v>0.255</v>
      </c>
      <c r="AQ174" s="167" t="n">
        <f aca="false">AN174</f>
        <v>0.17</v>
      </c>
      <c r="AR174" s="166" t="n">
        <f aca="false">0.8*AQ174</f>
        <v>0.136</v>
      </c>
      <c r="AS174" s="166" t="n">
        <f aca="false">1.2*AQ174</f>
        <v>0.204</v>
      </c>
      <c r="AT174" s="169" t="n">
        <f aca="false">IF(G174&lt;110,17.94063*(LN(G174/100))+6.727568*(LN(G174/100)^2)+15.06494,(-4.1*G174+2135)/100)*0.5</f>
        <v>1.93894082389981</v>
      </c>
      <c r="AU174" s="169" t="n">
        <f aca="false">(0.75*AT174-AT174)</f>
        <v>-0.484735205974953</v>
      </c>
      <c r="AV174" s="166" t="n">
        <f aca="false">AT174/0.5*1.25-AT174</f>
        <v>2.90841123584972</v>
      </c>
      <c r="AW174" s="168" t="n">
        <f aca="false">IF(L174&lt;15,(15*L174+375)/100,(-4.71*L174+670.65)/100)*0.5</f>
        <v>2.4819</v>
      </c>
      <c r="AX174" s="166" t="n">
        <f aca="false">0.75*AW174-AW174</f>
        <v>-0.620475</v>
      </c>
      <c r="AY174" s="166" t="n">
        <f aca="false">AW174/0.5*1.25-AW174</f>
        <v>3.72285</v>
      </c>
      <c r="AZ174" s="167" t="n">
        <v>0.5</v>
      </c>
      <c r="BA174" s="74"/>
      <c r="BQ174" s="108" t="n">
        <v>36907.7428240741</v>
      </c>
      <c r="BR174" s="109" t="n">
        <v>36907.743287037</v>
      </c>
      <c r="BS174" s="110" t="n">
        <v>41122</v>
      </c>
      <c r="BT174" s="111" t="n">
        <v>98162.3046875</v>
      </c>
      <c r="BU174" s="112" t="n">
        <v>66152.859375</v>
      </c>
      <c r="BV174" s="112" t="n">
        <v>17071.705078125</v>
      </c>
      <c r="BW174" s="112" t="n">
        <v>17071.705078125</v>
      </c>
      <c r="BX174" s="113" t="n">
        <v>0</v>
      </c>
      <c r="BZ174" s="110" t="n">
        <v>41183</v>
      </c>
      <c r="CA174" s="185" t="n">
        <v>37</v>
      </c>
      <c r="CB174" s="116" t="n">
        <v>37</v>
      </c>
      <c r="CC174" s="181" t="n">
        <v>37</v>
      </c>
      <c r="CD174" s="181" t="n">
        <v>37</v>
      </c>
      <c r="CE174" s="117" t="n">
        <v>1</v>
      </c>
    </row>
    <row r="175" customFormat="false" ht="12.75" hidden="false" customHeight="false" outlineLevel="0" collapsed="false">
      <c r="A175" s="0" t="n">
        <f aca="true">IF(ISERROR(MATCH(D175,iRefDt,0)),"",MATCH(D175,iRefDt,0))</f>
        <v>175</v>
      </c>
      <c r="B175" s="92" t="n">
        <f aca="false">MATCH(YEAR(D175),iSpreads)</f>
        <v>12</v>
      </c>
      <c r="C175" s="0" t="n">
        <f aca="false">MONTH(D175)</f>
        <v>11</v>
      </c>
      <c r="D175" s="93" t="n">
        <f aca="false">DATE(YEAR(D174),MONTH(D174)+1,1)</f>
        <v>41214</v>
      </c>
      <c r="E175" s="94" t="n">
        <f aca="false">VLOOKUP($D175,tblPriorPrice,2)</f>
        <v>31</v>
      </c>
      <c r="F175" s="190" t="n">
        <f aca="false">G175-E175</f>
        <v>0</v>
      </c>
      <c r="G175" s="190" t="n">
        <f aca="true">G163+OFFSET($CG$4,$B175,$C175)</f>
        <v>31</v>
      </c>
      <c r="H175" s="96" t="n">
        <f aca="true">G175+OFFSET($CU$4,$B175,$C175)</f>
        <v>26</v>
      </c>
      <c r="I175" s="96" t="n">
        <f aca="true">G175+OFFSET($DI$4,$B175,$C175)</f>
        <v>57</v>
      </c>
      <c r="J175" s="94" t="n">
        <f aca="false">VLOOKUP($D175,tblPriorPrice,3)</f>
        <v>31</v>
      </c>
      <c r="K175" s="190" t="n">
        <f aca="false">L175-J175</f>
        <v>0</v>
      </c>
      <c r="L175" s="190" t="n">
        <f aca="true">L163+OFFSET($CG$27,$B175,$C175)</f>
        <v>31</v>
      </c>
      <c r="M175" s="96" t="n">
        <f aca="true">$L175+OFFSET($CU$27,$B175,$C175)</f>
        <v>26</v>
      </c>
      <c r="N175" s="97" t="n">
        <f aca="true">$L175+OFFSET($DI$27,$B175,$C175)</f>
        <v>47</v>
      </c>
      <c r="O175" s="59" t="n">
        <f aca="true">IF($A175="",0,INDEX(tblPosn,$A175,2))</f>
        <v>88185.6953125</v>
      </c>
      <c r="P175" s="59" t="n">
        <f aca="true">IF($A175="",0,INDEX(tblPosn,$A175,3))</f>
        <v>62989.78125</v>
      </c>
      <c r="Q175" s="59" t="n">
        <f aca="true">IF($A175="",0,INDEX(tblPosn,$A175,4))</f>
        <v>16797.275390625</v>
      </c>
      <c r="R175" s="59" t="n">
        <f aca="true">IF($A175="",0,INDEX(tblPosn,$A175,5))</f>
        <v>20996.59375</v>
      </c>
      <c r="S175" s="59" t="n">
        <f aca="true">IF($A175="",0,INDEX(tblPosn,$A175,6))</f>
        <v>0</v>
      </c>
      <c r="T175" s="98" t="n">
        <f aca="false">O175*F175+P175*K175+R175*AC175+S175*AH175/0.72+Q175*X175</f>
        <v>0</v>
      </c>
      <c r="V175" s="161" t="n">
        <f aca="false">D175</f>
        <v>41214</v>
      </c>
      <c r="W175" s="94" t="n">
        <f aca="false">VLOOKUP($D175,tblPriorPrice,4)</f>
        <v>31</v>
      </c>
      <c r="X175" s="95" t="n">
        <f aca="false">Y175-W175</f>
        <v>0</v>
      </c>
      <c r="Y175" s="191" t="n">
        <f aca="true">Y163+OFFSET($CG$50,$B175,$C175)</f>
        <v>31</v>
      </c>
      <c r="Z175" s="96" t="n">
        <f aca="true">Y175+OFFSET($CU$51,$B175,$C175)</f>
        <v>26</v>
      </c>
      <c r="AA175" s="177" t="n">
        <f aca="true">Y175+OFFSET($DI$51,$B175,$C175)</f>
        <v>58</v>
      </c>
      <c r="AB175" s="94" t="n">
        <f aca="false">VLOOKUP($D175,tblPriorPrice,5)</f>
        <v>31</v>
      </c>
      <c r="AC175" s="190" t="n">
        <f aca="false">AD175-AB175</f>
        <v>0</v>
      </c>
      <c r="AD175" s="191" t="n">
        <f aca="true">AD163+OFFSET($CG$73,$B175,$C175)</f>
        <v>31</v>
      </c>
      <c r="AE175" s="96" t="n">
        <f aca="true">AD175+OFFSET($CU$74,$B175,$C175)</f>
        <v>26</v>
      </c>
      <c r="AF175" s="177" t="n">
        <f aca="true">AD175+OFFSET($DI$74,$B175,$C175)</f>
        <v>58</v>
      </c>
      <c r="AG175" s="94" t="n">
        <f aca="false">VLOOKUP($D175,tblPriorPrice,6)</f>
        <v>1</v>
      </c>
      <c r="AH175" s="190" t="n">
        <f aca="false">AI175-AG175</f>
        <v>0</v>
      </c>
      <c r="AI175" s="191" t="n">
        <f aca="true">AI163+OFFSET($CG$96,$B175,$C175)</f>
        <v>1</v>
      </c>
      <c r="AJ175" s="96" t="n">
        <f aca="true">AI175+OFFSET($CU$96,$B175,$C175)</f>
        <v>1</v>
      </c>
      <c r="AK175" s="97" t="n">
        <f aca="true">AI175+OFFSET($DI$96,$B175,$C175)</f>
        <v>1</v>
      </c>
      <c r="AL175" s="178" t="n">
        <v>48</v>
      </c>
      <c r="AM175" s="165" t="n">
        <v>0.4</v>
      </c>
      <c r="AN175" s="167" t="n">
        <f aca="false">'[3]Pricing Summary'!$AM153</f>
        <v>0.17</v>
      </c>
      <c r="AO175" s="167" t="n">
        <f aca="false">0.9*AN175</f>
        <v>0.153</v>
      </c>
      <c r="AP175" s="166" t="n">
        <f aca="false">1.5*AN175</f>
        <v>0.255</v>
      </c>
      <c r="AQ175" s="167" t="n">
        <f aca="false">AN175</f>
        <v>0.17</v>
      </c>
      <c r="AR175" s="166" t="n">
        <f aca="false">0.8*AQ175</f>
        <v>0.136</v>
      </c>
      <c r="AS175" s="166" t="n">
        <f aca="false">1.2*AQ175</f>
        <v>0.204</v>
      </c>
      <c r="AT175" s="169" t="n">
        <f aca="false">IF(G175&lt;110,17.94063*(LN(G175/100))+6.727568*(LN(G175/100)^2)+15.06494,(-4.1*G175+2135)/100)*0.5</f>
        <v>1.64058990686036</v>
      </c>
      <c r="AU175" s="169" t="n">
        <f aca="false">(0.75*AT175-AT175)</f>
        <v>-0.410147476715089</v>
      </c>
      <c r="AV175" s="166" t="n">
        <f aca="false">AT175/0.5*1.25-AT175</f>
        <v>2.46088486029054</v>
      </c>
      <c r="AW175" s="168" t="n">
        <f aca="false">IF(L175&lt;15,(15*L175+375)/100,(-4.71*L175+670.65)/100)*0.5</f>
        <v>2.6232</v>
      </c>
      <c r="AX175" s="166" t="n">
        <f aca="false">0.75*AW175-AW175</f>
        <v>-0.6558</v>
      </c>
      <c r="AY175" s="166" t="n">
        <f aca="false">AW175/0.5*1.25-AW175</f>
        <v>3.9348</v>
      </c>
      <c r="AZ175" s="167" t="n">
        <v>0.5</v>
      </c>
      <c r="BA175" s="74"/>
      <c r="BQ175" s="108" t="n">
        <v>36907.7428240741</v>
      </c>
      <c r="BR175" s="109" t="n">
        <v>36907.743287037</v>
      </c>
      <c r="BS175" s="110" t="n">
        <v>41153</v>
      </c>
      <c r="BT175" s="111" t="n">
        <v>80651.703125</v>
      </c>
      <c r="BU175" s="112" t="n">
        <v>63672.390625</v>
      </c>
      <c r="BV175" s="112" t="n">
        <v>21224.130859375</v>
      </c>
      <c r="BW175" s="112" t="n">
        <v>25468.95703125</v>
      </c>
      <c r="BX175" s="113" t="n">
        <v>0</v>
      </c>
      <c r="BZ175" s="110" t="n">
        <v>41214</v>
      </c>
      <c r="CA175" s="185" t="n">
        <v>31</v>
      </c>
      <c r="CB175" s="116" t="n">
        <v>31</v>
      </c>
      <c r="CC175" s="181" t="n">
        <v>31</v>
      </c>
      <c r="CD175" s="181" t="n">
        <v>31</v>
      </c>
      <c r="CE175" s="117" t="n">
        <v>1</v>
      </c>
    </row>
    <row r="176" customFormat="false" ht="12.75" hidden="false" customHeight="false" outlineLevel="0" collapsed="false">
      <c r="A176" s="0" t="n">
        <f aca="true">IF(ISERROR(MATCH(D176,iRefDt,0)),"",MATCH(D176,iRefDt,0))</f>
        <v>176</v>
      </c>
      <c r="B176" s="92" t="n">
        <f aca="false">MATCH(YEAR(D176),iSpreads)</f>
        <v>12</v>
      </c>
      <c r="C176" s="0" t="n">
        <f aca="false">MONTH(D176)</f>
        <v>12</v>
      </c>
      <c r="D176" s="93" t="n">
        <f aca="false">DATE(YEAR(D175),MONTH(D175)+1,1)</f>
        <v>41244</v>
      </c>
      <c r="E176" s="94" t="n">
        <f aca="false">VLOOKUP($D176,tblPriorPrice,2)</f>
        <v>32</v>
      </c>
      <c r="F176" s="190" t="n">
        <f aca="false">G176-E176</f>
        <v>0</v>
      </c>
      <c r="G176" s="190" t="n">
        <f aca="true">G164+OFFSET($CG$4,$B176,$C176)</f>
        <v>32</v>
      </c>
      <c r="H176" s="96" t="n">
        <f aca="true">G176+OFFSET($CU$4,$B176,$C176)</f>
        <v>27</v>
      </c>
      <c r="I176" s="96" t="n">
        <f aca="true">G176+OFFSET($DI$4,$B176,$C176)</f>
        <v>58</v>
      </c>
      <c r="J176" s="94" t="n">
        <f aca="false">VLOOKUP($D176,tblPriorPrice,3)</f>
        <v>29</v>
      </c>
      <c r="K176" s="190" t="n">
        <f aca="false">L176-J176</f>
        <v>0</v>
      </c>
      <c r="L176" s="190" t="n">
        <f aca="true">L164+OFFSET($CG$27,$B176,$C176)</f>
        <v>29</v>
      </c>
      <c r="M176" s="96" t="n">
        <f aca="true">$L176+OFFSET($CU$27,$B176,$C176)</f>
        <v>24</v>
      </c>
      <c r="N176" s="97" t="n">
        <f aca="true">$L176+OFFSET($DI$27,$B176,$C176)</f>
        <v>45</v>
      </c>
      <c r="O176" s="59" t="n">
        <f aca="true">IF($A176="",0,INDEX(tblPosn,$A176,2))</f>
        <v>83526.859375</v>
      </c>
      <c r="P176" s="59" t="n">
        <f aca="true">IF($A176="",0,INDEX(tblPosn,$A176,3))</f>
        <v>64733.31640625</v>
      </c>
      <c r="Q176" s="59" t="n">
        <f aca="true">IF($A176="",0,INDEX(tblPosn,$A176,4))</f>
        <v>20881.71484375</v>
      </c>
      <c r="R176" s="59" t="n">
        <f aca="true">IF($A176="",0,INDEX(tblPosn,$A176,5))</f>
        <v>25058.056640625</v>
      </c>
      <c r="S176" s="59" t="n">
        <f aca="true">IF($A176="",0,INDEX(tblPosn,$A176,6))</f>
        <v>0</v>
      </c>
      <c r="T176" s="98" t="n">
        <f aca="false">O176*F176+P176*K176+R176*AC176+S176*AH176/0.72+Q176*X176</f>
        <v>0</v>
      </c>
      <c r="V176" s="161" t="n">
        <f aca="false">D176</f>
        <v>41244</v>
      </c>
      <c r="W176" s="94" t="n">
        <f aca="false">VLOOKUP($D176,tblPriorPrice,4)</f>
        <v>29</v>
      </c>
      <c r="X176" s="95" t="n">
        <f aca="false">Y176-W176</f>
        <v>0</v>
      </c>
      <c r="Y176" s="191" t="n">
        <f aca="true">Y164+OFFSET($CG$50,$B176,$C176)</f>
        <v>29</v>
      </c>
      <c r="Z176" s="96" t="n">
        <f aca="true">Y176+OFFSET($CU$51,$B176,$C176)</f>
        <v>24</v>
      </c>
      <c r="AA176" s="177" t="n">
        <f aca="true">Y176+OFFSET($DI$51,$B176,$C176)</f>
        <v>56</v>
      </c>
      <c r="AB176" s="94" t="n">
        <f aca="false">VLOOKUP($D176,tblPriorPrice,5)</f>
        <v>29</v>
      </c>
      <c r="AC176" s="190" t="n">
        <f aca="false">AD176-AB176</f>
        <v>0</v>
      </c>
      <c r="AD176" s="191" t="n">
        <f aca="true">AD164+OFFSET($CG$73,$B176,$C176)</f>
        <v>29</v>
      </c>
      <c r="AE176" s="96" t="n">
        <f aca="true">AD176+OFFSET($CU$74,$B176,$C176)</f>
        <v>24</v>
      </c>
      <c r="AF176" s="177" t="n">
        <f aca="true">AD176+OFFSET($DI$74,$B176,$C176)</f>
        <v>56</v>
      </c>
      <c r="AG176" s="94" t="n">
        <f aca="false">VLOOKUP($D176,tblPriorPrice,6)</f>
        <v>1</v>
      </c>
      <c r="AH176" s="190" t="n">
        <f aca="false">AI176-AG176</f>
        <v>0</v>
      </c>
      <c r="AI176" s="191" t="n">
        <f aca="true">AI164+OFFSET($CG$96,$B176,$C176)</f>
        <v>1</v>
      </c>
      <c r="AJ176" s="96" t="n">
        <f aca="true">AI176+OFFSET($CU$96,$B176,$C176)</f>
        <v>1</v>
      </c>
      <c r="AK176" s="97" t="n">
        <f aca="true">AI176+OFFSET($DI$96,$B176,$C176)</f>
        <v>1</v>
      </c>
      <c r="AL176" s="178" t="n">
        <v>49</v>
      </c>
      <c r="AM176" s="165" t="n">
        <v>0.4</v>
      </c>
      <c r="AN176" s="167" t="n">
        <f aca="false">'[3]Pricing Summary'!$AM154</f>
        <v>0.17</v>
      </c>
      <c r="AO176" s="167" t="n">
        <f aca="false">0.9*AN176</f>
        <v>0.153</v>
      </c>
      <c r="AP176" s="166" t="n">
        <f aca="false">1.5*AN176</f>
        <v>0.255</v>
      </c>
      <c r="AQ176" s="167" t="n">
        <f aca="false">AN176</f>
        <v>0.17</v>
      </c>
      <c r="AR176" s="166" t="n">
        <f aca="false">0.8*AQ176</f>
        <v>0.136</v>
      </c>
      <c r="AS176" s="166" t="n">
        <f aca="false">1.2*AQ176</f>
        <v>0.204</v>
      </c>
      <c r="AT176" s="169" t="n">
        <f aca="false">IF(G176&lt;110,17.94063*(LN(G176/100))+6.727568*(LN(G176/100)^2)+15.06494,(-4.1*G176+2135)/100)*0.5</f>
        <v>1.67862159684781</v>
      </c>
      <c r="AU176" s="169" t="n">
        <f aca="false">(0.75*AT176-AT176)</f>
        <v>-0.419655399211954</v>
      </c>
      <c r="AV176" s="166" t="n">
        <f aca="false">AT176/0.5*1.25-AT176</f>
        <v>2.51793239527172</v>
      </c>
      <c r="AW176" s="168" t="n">
        <f aca="false">IF(L176&lt;15,(15*L176+375)/100,(-4.71*L176+670.65)/100)*0.5</f>
        <v>2.6703</v>
      </c>
      <c r="AX176" s="166" t="n">
        <f aca="false">0.75*AW176-AW176</f>
        <v>-0.667575</v>
      </c>
      <c r="AY176" s="166" t="n">
        <f aca="false">AW176/0.5*1.25-AW176</f>
        <v>4.00545</v>
      </c>
      <c r="AZ176" s="167" t="n">
        <v>0.5</v>
      </c>
      <c r="BA176" s="74"/>
      <c r="BQ176" s="108" t="n">
        <v>36907.7428240741</v>
      </c>
      <c r="BR176" s="109" t="n">
        <v>36907.743287037</v>
      </c>
      <c r="BS176" s="110" t="n">
        <v>41183</v>
      </c>
      <c r="BT176" s="111" t="n">
        <v>97100.09375</v>
      </c>
      <c r="BU176" s="112" t="n">
        <v>65700.875</v>
      </c>
      <c r="BV176" s="112" t="n">
        <v>16886.97265625</v>
      </c>
      <c r="BW176" s="112" t="n">
        <v>16886.97265625</v>
      </c>
      <c r="BX176" s="113" t="n">
        <v>0</v>
      </c>
      <c r="BZ176" s="110" t="n">
        <v>41244</v>
      </c>
      <c r="CA176" s="185" t="n">
        <v>32</v>
      </c>
      <c r="CB176" s="116" t="n">
        <v>29</v>
      </c>
      <c r="CC176" s="181" t="n">
        <v>29</v>
      </c>
      <c r="CD176" s="181" t="n">
        <v>29</v>
      </c>
      <c r="CE176" s="117" t="n">
        <v>1</v>
      </c>
    </row>
    <row r="177" customFormat="false" ht="12.75" hidden="false" customHeight="false" outlineLevel="0" collapsed="false">
      <c r="A177" s="0" t="n">
        <f aca="true">IF(ISERROR(MATCH(D177,iRefDt,0)),"",MATCH(D177,iRefDt,0))</f>
        <v>177</v>
      </c>
      <c r="B177" s="92" t="n">
        <f aca="false">MATCH(YEAR(D177),iSpreads)</f>
        <v>13</v>
      </c>
      <c r="C177" s="0" t="n">
        <f aca="false">MONTH(D177)</f>
        <v>1</v>
      </c>
      <c r="D177" s="93" t="n">
        <f aca="false">DATE(YEAR(D176),MONTH(D176)+1,1)</f>
        <v>41275</v>
      </c>
      <c r="E177" s="94" t="n">
        <f aca="false">VLOOKUP($D177,tblPriorPrice,2)</f>
        <v>33</v>
      </c>
      <c r="F177" s="190" t="n">
        <f aca="false">G177-E177</f>
        <v>0</v>
      </c>
      <c r="G177" s="190" t="n">
        <f aca="true">G165+OFFSET($CG$4,$B177,$C177)</f>
        <v>33</v>
      </c>
      <c r="H177" s="96" t="n">
        <f aca="true">G177+OFFSET($CU$4,$B177,$C177)</f>
        <v>28</v>
      </c>
      <c r="I177" s="96" t="n">
        <f aca="true">G177+OFFSET($DI$4,$B177,$C177)</f>
        <v>60</v>
      </c>
      <c r="J177" s="94" t="n">
        <f aca="false">VLOOKUP($D177,tblPriorPrice,3)</f>
        <v>31</v>
      </c>
      <c r="K177" s="190" t="n">
        <f aca="false">L177-J177</f>
        <v>0</v>
      </c>
      <c r="L177" s="190" t="n">
        <f aca="true">L165+OFFSET($CG$27,$B177,$C177)</f>
        <v>31</v>
      </c>
      <c r="M177" s="96" t="n">
        <f aca="true">$L177+OFFSET($CU$27,$B177,$C177)</f>
        <v>26</v>
      </c>
      <c r="N177" s="97" t="n">
        <f aca="true">$L177+OFFSET($DI$27,$B177,$C177)</f>
        <v>48</v>
      </c>
      <c r="O177" s="59" t="n">
        <f aca="true">IF($A177="",0,INDEX(tblPosn,$A177,2))</f>
        <v>91032.4296875</v>
      </c>
      <c r="P177" s="59" t="n">
        <f aca="true">IF($A177="",0,INDEX(tblPosn,$A177,3))</f>
        <v>64136.484375</v>
      </c>
      <c r="Q177" s="59" t="n">
        <f aca="true">IF($A177="",0,INDEX(tblPosn,$A177,4))</f>
        <v>16551.3515625</v>
      </c>
      <c r="R177" s="59" t="n">
        <f aca="true">IF($A177="",0,INDEX(tblPosn,$A177,5))</f>
        <v>20689.189453125</v>
      </c>
      <c r="S177" s="59" t="n">
        <f aca="true">IF($A177="",0,INDEX(tblPosn,$A177,6))</f>
        <v>0</v>
      </c>
      <c r="T177" s="98" t="n">
        <f aca="false">O177*F177+P177*K177+R177*AC177+S177*AH177/0.72+Q177*X177</f>
        <v>0</v>
      </c>
      <c r="V177" s="161" t="n">
        <f aca="false">D177</f>
        <v>41275</v>
      </c>
      <c r="W177" s="94" t="n">
        <f aca="false">VLOOKUP($D177,tblPriorPrice,4)</f>
        <v>31</v>
      </c>
      <c r="X177" s="95" t="n">
        <f aca="false">Y177-W177</f>
        <v>0</v>
      </c>
      <c r="Y177" s="191" t="n">
        <f aca="true">Y165+OFFSET($CG$50,$B177,$C177)</f>
        <v>31</v>
      </c>
      <c r="Z177" s="96" t="n">
        <f aca="true">Y177+OFFSET($CU$51,$B177,$C177)</f>
        <v>26</v>
      </c>
      <c r="AA177" s="177" t="n">
        <f aca="true">Y177+OFFSET($DI$51,$B177,$C177)</f>
        <v>59</v>
      </c>
      <c r="AB177" s="94" t="n">
        <f aca="false">VLOOKUP($D177,tblPriorPrice,5)</f>
        <v>31</v>
      </c>
      <c r="AC177" s="190" t="n">
        <f aca="false">AD177-AB177</f>
        <v>0</v>
      </c>
      <c r="AD177" s="191" t="n">
        <f aca="true">AD165+OFFSET($CG$73,$B177,$C177)</f>
        <v>31</v>
      </c>
      <c r="AE177" s="96" t="n">
        <f aca="true">AD177+OFFSET($CU$74,$B177,$C177)</f>
        <v>26</v>
      </c>
      <c r="AF177" s="177" t="n">
        <f aca="true">AD177+OFFSET($DI$74,$B177,$C177)</f>
        <v>59</v>
      </c>
      <c r="AG177" s="94" t="n">
        <f aca="false">VLOOKUP($D177,tblPriorPrice,6)</f>
        <v>1</v>
      </c>
      <c r="AH177" s="190" t="n">
        <f aca="false">AI177-AG177</f>
        <v>0</v>
      </c>
      <c r="AI177" s="191" t="n">
        <f aca="true">AI165+OFFSET($CG$96,$B177,$C177)</f>
        <v>1</v>
      </c>
      <c r="AJ177" s="96" t="n">
        <f aca="true">AI177+OFFSET($CU$96,$B177,$C177)</f>
        <v>1</v>
      </c>
      <c r="AK177" s="97" t="n">
        <f aca="true">AI177+OFFSET($DI$96,$B177,$C177)</f>
        <v>1</v>
      </c>
      <c r="AL177" s="178" t="n">
        <v>49</v>
      </c>
      <c r="AM177" s="165" t="n">
        <v>0.4</v>
      </c>
      <c r="AN177" s="167" t="n">
        <f aca="false">'[3]Pricing Summary'!$AM155</f>
        <v>0.17</v>
      </c>
      <c r="AO177" s="167" t="n">
        <f aca="false">0.9*AN177</f>
        <v>0.153</v>
      </c>
      <c r="AP177" s="166" t="n">
        <f aca="false">1.5*AN177</f>
        <v>0.255</v>
      </c>
      <c r="AQ177" s="167" t="n">
        <f aca="false">AN177</f>
        <v>0.17</v>
      </c>
      <c r="AR177" s="166" t="n">
        <f aca="false">0.8*AQ177</f>
        <v>0.136</v>
      </c>
      <c r="AS177" s="166" t="n">
        <f aca="false">1.2*AQ177</f>
        <v>0.204</v>
      </c>
      <c r="AT177" s="169" t="n">
        <f aca="false">IF(G177&lt;110,17.94063*(LN(G177/100))+6.727568*(LN(G177/100)^2)+15.06494,(-4.1*G177+2135)/100)*0.5</f>
        <v>1.72195432632388</v>
      </c>
      <c r="AU177" s="169" t="n">
        <f aca="false">(0.75*AT177-AT177)</f>
        <v>-0.43048858158097</v>
      </c>
      <c r="AV177" s="166" t="n">
        <f aca="false">AT177/0.5*1.25-AT177</f>
        <v>2.58293148948582</v>
      </c>
      <c r="AW177" s="168" t="n">
        <f aca="false">IF(L177&lt;15,(15*L177+375)/100,(-4.71*L177+670.65)/100)*0.5</f>
        <v>2.6232</v>
      </c>
      <c r="AX177" s="166" t="n">
        <f aca="false">0.75*AW177-AW177</f>
        <v>-0.6558</v>
      </c>
      <c r="AY177" s="166" t="n">
        <f aca="false">AW177/0.5*1.25-AW177</f>
        <v>3.9348</v>
      </c>
      <c r="AZ177" s="167" t="n">
        <v>0.5</v>
      </c>
      <c r="BA177" s="74"/>
      <c r="BQ177" s="108" t="n">
        <v>36907.7428240741</v>
      </c>
      <c r="BR177" s="109" t="n">
        <v>36907.743287037</v>
      </c>
      <c r="BS177" s="110" t="n">
        <v>41214</v>
      </c>
      <c r="BT177" s="111" t="n">
        <v>88185.6953125</v>
      </c>
      <c r="BU177" s="112" t="n">
        <v>62989.78125</v>
      </c>
      <c r="BV177" s="112" t="n">
        <v>16797.275390625</v>
      </c>
      <c r="BW177" s="112" t="n">
        <v>20996.59375</v>
      </c>
      <c r="BX177" s="113" t="n">
        <v>0</v>
      </c>
      <c r="BZ177" s="110" t="n">
        <v>41275</v>
      </c>
      <c r="CA177" s="185" t="n">
        <v>33</v>
      </c>
      <c r="CB177" s="116" t="n">
        <v>31</v>
      </c>
      <c r="CC177" s="181" t="n">
        <v>31</v>
      </c>
      <c r="CD177" s="181" t="n">
        <v>31</v>
      </c>
      <c r="CE177" s="117" t="n">
        <v>1</v>
      </c>
    </row>
    <row r="178" customFormat="false" ht="12.75" hidden="false" customHeight="false" outlineLevel="0" collapsed="false">
      <c r="A178" s="0" t="n">
        <f aca="true">IF(ISERROR(MATCH(D178,iRefDt,0)),"",MATCH(D178,iRefDt,0))</f>
        <v>178</v>
      </c>
      <c r="B178" s="92" t="n">
        <f aca="false">MATCH(YEAR(D178),iSpreads)</f>
        <v>13</v>
      </c>
      <c r="C178" s="0" t="n">
        <f aca="false">MONTH(D178)</f>
        <v>2</v>
      </c>
      <c r="D178" s="93" t="n">
        <f aca="false">DATE(YEAR(D177),MONTH(D177)+1,1)</f>
        <v>41306</v>
      </c>
      <c r="E178" s="94" t="n">
        <f aca="false">VLOOKUP($D178,tblPriorPrice,2)</f>
        <v>30</v>
      </c>
      <c r="F178" s="190" t="n">
        <f aca="false">G178-E178</f>
        <v>0</v>
      </c>
      <c r="G178" s="190" t="n">
        <f aca="true">G166+OFFSET($CG$4,$B178,$C178)</f>
        <v>30</v>
      </c>
      <c r="H178" s="96" t="n">
        <f aca="true">G178+OFFSET($CU$4,$B178,$C178)</f>
        <v>25</v>
      </c>
      <c r="I178" s="96" t="n">
        <f aca="true">G178+OFFSET($DI$4,$B178,$C178)</f>
        <v>57</v>
      </c>
      <c r="J178" s="94" t="n">
        <f aca="false">VLOOKUP($D178,tblPriorPrice,3)</f>
        <v>30</v>
      </c>
      <c r="K178" s="190" t="n">
        <f aca="false">L178-J178</f>
        <v>0</v>
      </c>
      <c r="L178" s="190" t="n">
        <f aca="true">L166+OFFSET($CG$27,$B178,$C178)</f>
        <v>30</v>
      </c>
      <c r="M178" s="96" t="n">
        <f aca="true">$L178+OFFSET($CU$27,$B178,$C178)</f>
        <v>25</v>
      </c>
      <c r="N178" s="97" t="n">
        <f aca="true">$L178+OFFSET($DI$27,$B178,$C178)</f>
        <v>47</v>
      </c>
      <c r="O178" s="59" t="n">
        <f aca="true">IF($A178="",0,INDEX(tblPosn,$A178,2))</f>
        <v>82345.171875</v>
      </c>
      <c r="P178" s="59" t="n">
        <f aca="true">IF($A178="",0,INDEX(tblPosn,$A178,3))</f>
        <v>57641.62109375</v>
      </c>
      <c r="Q178" s="59" t="n">
        <f aca="true">IF($A178="",0,INDEX(tblPosn,$A178,4))</f>
        <v>16469.03515625</v>
      </c>
      <c r="R178" s="59" t="n">
        <f aca="true">IF($A178="",0,INDEX(tblPosn,$A178,5))</f>
        <v>16469.03515625</v>
      </c>
      <c r="S178" s="59" t="n">
        <f aca="true">IF($A178="",0,INDEX(tblPosn,$A178,6))</f>
        <v>0</v>
      </c>
      <c r="T178" s="98" t="n">
        <f aca="false">O178*F178+P178*K178+R178*AC178+S178*AH178/0.72+Q178*X178</f>
        <v>0</v>
      </c>
      <c r="V178" s="161" t="n">
        <f aca="false">D178</f>
        <v>41306</v>
      </c>
      <c r="W178" s="94" t="n">
        <f aca="false">VLOOKUP($D178,tblPriorPrice,4)</f>
        <v>30</v>
      </c>
      <c r="X178" s="95" t="n">
        <f aca="false">Y178-W178</f>
        <v>0</v>
      </c>
      <c r="Y178" s="191" t="n">
        <f aca="true">Y166+OFFSET($CG$50,$B178,$C178)</f>
        <v>30</v>
      </c>
      <c r="Z178" s="96" t="n">
        <f aca="true">Y178+OFFSET($CU$51,$B178,$C178)</f>
        <v>25</v>
      </c>
      <c r="AA178" s="177" t="n">
        <f aca="true">Y178+OFFSET($DI$51,$B178,$C178)</f>
        <v>58</v>
      </c>
      <c r="AB178" s="94" t="n">
        <f aca="false">VLOOKUP($D178,tblPriorPrice,5)</f>
        <v>30</v>
      </c>
      <c r="AC178" s="190" t="n">
        <f aca="false">AD178-AB178</f>
        <v>0</v>
      </c>
      <c r="AD178" s="191" t="n">
        <f aca="true">AD166+OFFSET($CG$73,$B178,$C178)</f>
        <v>30</v>
      </c>
      <c r="AE178" s="96" t="n">
        <f aca="true">AD178+OFFSET($CU$74,$B178,$C178)</f>
        <v>25</v>
      </c>
      <c r="AF178" s="177" t="n">
        <f aca="true">AD178+OFFSET($DI$74,$B178,$C178)</f>
        <v>58</v>
      </c>
      <c r="AG178" s="94" t="n">
        <f aca="false">VLOOKUP($D178,tblPriorPrice,6)</f>
        <v>1</v>
      </c>
      <c r="AH178" s="190" t="n">
        <f aca="false">AI178-AG178</f>
        <v>0</v>
      </c>
      <c r="AI178" s="191" t="n">
        <f aca="true">AI166+OFFSET($CG$96,$B178,$C178)</f>
        <v>1</v>
      </c>
      <c r="AJ178" s="96" t="n">
        <f aca="true">AI178+OFFSET($CU$96,$B178,$C178)</f>
        <v>1</v>
      </c>
      <c r="AK178" s="97" t="n">
        <f aca="true">AI178+OFFSET($DI$96,$B178,$C178)</f>
        <v>1</v>
      </c>
      <c r="AL178" s="178" t="n">
        <v>49</v>
      </c>
      <c r="AM178" s="165" t="n">
        <v>0.4</v>
      </c>
      <c r="AN178" s="167" t="n">
        <f aca="false">'[3]Pricing Summary'!$AM156</f>
        <v>0.17</v>
      </c>
      <c r="AO178" s="167" t="n">
        <f aca="false">0.9*AN178</f>
        <v>0.153</v>
      </c>
      <c r="AP178" s="166" t="n">
        <f aca="false">1.5*AN178</f>
        <v>0.255</v>
      </c>
      <c r="AQ178" s="167" t="n">
        <f aca="false">AN178</f>
        <v>0.17</v>
      </c>
      <c r="AR178" s="166" t="n">
        <f aca="false">0.8*AQ178</f>
        <v>0.136</v>
      </c>
      <c r="AS178" s="166" t="n">
        <f aca="false">1.2*AQ178</f>
        <v>0.204</v>
      </c>
      <c r="AT178" s="169" t="n">
        <f aca="false">IF(G178&lt;110,17.94063*(LN(G178/100))+6.727568*(LN(G178/100)^2)+15.06494,(-4.1*G178+2135)/100)*0.5</f>
        <v>1.60842951845599</v>
      </c>
      <c r="AU178" s="169" t="n">
        <f aca="false">(0.75*AT178-AT178)</f>
        <v>-0.402107379613998</v>
      </c>
      <c r="AV178" s="166" t="n">
        <f aca="false">AT178/0.5*1.25-AT178</f>
        <v>2.41264427768399</v>
      </c>
      <c r="AW178" s="168" t="n">
        <f aca="false">IF(L178&lt;15,(15*L178+375)/100,(-4.71*L178+670.65)/100)*0.5</f>
        <v>2.64675</v>
      </c>
      <c r="AX178" s="166" t="n">
        <f aca="false">0.75*AW178-AW178</f>
        <v>-0.6616875</v>
      </c>
      <c r="AY178" s="166" t="n">
        <f aca="false">AW178/0.5*1.25-AW178</f>
        <v>3.970125</v>
      </c>
      <c r="AZ178" s="167" t="n">
        <v>0.5</v>
      </c>
      <c r="BA178" s="74"/>
      <c r="BQ178" s="108" t="n">
        <v>36907.7428240741</v>
      </c>
      <c r="BR178" s="109" t="n">
        <v>36907.743287037</v>
      </c>
      <c r="BS178" s="110" t="n">
        <v>41244</v>
      </c>
      <c r="BT178" s="111" t="n">
        <v>83526.859375</v>
      </c>
      <c r="BU178" s="112" t="n">
        <v>64733.31640625</v>
      </c>
      <c r="BV178" s="112" t="n">
        <v>20881.71484375</v>
      </c>
      <c r="BW178" s="112" t="n">
        <v>25058.056640625</v>
      </c>
      <c r="BX178" s="113" t="n">
        <v>0</v>
      </c>
      <c r="BZ178" s="110" t="n">
        <v>41306</v>
      </c>
      <c r="CA178" s="185" t="n">
        <v>30</v>
      </c>
      <c r="CB178" s="116" t="n">
        <v>30</v>
      </c>
      <c r="CC178" s="181" t="n">
        <v>30</v>
      </c>
      <c r="CD178" s="181" t="n">
        <v>30</v>
      </c>
      <c r="CE178" s="117" t="n">
        <v>1</v>
      </c>
    </row>
    <row r="179" customFormat="false" ht="12.75" hidden="false" customHeight="false" outlineLevel="0" collapsed="false">
      <c r="A179" s="0" t="n">
        <f aca="true">IF(ISERROR(MATCH(D179,iRefDt,0)),"",MATCH(D179,iRefDt,0))</f>
        <v>179</v>
      </c>
      <c r="B179" s="92" t="n">
        <f aca="false">MATCH(YEAR(D179),iSpreads)</f>
        <v>13</v>
      </c>
      <c r="C179" s="0" t="n">
        <f aca="false">MONTH(D179)</f>
        <v>3</v>
      </c>
      <c r="D179" s="93" t="n">
        <f aca="false">DATE(YEAR(D178),MONTH(D178)+1,1)</f>
        <v>41334</v>
      </c>
      <c r="E179" s="94" t="n">
        <f aca="false">VLOOKUP($D179,tblPriorPrice,2)</f>
        <v>29</v>
      </c>
      <c r="F179" s="190" t="n">
        <f aca="false">G179-E179</f>
        <v>0</v>
      </c>
      <c r="G179" s="190" t="n">
        <f aca="true">G167+OFFSET($CG$4,$B179,$C179)</f>
        <v>29</v>
      </c>
      <c r="H179" s="96" t="n">
        <f aca="true">G179+OFFSET($CU$4,$B179,$C179)</f>
        <v>24</v>
      </c>
      <c r="I179" s="96" t="n">
        <f aca="true">G179+OFFSET($DI$4,$B179,$C179)</f>
        <v>56</v>
      </c>
      <c r="J179" s="94" t="n">
        <f aca="false">VLOOKUP($D179,tblPriorPrice,3)</f>
        <v>29</v>
      </c>
      <c r="K179" s="190" t="n">
        <f aca="false">L179-J179</f>
        <v>0</v>
      </c>
      <c r="L179" s="190" t="n">
        <f aca="true">L167+OFFSET($CG$27,$B179,$C179)</f>
        <v>29</v>
      </c>
      <c r="M179" s="96" t="n">
        <f aca="true">$L179+OFFSET($CU$27,$B179,$C179)</f>
        <v>24</v>
      </c>
      <c r="N179" s="97" t="n">
        <f aca="true">$L179+OFFSET($DI$27,$B179,$C179)</f>
        <v>46</v>
      </c>
      <c r="O179" s="59" t="n">
        <f aca="true">IF($A179="",0,INDEX(tblPosn,$A179,2))</f>
        <v>85982.109375</v>
      </c>
      <c r="P179" s="59" t="n">
        <f aca="true">IF($A179="",0,INDEX(tblPosn,$A179,3))</f>
        <v>63462.9921875</v>
      </c>
      <c r="Q179" s="59" t="n">
        <f aca="true">IF($A179="",0,INDEX(tblPosn,$A179,4))</f>
        <v>20471.931640625</v>
      </c>
      <c r="R179" s="59" t="n">
        <f aca="true">IF($A179="",0,INDEX(tblPosn,$A179,5))</f>
        <v>20471.931640625</v>
      </c>
      <c r="S179" s="59" t="n">
        <f aca="true">IF($A179="",0,INDEX(tblPosn,$A179,6))</f>
        <v>0</v>
      </c>
      <c r="T179" s="98" t="n">
        <f aca="false">O179*F179+P179*K179+R179*AC179+S179*AH179/0.72+Q179*X179</f>
        <v>0</v>
      </c>
      <c r="V179" s="161" t="n">
        <f aca="false">D179</f>
        <v>41334</v>
      </c>
      <c r="W179" s="94" t="n">
        <f aca="false">VLOOKUP($D179,tblPriorPrice,4)</f>
        <v>29</v>
      </c>
      <c r="X179" s="95" t="n">
        <f aca="false">Y179-W179</f>
        <v>0</v>
      </c>
      <c r="Y179" s="191" t="n">
        <f aca="true">Y167+OFFSET($CG$50,$B179,$C179)</f>
        <v>29</v>
      </c>
      <c r="Z179" s="96" t="n">
        <f aca="true">Y179+OFFSET($CU$51,$B179,$C179)</f>
        <v>24</v>
      </c>
      <c r="AA179" s="177" t="n">
        <f aca="true">Y179+OFFSET($DI$51,$B179,$C179)</f>
        <v>57</v>
      </c>
      <c r="AB179" s="94" t="n">
        <f aca="false">VLOOKUP($D179,tblPriorPrice,5)</f>
        <v>29</v>
      </c>
      <c r="AC179" s="190" t="n">
        <f aca="false">AD179-AB179</f>
        <v>0</v>
      </c>
      <c r="AD179" s="191" t="n">
        <f aca="true">AD167+OFFSET($CG$73,$B179,$C179)</f>
        <v>29</v>
      </c>
      <c r="AE179" s="96" t="n">
        <f aca="true">AD179+OFFSET($CU$74,$B179,$C179)</f>
        <v>24</v>
      </c>
      <c r="AF179" s="177" t="n">
        <f aca="true">AD179+OFFSET($DI$74,$B179,$C179)</f>
        <v>57</v>
      </c>
      <c r="AG179" s="94" t="n">
        <f aca="false">VLOOKUP($D179,tblPriorPrice,6)</f>
        <v>1</v>
      </c>
      <c r="AH179" s="190" t="n">
        <f aca="false">AI179-AG179</f>
        <v>0</v>
      </c>
      <c r="AI179" s="191" t="n">
        <f aca="true">AI167+OFFSET($CG$96,$B179,$C179)</f>
        <v>1</v>
      </c>
      <c r="AJ179" s="96" t="n">
        <f aca="true">AI179+OFFSET($CU$96,$B179,$C179)</f>
        <v>1</v>
      </c>
      <c r="AK179" s="97" t="n">
        <f aca="true">AI179+OFFSET($DI$96,$B179,$C179)</f>
        <v>1</v>
      </c>
      <c r="AL179" s="178" t="n">
        <v>50</v>
      </c>
      <c r="AM179" s="165" t="n">
        <v>0.4</v>
      </c>
      <c r="AN179" s="167" t="n">
        <f aca="false">'[3]Pricing Summary'!$AM157</f>
        <v>0.17</v>
      </c>
      <c r="AO179" s="167" t="n">
        <f aca="false">0.9*AN179</f>
        <v>0.153</v>
      </c>
      <c r="AP179" s="166" t="n">
        <f aca="false">1.5*AN179</f>
        <v>0.255</v>
      </c>
      <c r="AQ179" s="167" t="n">
        <f aca="false">AN179</f>
        <v>0.17</v>
      </c>
      <c r="AR179" s="166" t="n">
        <f aca="false">0.8*AQ179</f>
        <v>0.136</v>
      </c>
      <c r="AS179" s="166" t="n">
        <f aca="false">1.2*AQ179</f>
        <v>0.204</v>
      </c>
      <c r="AT179" s="169" t="n">
        <f aca="false">IF(G179&lt;110,17.94063*(LN(G179/100))+6.727568*(LN(G179/100)^2)+15.06494,(-4.1*G179+2135)/100)*0.5</f>
        <v>1.58278405940532</v>
      </c>
      <c r="AU179" s="169" t="n">
        <f aca="false">(0.75*AT179-AT179)</f>
        <v>-0.395696014851329</v>
      </c>
      <c r="AV179" s="166" t="n">
        <f aca="false">AT179/0.5*1.25-AT179</f>
        <v>2.37417608910797</v>
      </c>
      <c r="AW179" s="168" t="n">
        <f aca="false">IF(L179&lt;15,(15*L179+375)/100,(-4.71*L179+670.65)/100)*0.5</f>
        <v>2.6703</v>
      </c>
      <c r="AX179" s="166" t="n">
        <f aca="false">0.75*AW179-AW179</f>
        <v>-0.667575</v>
      </c>
      <c r="AY179" s="166" t="n">
        <f aca="false">AW179/0.5*1.25-AW179</f>
        <v>4.00545</v>
      </c>
      <c r="AZ179" s="167" t="n">
        <v>0.5</v>
      </c>
      <c r="BA179" s="74"/>
      <c r="BQ179" s="108" t="n">
        <v>36907.7428240741</v>
      </c>
      <c r="BR179" s="109" t="n">
        <v>36907.743287037</v>
      </c>
      <c r="BS179" s="110" t="n">
        <v>41275</v>
      </c>
      <c r="BT179" s="111" t="n">
        <v>91032.4296875</v>
      </c>
      <c r="BU179" s="112" t="n">
        <v>64136.484375</v>
      </c>
      <c r="BV179" s="112" t="n">
        <v>16551.3515625</v>
      </c>
      <c r="BW179" s="112" t="n">
        <v>20689.189453125</v>
      </c>
      <c r="BX179" s="113" t="n">
        <v>0</v>
      </c>
      <c r="BZ179" s="110" t="n">
        <v>41334</v>
      </c>
      <c r="CA179" s="185" t="n">
        <v>29</v>
      </c>
      <c r="CB179" s="116" t="n">
        <v>29</v>
      </c>
      <c r="CC179" s="181" t="n">
        <v>29</v>
      </c>
      <c r="CD179" s="181" t="n">
        <v>29</v>
      </c>
      <c r="CE179" s="117" t="n">
        <v>1</v>
      </c>
    </row>
    <row r="180" customFormat="false" ht="12.75" hidden="false" customHeight="false" outlineLevel="0" collapsed="false">
      <c r="A180" s="0" t="n">
        <f aca="true">IF(ISERROR(MATCH(D180,iRefDt,0)),"",MATCH(D180,iRefDt,0))</f>
        <v>180</v>
      </c>
      <c r="B180" s="92" t="n">
        <f aca="false">MATCH(YEAR(D180),iSpreads)</f>
        <v>13</v>
      </c>
      <c r="C180" s="0" t="n">
        <f aca="false">MONTH(D180)</f>
        <v>4</v>
      </c>
      <c r="D180" s="93" t="n">
        <f aca="false">DATE(YEAR(D179),MONTH(D179)+1,1)</f>
        <v>41365</v>
      </c>
      <c r="E180" s="94" t="n">
        <f aca="false">VLOOKUP($D180,tblPriorPrice,2)</f>
        <v>29</v>
      </c>
      <c r="F180" s="190" t="n">
        <f aca="false">G180-E180</f>
        <v>0</v>
      </c>
      <c r="G180" s="190" t="n">
        <f aca="true">G168+OFFSET($CG$4,$B180,$C180)</f>
        <v>29</v>
      </c>
      <c r="H180" s="96" t="n">
        <f aca="true">G180+OFFSET($CU$4,$B180,$C180)</f>
        <v>24</v>
      </c>
      <c r="I180" s="96" t="n">
        <f aca="true">G180+OFFSET($DI$4,$B180,$C180)</f>
        <v>56</v>
      </c>
      <c r="J180" s="94" t="n">
        <f aca="false">VLOOKUP($D180,tblPriorPrice,3)</f>
        <v>29</v>
      </c>
      <c r="K180" s="190" t="n">
        <f aca="false">L180-J180</f>
        <v>0</v>
      </c>
      <c r="L180" s="190" t="n">
        <f aca="true">L168+OFFSET($CG$27,$B180,$C180)</f>
        <v>29</v>
      </c>
      <c r="M180" s="96" t="n">
        <f aca="true">$L180+OFFSET($CU$27,$B180,$C180)</f>
        <v>24</v>
      </c>
      <c r="N180" s="97" t="n">
        <f aca="true">$L180+OFFSET($DI$27,$B180,$C180)</f>
        <v>46</v>
      </c>
      <c r="O180" s="59" t="n">
        <f aca="true">IF($A180="",0,INDEX(tblPosn,$A180,2))</f>
        <v>89599.7109375</v>
      </c>
      <c r="P180" s="59" t="n">
        <f aca="true">IF($A180="",0,INDEX(tblPosn,$A180,3))</f>
        <v>60836.16796875</v>
      </c>
      <c r="Q180" s="59" t="n">
        <f aca="true">IF($A180="",0,INDEX(tblPosn,$A180,4))</f>
        <v>16290.8564453125</v>
      </c>
      <c r="R180" s="59" t="n">
        <f aca="true">IF($A180="",0,INDEX(tblPosn,$A180,5))</f>
        <v>16290.8564453125</v>
      </c>
      <c r="S180" s="59" t="n">
        <f aca="true">IF($A180="",0,INDEX(tblPosn,$A180,6))</f>
        <v>0</v>
      </c>
      <c r="T180" s="98" t="n">
        <f aca="false">O180*F180+P180*K180+R180*AC180+S180*AH180/0.72+Q180*X180</f>
        <v>0</v>
      </c>
      <c r="V180" s="161" t="n">
        <f aca="false">D180</f>
        <v>41365</v>
      </c>
      <c r="W180" s="94" t="n">
        <f aca="false">VLOOKUP($D180,tblPriorPrice,4)</f>
        <v>29</v>
      </c>
      <c r="X180" s="95" t="n">
        <f aca="false">Y180-W180</f>
        <v>0</v>
      </c>
      <c r="Y180" s="191" t="n">
        <f aca="true">Y168+OFFSET($CG$50,$B180,$C180)</f>
        <v>29</v>
      </c>
      <c r="Z180" s="96" t="n">
        <f aca="true">Y180+OFFSET($CU$51,$B180,$C180)</f>
        <v>24</v>
      </c>
      <c r="AA180" s="177" t="n">
        <f aca="true">Y180+OFFSET($DI$51,$B180,$C180)</f>
        <v>57</v>
      </c>
      <c r="AB180" s="94" t="n">
        <f aca="false">VLOOKUP($D180,tblPriorPrice,5)</f>
        <v>29</v>
      </c>
      <c r="AC180" s="190" t="n">
        <f aca="false">AD180-AB180</f>
        <v>0</v>
      </c>
      <c r="AD180" s="191" t="n">
        <f aca="true">AD168+OFFSET($CG$73,$B180,$C180)</f>
        <v>29</v>
      </c>
      <c r="AE180" s="96" t="n">
        <f aca="true">AD180+OFFSET($CU$74,$B180,$C180)</f>
        <v>24</v>
      </c>
      <c r="AF180" s="177" t="n">
        <f aca="true">AD180+OFFSET($DI$74,$B180,$C180)</f>
        <v>57</v>
      </c>
      <c r="AG180" s="94" t="n">
        <f aca="false">VLOOKUP($D180,tblPriorPrice,6)</f>
        <v>1</v>
      </c>
      <c r="AH180" s="190" t="n">
        <f aca="false">AI180-AG180</f>
        <v>0</v>
      </c>
      <c r="AI180" s="191" t="n">
        <f aca="true">AI168+OFFSET($CG$96,$B180,$C180)</f>
        <v>1</v>
      </c>
      <c r="AJ180" s="96" t="n">
        <f aca="true">AI180+OFFSET($CU$96,$B180,$C180)</f>
        <v>1</v>
      </c>
      <c r="AK180" s="97" t="n">
        <f aca="true">AI180+OFFSET($DI$96,$B180,$C180)</f>
        <v>1</v>
      </c>
      <c r="AL180" s="178" t="n">
        <v>50</v>
      </c>
      <c r="AM180" s="165" t="n">
        <v>0.4</v>
      </c>
      <c r="AN180" s="167" t="n">
        <f aca="false">'[3]Pricing Summary'!$AM158</f>
        <v>0.17</v>
      </c>
      <c r="AO180" s="167" t="n">
        <f aca="false">0.9*AN180</f>
        <v>0.153</v>
      </c>
      <c r="AP180" s="166" t="n">
        <f aca="false">1.5*AN180</f>
        <v>0.255</v>
      </c>
      <c r="AQ180" s="167" t="n">
        <f aca="false">AN180</f>
        <v>0.17</v>
      </c>
      <c r="AR180" s="166" t="n">
        <f aca="false">0.8*AQ180</f>
        <v>0.136</v>
      </c>
      <c r="AS180" s="166" t="n">
        <f aca="false">1.2*AQ180</f>
        <v>0.204</v>
      </c>
      <c r="AT180" s="169" t="n">
        <f aca="false">IF(G180&lt;110,17.94063*(LN(G180/100))+6.727568*(LN(G180/100)^2)+15.06494,(-4.1*G180+2135)/100)*0.5</f>
        <v>1.58278405940532</v>
      </c>
      <c r="AU180" s="169" t="n">
        <f aca="false">(0.75*AT180-AT180)</f>
        <v>-0.395696014851329</v>
      </c>
      <c r="AV180" s="166" t="n">
        <f aca="false">AT180/0.5*1.25-AT180</f>
        <v>2.37417608910797</v>
      </c>
      <c r="AW180" s="168" t="n">
        <f aca="false">IF(L180&lt;15,(15*L180+375)/100,(-4.71*L180+670.65)/100)*0.5</f>
        <v>2.6703</v>
      </c>
      <c r="AX180" s="166" t="n">
        <f aca="false">0.75*AW180-AW180</f>
        <v>-0.667575</v>
      </c>
      <c r="AY180" s="166" t="n">
        <f aca="false">AW180/0.5*1.25-AW180</f>
        <v>4.00545</v>
      </c>
      <c r="AZ180" s="167" t="n">
        <v>0.5</v>
      </c>
      <c r="BA180" s="74"/>
      <c r="BQ180" s="108" t="n">
        <v>36907.7428240741</v>
      </c>
      <c r="BR180" s="109" t="n">
        <v>36907.743287037</v>
      </c>
      <c r="BS180" s="110" t="n">
        <v>41306</v>
      </c>
      <c r="BT180" s="111" t="n">
        <v>82345.171875</v>
      </c>
      <c r="BU180" s="112" t="n">
        <v>57641.62109375</v>
      </c>
      <c r="BV180" s="112" t="n">
        <v>16469.03515625</v>
      </c>
      <c r="BW180" s="112" t="n">
        <v>16469.03515625</v>
      </c>
      <c r="BX180" s="113" t="n">
        <v>0</v>
      </c>
      <c r="BZ180" s="110" t="n">
        <v>41365</v>
      </c>
      <c r="CA180" s="185" t="n">
        <v>29</v>
      </c>
      <c r="CB180" s="116" t="n">
        <v>29</v>
      </c>
      <c r="CC180" s="181" t="n">
        <v>29</v>
      </c>
      <c r="CD180" s="181" t="n">
        <v>29</v>
      </c>
      <c r="CE180" s="117" t="n">
        <v>1</v>
      </c>
    </row>
    <row r="181" customFormat="false" ht="12.75" hidden="false" customHeight="false" outlineLevel="0" collapsed="false">
      <c r="A181" s="0" t="n">
        <f aca="true">IF(ISERROR(MATCH(D181,iRefDt,0)),"",MATCH(D181,iRefDt,0))</f>
        <v>181</v>
      </c>
      <c r="B181" s="92" t="n">
        <f aca="false">MATCH(YEAR(D181),iSpreads)</f>
        <v>13</v>
      </c>
      <c r="C181" s="0" t="n">
        <f aca="false">MONTH(D181)</f>
        <v>5</v>
      </c>
      <c r="D181" s="93" t="n">
        <f aca="false">DATE(YEAR(D180),MONTH(D180)+1,1)</f>
        <v>41395</v>
      </c>
      <c r="E181" s="94" t="n">
        <f aca="false">VLOOKUP($D181,tblPriorPrice,2)</f>
        <v>32</v>
      </c>
      <c r="F181" s="190" t="n">
        <f aca="false">G181-E181</f>
        <v>0</v>
      </c>
      <c r="G181" s="190" t="n">
        <f aca="true">G169+OFFSET($CG$4,$B181,$C181)</f>
        <v>32</v>
      </c>
      <c r="H181" s="96" t="n">
        <f aca="true">G181+OFFSET($CU$4,$B181,$C181)</f>
        <v>27</v>
      </c>
      <c r="I181" s="96" t="n">
        <f aca="true">G181+OFFSET($DI$4,$B181,$C181)</f>
        <v>59</v>
      </c>
      <c r="J181" s="94" t="n">
        <f aca="false">VLOOKUP($D181,tblPriorPrice,3)</f>
        <v>32</v>
      </c>
      <c r="K181" s="190" t="n">
        <f aca="false">L181-J181</f>
        <v>0</v>
      </c>
      <c r="L181" s="190" t="n">
        <f aca="true">L169+OFFSET($CG$27,$B181,$C181)</f>
        <v>32</v>
      </c>
      <c r="M181" s="96" t="n">
        <f aca="true">$L181+OFFSET($CU$27,$B181,$C181)</f>
        <v>27</v>
      </c>
      <c r="N181" s="97" t="n">
        <f aca="true">$L181+OFFSET($DI$27,$B181,$C181)</f>
        <v>49</v>
      </c>
      <c r="O181" s="59" t="n">
        <f aca="true">IF($A181="",0,INDEX(tblPosn,$A181,2))</f>
        <v>89105.0078125</v>
      </c>
      <c r="P181" s="59" t="n">
        <f aca="true">IF($A181="",0,INDEX(tblPosn,$A181,3))</f>
        <v>62778.52734375</v>
      </c>
      <c r="Q181" s="59" t="n">
        <f aca="true">IF($A181="",0,INDEX(tblPosn,$A181,4))</f>
        <v>16200.91015625</v>
      </c>
      <c r="R181" s="59" t="n">
        <f aca="true">IF($A181="",0,INDEX(tblPosn,$A181,5))</f>
        <v>20251.138671875</v>
      </c>
      <c r="S181" s="59" t="n">
        <f aca="true">IF($A181="",0,INDEX(tblPosn,$A181,6))</f>
        <v>0</v>
      </c>
      <c r="T181" s="98" t="n">
        <f aca="false">O181*F181+P181*K181+R181*AC181+S181*AH181/0.72+Q181*X181</f>
        <v>0</v>
      </c>
      <c r="V181" s="161" t="n">
        <f aca="false">D181</f>
        <v>41395</v>
      </c>
      <c r="W181" s="94" t="n">
        <f aca="false">VLOOKUP($D181,tblPriorPrice,4)</f>
        <v>32</v>
      </c>
      <c r="X181" s="95" t="n">
        <f aca="false">Y181-W181</f>
        <v>0</v>
      </c>
      <c r="Y181" s="191" t="n">
        <f aca="true">Y169+OFFSET($CG$50,$B181,$C181)</f>
        <v>32</v>
      </c>
      <c r="Z181" s="96" t="n">
        <f aca="true">Y181+OFFSET($CU$51,$B181,$C181)</f>
        <v>27</v>
      </c>
      <c r="AA181" s="177" t="n">
        <f aca="true">Y181+OFFSET($DI$51,$B181,$C181)</f>
        <v>60</v>
      </c>
      <c r="AB181" s="94" t="n">
        <f aca="false">VLOOKUP($D181,tblPriorPrice,5)</f>
        <v>32</v>
      </c>
      <c r="AC181" s="190" t="n">
        <f aca="false">AD181-AB181</f>
        <v>0</v>
      </c>
      <c r="AD181" s="191" t="n">
        <f aca="true">AD169+OFFSET($CG$73,$B181,$C181)</f>
        <v>32</v>
      </c>
      <c r="AE181" s="96" t="n">
        <f aca="true">AD181+OFFSET($CU$74,$B181,$C181)</f>
        <v>27</v>
      </c>
      <c r="AF181" s="177" t="n">
        <f aca="true">AD181+OFFSET($DI$74,$B181,$C181)</f>
        <v>60</v>
      </c>
      <c r="AG181" s="94" t="n">
        <f aca="false">VLOOKUP($D181,tblPriorPrice,6)</f>
        <v>1</v>
      </c>
      <c r="AH181" s="190" t="n">
        <f aca="false">AI181-AG181</f>
        <v>0</v>
      </c>
      <c r="AI181" s="191" t="n">
        <f aca="true">AI169+OFFSET($CG$96,$B181,$C181)</f>
        <v>1</v>
      </c>
      <c r="AJ181" s="96" t="n">
        <f aca="true">AI181+OFFSET($CU$96,$B181,$C181)</f>
        <v>1</v>
      </c>
      <c r="AK181" s="97" t="n">
        <f aca="true">AI181+OFFSET($DI$96,$B181,$C181)</f>
        <v>1</v>
      </c>
      <c r="AL181" s="178" t="n">
        <v>50</v>
      </c>
      <c r="AM181" s="165" t="n">
        <v>0.4</v>
      </c>
      <c r="AN181" s="167" t="n">
        <f aca="false">'[3]Pricing Summary'!$AM159</f>
        <v>0.17</v>
      </c>
      <c r="AO181" s="167" t="n">
        <f aca="false">0.9*AN181</f>
        <v>0.153</v>
      </c>
      <c r="AP181" s="166" t="n">
        <f aca="false">1.5*AN181</f>
        <v>0.255</v>
      </c>
      <c r="AQ181" s="167" t="n">
        <f aca="false">AN181</f>
        <v>0.17</v>
      </c>
      <c r="AR181" s="166" t="n">
        <f aca="false">0.8*AQ181</f>
        <v>0.136</v>
      </c>
      <c r="AS181" s="166" t="n">
        <f aca="false">1.2*AQ181</f>
        <v>0.204</v>
      </c>
      <c r="AT181" s="169" t="n">
        <f aca="false">IF(G181&lt;110,17.94063*(LN(G181/100))+6.727568*(LN(G181/100)^2)+15.06494,(-4.1*G181+2135)/100)*0.5</f>
        <v>1.67862159684781</v>
      </c>
      <c r="AU181" s="169" t="n">
        <f aca="false">(0.75*AT181-AT181)</f>
        <v>-0.419655399211954</v>
      </c>
      <c r="AV181" s="166" t="n">
        <f aca="false">AT181/0.5*1.25-AT181</f>
        <v>2.51793239527172</v>
      </c>
      <c r="AW181" s="168" t="n">
        <f aca="false">IF(L181&lt;15,(15*L181+375)/100,(-4.71*L181+670.65)/100)*0.5</f>
        <v>2.59965</v>
      </c>
      <c r="AX181" s="166" t="n">
        <f aca="false">0.75*AW181-AW181</f>
        <v>-0.6499125</v>
      </c>
      <c r="AY181" s="166" t="n">
        <f aca="false">AW181/0.5*1.25-AW181</f>
        <v>3.899475</v>
      </c>
      <c r="AZ181" s="167" t="n">
        <v>0.5</v>
      </c>
      <c r="BA181" s="74"/>
      <c r="BQ181" s="108" t="n">
        <v>36907.7428240741</v>
      </c>
      <c r="BR181" s="109" t="n">
        <v>36907.743287037</v>
      </c>
      <c r="BS181" s="110" t="n">
        <v>41334</v>
      </c>
      <c r="BT181" s="111" t="n">
        <v>85982.109375</v>
      </c>
      <c r="BU181" s="112" t="n">
        <v>63462.9921875</v>
      </c>
      <c r="BV181" s="112" t="n">
        <v>20471.931640625</v>
      </c>
      <c r="BW181" s="112" t="n">
        <v>20471.931640625</v>
      </c>
      <c r="BX181" s="113" t="n">
        <v>0</v>
      </c>
      <c r="BZ181" s="110" t="n">
        <v>41395</v>
      </c>
      <c r="CA181" s="185" t="n">
        <v>32</v>
      </c>
      <c r="CB181" s="116" t="n">
        <v>32</v>
      </c>
      <c r="CC181" s="181" t="n">
        <v>32</v>
      </c>
      <c r="CD181" s="181" t="n">
        <v>32</v>
      </c>
      <c r="CE181" s="117" t="n">
        <v>1</v>
      </c>
    </row>
    <row r="182" customFormat="false" ht="12.75" hidden="false" customHeight="false" outlineLevel="0" collapsed="false">
      <c r="A182" s="0" t="n">
        <f aca="true">IF(ISERROR(MATCH(D182,iRefDt,0)),"",MATCH(D182,iRefDt,0))</f>
        <v>182</v>
      </c>
      <c r="B182" s="92" t="n">
        <f aca="false">MATCH(YEAR(D182),iSpreads)</f>
        <v>13</v>
      </c>
      <c r="C182" s="0" t="n">
        <f aca="false">MONTH(D182)</f>
        <v>6</v>
      </c>
      <c r="D182" s="93" t="n">
        <f aca="false">DATE(YEAR(D181),MONTH(D181)+1,1)</f>
        <v>41426</v>
      </c>
      <c r="E182" s="94" t="n">
        <f aca="false">VLOOKUP($D182,tblPriorPrice,2)</f>
        <v>39</v>
      </c>
      <c r="F182" s="190" t="n">
        <f aca="false">G182-E182</f>
        <v>0</v>
      </c>
      <c r="G182" s="190" t="n">
        <f aca="true">G170+OFFSET($CG$4,$B182,$C182)</f>
        <v>39</v>
      </c>
      <c r="H182" s="96" t="n">
        <f aca="true">G182+OFFSET($CU$4,$B182,$C182)</f>
        <v>34</v>
      </c>
      <c r="I182" s="96" t="n">
        <f aca="true">G182+OFFSET($DI$4,$B182,$C182)</f>
        <v>66</v>
      </c>
      <c r="J182" s="94" t="n">
        <f aca="false">VLOOKUP($D182,tblPriorPrice,3)</f>
        <v>39</v>
      </c>
      <c r="K182" s="190" t="n">
        <f aca="false">L182-J182</f>
        <v>0</v>
      </c>
      <c r="L182" s="190" t="n">
        <f aca="true">L170+OFFSET($CG$27,$B182,$C182)</f>
        <v>39</v>
      </c>
      <c r="M182" s="96" t="n">
        <f aca="true">$L182+OFFSET($CU$27,$B182,$C182)</f>
        <v>34</v>
      </c>
      <c r="N182" s="97" t="n">
        <f aca="true">$L182+OFFSET($DI$27,$B182,$C182)</f>
        <v>56</v>
      </c>
      <c r="O182" s="59" t="n">
        <f aca="true">IF($A182="",0,INDEX(tblPosn,$A182,2))</f>
        <v>80573.0859375</v>
      </c>
      <c r="P182" s="59" t="n">
        <f aca="true">IF($A182="",0,INDEX(tblPosn,$A182,3))</f>
        <v>60429.8125</v>
      </c>
      <c r="Q182" s="59" t="n">
        <f aca="true">IF($A182="",0,INDEX(tblPosn,$A182,4))</f>
        <v>20143.271484375</v>
      </c>
      <c r="R182" s="59" t="n">
        <f aca="true">IF($A182="",0,INDEX(tblPosn,$A182,5))</f>
        <v>20143.271484375</v>
      </c>
      <c r="S182" s="59" t="n">
        <f aca="true">IF($A182="",0,INDEX(tblPosn,$A182,6))</f>
        <v>0</v>
      </c>
      <c r="T182" s="98" t="n">
        <f aca="false">O182*F182+P182*K182+R182*AC182+S182*AH182/0.72+Q182*X182</f>
        <v>0</v>
      </c>
      <c r="V182" s="161" t="n">
        <f aca="false">D182</f>
        <v>41426</v>
      </c>
      <c r="W182" s="94" t="n">
        <f aca="false">VLOOKUP($D182,tblPriorPrice,4)</f>
        <v>39</v>
      </c>
      <c r="X182" s="95" t="n">
        <f aca="false">Y182-W182</f>
        <v>0</v>
      </c>
      <c r="Y182" s="191" t="n">
        <f aca="true">Y170+OFFSET($CG$50,$B182,$C182)</f>
        <v>39</v>
      </c>
      <c r="Z182" s="96" t="n">
        <f aca="true">Y182+OFFSET($CU$51,$B182,$C182)</f>
        <v>34</v>
      </c>
      <c r="AA182" s="177" t="n">
        <f aca="true">Y182+OFFSET($DI$51,$B182,$C182)</f>
        <v>67</v>
      </c>
      <c r="AB182" s="94" t="n">
        <f aca="false">VLOOKUP($D182,tblPriorPrice,5)</f>
        <v>39</v>
      </c>
      <c r="AC182" s="190" t="n">
        <f aca="false">AD182-AB182</f>
        <v>0</v>
      </c>
      <c r="AD182" s="191" t="n">
        <f aca="true">AD170+OFFSET($CG$73,$B182,$C182)</f>
        <v>39</v>
      </c>
      <c r="AE182" s="96" t="n">
        <f aca="true">AD182+OFFSET($CU$74,$B182,$C182)</f>
        <v>34</v>
      </c>
      <c r="AF182" s="177" t="n">
        <f aca="true">AD182+OFFSET($DI$74,$B182,$C182)</f>
        <v>67</v>
      </c>
      <c r="AG182" s="94" t="n">
        <f aca="false">VLOOKUP($D182,tblPriorPrice,6)</f>
        <v>1</v>
      </c>
      <c r="AH182" s="190" t="n">
        <f aca="false">AI182-AG182</f>
        <v>0</v>
      </c>
      <c r="AI182" s="191" t="n">
        <f aca="true">AI170+OFFSET($CG$96,$B182,$C182)</f>
        <v>1</v>
      </c>
      <c r="AJ182" s="96" t="n">
        <f aca="true">AI182+OFFSET($CU$96,$B182,$C182)</f>
        <v>1</v>
      </c>
      <c r="AK182" s="97" t="n">
        <f aca="true">AI182+OFFSET($DI$96,$B182,$C182)</f>
        <v>1</v>
      </c>
      <c r="AL182" s="178" t="n">
        <v>51</v>
      </c>
      <c r="AM182" s="165" t="n">
        <v>0.4</v>
      </c>
      <c r="AN182" s="167" t="n">
        <f aca="false">'[3]Pricing Summary'!$AM160</f>
        <v>0.17</v>
      </c>
      <c r="AO182" s="167" t="n">
        <f aca="false">0.9*AN182</f>
        <v>0.153</v>
      </c>
      <c r="AP182" s="166" t="n">
        <f aca="false">1.5*AN182</f>
        <v>0.255</v>
      </c>
      <c r="AQ182" s="167" t="n">
        <f aca="false">AN182</f>
        <v>0.17</v>
      </c>
      <c r="AR182" s="166" t="n">
        <f aca="false">0.8*AQ182</f>
        <v>0.136</v>
      </c>
      <c r="AS182" s="166" t="n">
        <f aca="false">1.2*AQ182</f>
        <v>0.204</v>
      </c>
      <c r="AT182" s="169" t="n">
        <f aca="false">IF(G182&lt;110,17.94063*(LN(G182/100))+6.727568*(LN(G182/100)^2)+15.06494,(-4.1*G182+2135)/100)*0.5</f>
        <v>2.06836530423771</v>
      </c>
      <c r="AU182" s="169" t="n">
        <f aca="false">(0.75*AT182-AT182)</f>
        <v>-0.517091326059428</v>
      </c>
      <c r="AV182" s="166" t="n">
        <f aca="false">AT182/0.5*1.25-AT182</f>
        <v>3.10254795635657</v>
      </c>
      <c r="AW182" s="168" t="n">
        <f aca="false">IF(L182&lt;15,(15*L182+375)/100,(-4.71*L182+670.65)/100)*0.5</f>
        <v>2.4348</v>
      </c>
      <c r="AX182" s="166" t="n">
        <f aca="false">0.75*AW182-AW182</f>
        <v>-0.6087</v>
      </c>
      <c r="AY182" s="166" t="n">
        <f aca="false">AW182/0.5*1.25-AW182</f>
        <v>3.6522</v>
      </c>
      <c r="AZ182" s="167" t="n">
        <v>0.5</v>
      </c>
      <c r="BA182" s="74"/>
      <c r="BQ182" s="108" t="n">
        <v>36907.7428240741</v>
      </c>
      <c r="BR182" s="109" t="n">
        <v>36907.743287037</v>
      </c>
      <c r="BS182" s="110" t="n">
        <v>41365</v>
      </c>
      <c r="BT182" s="111" t="n">
        <v>89599.7109375</v>
      </c>
      <c r="BU182" s="112" t="n">
        <v>60836.16796875</v>
      </c>
      <c r="BV182" s="112" t="n">
        <v>16290.8564453125</v>
      </c>
      <c r="BW182" s="112" t="n">
        <v>16290.8564453125</v>
      </c>
      <c r="BX182" s="113" t="n">
        <v>0</v>
      </c>
      <c r="BZ182" s="110" t="n">
        <v>41426</v>
      </c>
      <c r="CA182" s="185" t="n">
        <v>39</v>
      </c>
      <c r="CB182" s="116" t="n">
        <v>39</v>
      </c>
      <c r="CC182" s="181" t="n">
        <v>39</v>
      </c>
      <c r="CD182" s="181" t="n">
        <v>39</v>
      </c>
      <c r="CE182" s="117" t="n">
        <v>1</v>
      </c>
    </row>
    <row r="183" customFormat="false" ht="12.75" hidden="false" customHeight="false" outlineLevel="0" collapsed="false">
      <c r="A183" s="0" t="n">
        <f aca="true">IF(ISERROR(MATCH(D183,iRefDt,0)),"",MATCH(D183,iRefDt,0))</f>
        <v>183</v>
      </c>
      <c r="B183" s="92" t="n">
        <f aca="false">MATCH(YEAR(D183),iSpreads)</f>
        <v>13</v>
      </c>
      <c r="C183" s="0" t="n">
        <f aca="false">MONTH(D183)</f>
        <v>7</v>
      </c>
      <c r="D183" s="93" t="n">
        <f aca="false">DATE(YEAR(D182),MONTH(D182)+1,1)</f>
        <v>41456</v>
      </c>
      <c r="E183" s="94" t="n">
        <f aca="false">VLOOKUP($D183,tblPriorPrice,2)</f>
        <v>39</v>
      </c>
      <c r="F183" s="190" t="n">
        <f aca="false">G183-E183</f>
        <v>0</v>
      </c>
      <c r="G183" s="190" t="n">
        <f aca="true">G171+OFFSET($CG$4,$B183,$C183)</f>
        <v>39</v>
      </c>
      <c r="H183" s="96" t="n">
        <f aca="true">G183+OFFSET($CU$4,$B183,$C183)</f>
        <v>34</v>
      </c>
      <c r="I183" s="96" t="n">
        <f aca="true">G183+OFFSET($DI$4,$B183,$C183)</f>
        <v>66</v>
      </c>
      <c r="J183" s="94" t="n">
        <f aca="false">VLOOKUP($D183,tblPriorPrice,3)</f>
        <v>39</v>
      </c>
      <c r="K183" s="190" t="n">
        <f aca="false">L183-J183</f>
        <v>0</v>
      </c>
      <c r="L183" s="190" t="n">
        <f aca="true">L171+OFFSET($CG$27,$B183,$C183)</f>
        <v>39</v>
      </c>
      <c r="M183" s="96" t="n">
        <f aca="true">$L183+OFFSET($CU$27,$B183,$C183)</f>
        <v>34</v>
      </c>
      <c r="N183" s="97" t="n">
        <f aca="true">$L183+OFFSET($DI$27,$B183,$C183)</f>
        <v>56</v>
      </c>
      <c r="O183" s="59" t="n">
        <f aca="true">IF($A183="",0,INDEX(tblPosn,$A183,2))</f>
        <v>88138.0546875</v>
      </c>
      <c r="P183" s="59" t="n">
        <f aca="true">IF($A183="",0,INDEX(tblPosn,$A183,3))</f>
        <v>62097.265625</v>
      </c>
      <c r="Q183" s="59" t="n">
        <f aca="true">IF($A183="",0,INDEX(tblPosn,$A183,4))</f>
        <v>16025.1005859375</v>
      </c>
      <c r="R183" s="59" t="n">
        <f aca="true">IF($A183="",0,INDEX(tblPosn,$A183,5))</f>
        <v>20031.376953125</v>
      </c>
      <c r="S183" s="59" t="n">
        <f aca="true">IF($A183="",0,INDEX(tblPosn,$A183,6))</f>
        <v>0</v>
      </c>
      <c r="T183" s="98" t="n">
        <f aca="false">O183*F183+P183*K183+R183*AC183+S183*AH183/0.72+Q183*X183</f>
        <v>0</v>
      </c>
      <c r="V183" s="161" t="n">
        <f aca="false">D183</f>
        <v>41456</v>
      </c>
      <c r="W183" s="94" t="n">
        <f aca="false">VLOOKUP($D183,tblPriorPrice,4)</f>
        <v>39</v>
      </c>
      <c r="X183" s="95" t="n">
        <f aca="false">Y183-W183</f>
        <v>0</v>
      </c>
      <c r="Y183" s="191" t="n">
        <f aca="true">Y171+OFFSET($CG$50,$B183,$C183)</f>
        <v>39</v>
      </c>
      <c r="Z183" s="96" t="n">
        <f aca="true">Y183+OFFSET($CU$51,$B183,$C183)</f>
        <v>34</v>
      </c>
      <c r="AA183" s="177" t="n">
        <f aca="true">Y183+OFFSET($DI$51,$B183,$C183)</f>
        <v>67</v>
      </c>
      <c r="AB183" s="94" t="n">
        <f aca="false">VLOOKUP($D183,tblPriorPrice,5)</f>
        <v>39</v>
      </c>
      <c r="AC183" s="190" t="n">
        <f aca="false">AD183-AB183</f>
        <v>0</v>
      </c>
      <c r="AD183" s="191" t="n">
        <f aca="true">AD171+OFFSET($CG$73,$B183,$C183)</f>
        <v>39</v>
      </c>
      <c r="AE183" s="96" t="n">
        <f aca="true">AD183+OFFSET($CU$74,$B183,$C183)</f>
        <v>34</v>
      </c>
      <c r="AF183" s="177" t="n">
        <f aca="true">AD183+OFFSET($DI$74,$B183,$C183)</f>
        <v>67</v>
      </c>
      <c r="AG183" s="94" t="n">
        <f aca="false">VLOOKUP($D183,tblPriorPrice,6)</f>
        <v>1</v>
      </c>
      <c r="AH183" s="190" t="n">
        <f aca="false">AI183-AG183</f>
        <v>0</v>
      </c>
      <c r="AI183" s="191" t="n">
        <f aca="true">AI171+OFFSET($CG$96,$B183,$C183)</f>
        <v>1</v>
      </c>
      <c r="AJ183" s="96" t="n">
        <f aca="true">AI183+OFFSET($CU$96,$B183,$C183)</f>
        <v>1</v>
      </c>
      <c r="AK183" s="97" t="n">
        <f aca="true">AI183+OFFSET($DI$96,$B183,$C183)</f>
        <v>1</v>
      </c>
      <c r="AL183" s="178" t="n">
        <v>51</v>
      </c>
      <c r="AM183" s="165" t="n">
        <v>0.4</v>
      </c>
      <c r="AN183" s="167" t="n">
        <f aca="false">'[3]Pricing Summary'!$AM161</f>
        <v>0.17</v>
      </c>
      <c r="AO183" s="167" t="n">
        <f aca="false">0.9*AN183</f>
        <v>0.153</v>
      </c>
      <c r="AP183" s="166" t="n">
        <f aca="false">1.5*AN183</f>
        <v>0.255</v>
      </c>
      <c r="AQ183" s="167" t="n">
        <f aca="false">AN183</f>
        <v>0.17</v>
      </c>
      <c r="AR183" s="166" t="n">
        <f aca="false">0.8*AQ183</f>
        <v>0.136</v>
      </c>
      <c r="AS183" s="166" t="n">
        <f aca="false">1.2*AQ183</f>
        <v>0.204</v>
      </c>
      <c r="AT183" s="169" t="n">
        <f aca="false">IF(G183&lt;110,17.94063*(LN(G183/100))+6.727568*(LN(G183/100)^2)+15.06494,(-4.1*G183+2135)/100)*0.5</f>
        <v>2.06836530423771</v>
      </c>
      <c r="AU183" s="169" t="n">
        <f aca="false">(0.75*AT183-AT183)</f>
        <v>-0.517091326059428</v>
      </c>
      <c r="AV183" s="166" t="n">
        <f aca="false">AT183/0.5*1.25-AT183</f>
        <v>3.10254795635657</v>
      </c>
      <c r="AW183" s="168" t="n">
        <f aca="false">IF(L183&lt;15,(15*L183+375)/100,(-4.71*L183+670.65)/100)*0.5</f>
        <v>2.4348</v>
      </c>
      <c r="AX183" s="166" t="n">
        <f aca="false">0.75*AW183-AW183</f>
        <v>-0.6087</v>
      </c>
      <c r="AY183" s="166" t="n">
        <f aca="false">AW183/0.5*1.25-AW183</f>
        <v>3.6522</v>
      </c>
      <c r="AZ183" s="167" t="n">
        <v>0.5</v>
      </c>
      <c r="BA183" s="74"/>
      <c r="BQ183" s="108" t="n">
        <v>36907.7428240741</v>
      </c>
      <c r="BR183" s="109" t="n">
        <v>36907.743287037</v>
      </c>
      <c r="BS183" s="110" t="n">
        <v>41395</v>
      </c>
      <c r="BT183" s="111" t="n">
        <v>89105.0078125</v>
      </c>
      <c r="BU183" s="112" t="n">
        <v>62778.52734375</v>
      </c>
      <c r="BV183" s="112" t="n">
        <v>16200.91015625</v>
      </c>
      <c r="BW183" s="112" t="n">
        <v>20251.138671875</v>
      </c>
      <c r="BX183" s="113" t="n">
        <v>0</v>
      </c>
      <c r="BZ183" s="110" t="n">
        <v>41456</v>
      </c>
      <c r="CA183" s="185" t="n">
        <v>39</v>
      </c>
      <c r="CB183" s="116" t="n">
        <v>39</v>
      </c>
      <c r="CC183" s="181" t="n">
        <v>39</v>
      </c>
      <c r="CD183" s="181" t="n">
        <v>39</v>
      </c>
      <c r="CE183" s="117" t="n">
        <v>1</v>
      </c>
    </row>
    <row r="184" customFormat="false" ht="12.75" hidden="false" customHeight="false" outlineLevel="0" collapsed="false">
      <c r="A184" s="0" t="n">
        <f aca="true">IF(ISERROR(MATCH(D184,iRefDt,0)),"",MATCH(D184,iRefDt,0))</f>
        <v>184</v>
      </c>
      <c r="B184" s="92" t="n">
        <f aca="false">MATCH(YEAR(D184),iSpreads)</f>
        <v>13</v>
      </c>
      <c r="C184" s="0" t="n">
        <f aca="false">MONTH(D184)</f>
        <v>8</v>
      </c>
      <c r="D184" s="93" t="n">
        <f aca="false">DATE(YEAR(D183),MONTH(D183)+1,1)</f>
        <v>41487</v>
      </c>
      <c r="E184" s="94" t="n">
        <f aca="false">VLOOKUP($D184,tblPriorPrice,2)</f>
        <v>41</v>
      </c>
      <c r="F184" s="190" t="n">
        <f aca="false">G184-E184</f>
        <v>0</v>
      </c>
      <c r="G184" s="190" t="n">
        <f aca="true">G172+OFFSET($CG$4,$B184,$C184)</f>
        <v>41</v>
      </c>
      <c r="H184" s="96" t="n">
        <f aca="true">G184+OFFSET($CU$4,$B184,$C184)</f>
        <v>36</v>
      </c>
      <c r="I184" s="96" t="n">
        <f aca="true">G184+OFFSET($DI$4,$B184,$C184)</f>
        <v>68</v>
      </c>
      <c r="J184" s="94" t="n">
        <f aca="false">VLOOKUP($D184,tblPriorPrice,3)</f>
        <v>41</v>
      </c>
      <c r="K184" s="190" t="n">
        <f aca="false">L184-J184</f>
        <v>0</v>
      </c>
      <c r="L184" s="190" t="n">
        <f aca="true">L172+OFFSET($CG$27,$B184,$C184)</f>
        <v>41</v>
      </c>
      <c r="M184" s="96" t="n">
        <f aca="true">$L184+OFFSET($CU$27,$B184,$C184)</f>
        <v>36</v>
      </c>
      <c r="N184" s="97" t="n">
        <f aca="true">$L184+OFFSET($DI$27,$B184,$C184)</f>
        <v>58</v>
      </c>
      <c r="O184" s="59" t="n">
        <f aca="true">IF($A184="",0,INDEX(tblPosn,$A184,2))</f>
        <v>87653.9375</v>
      </c>
      <c r="P184" s="59" t="n">
        <f aca="true">IF($A184="",0,INDEX(tblPosn,$A184,3))</f>
        <v>61756.1796875</v>
      </c>
      <c r="Q184" s="59" t="n">
        <f aca="true">IF($A184="",0,INDEX(tblPosn,$A184,4))</f>
        <v>19921.349609375</v>
      </c>
      <c r="R184" s="59" t="n">
        <f aca="true">IF($A184="",0,INDEX(tblPosn,$A184,5))</f>
        <v>15937.0791015625</v>
      </c>
      <c r="S184" s="59" t="n">
        <f aca="true">IF($A184="",0,INDEX(tblPosn,$A184,6))</f>
        <v>0</v>
      </c>
      <c r="T184" s="98" t="n">
        <f aca="false">O184*F184+P184*K184+R184*AC184+S184*AH184/0.72+Q184*X184</f>
        <v>0</v>
      </c>
      <c r="V184" s="161" t="n">
        <f aca="false">D184</f>
        <v>41487</v>
      </c>
      <c r="W184" s="94" t="n">
        <f aca="false">VLOOKUP($D184,tblPriorPrice,4)</f>
        <v>41</v>
      </c>
      <c r="X184" s="95" t="n">
        <f aca="false">Y184-W184</f>
        <v>0</v>
      </c>
      <c r="Y184" s="191" t="n">
        <f aca="true">Y172+OFFSET($CG$50,$B184,$C184)</f>
        <v>41</v>
      </c>
      <c r="Z184" s="96" t="n">
        <f aca="true">Y184+OFFSET($CU$51,$B184,$C184)</f>
        <v>36</v>
      </c>
      <c r="AA184" s="177" t="n">
        <f aca="true">Y184+OFFSET($DI$51,$B184,$C184)</f>
        <v>69</v>
      </c>
      <c r="AB184" s="94" t="n">
        <f aca="false">VLOOKUP($D184,tblPriorPrice,5)</f>
        <v>41</v>
      </c>
      <c r="AC184" s="190" t="n">
        <f aca="false">AD184-AB184</f>
        <v>0</v>
      </c>
      <c r="AD184" s="191" t="n">
        <f aca="true">AD172+OFFSET($CG$73,$B184,$C184)</f>
        <v>41</v>
      </c>
      <c r="AE184" s="96" t="n">
        <f aca="true">AD184+OFFSET($CU$74,$B184,$C184)</f>
        <v>36</v>
      </c>
      <c r="AF184" s="177" t="n">
        <f aca="true">AD184+OFFSET($DI$74,$B184,$C184)</f>
        <v>69</v>
      </c>
      <c r="AG184" s="94" t="n">
        <f aca="false">VLOOKUP($D184,tblPriorPrice,6)</f>
        <v>1</v>
      </c>
      <c r="AH184" s="190" t="n">
        <f aca="false">AI184-AG184</f>
        <v>0</v>
      </c>
      <c r="AI184" s="191" t="n">
        <f aca="true">AI172+OFFSET($CG$96,$B184,$C184)</f>
        <v>1</v>
      </c>
      <c r="AJ184" s="96" t="n">
        <f aca="true">AI184+OFFSET($CU$96,$B184,$C184)</f>
        <v>1</v>
      </c>
      <c r="AK184" s="97" t="n">
        <f aca="true">AI184+OFFSET($DI$96,$B184,$C184)</f>
        <v>1</v>
      </c>
      <c r="AL184" s="178" t="n">
        <v>51</v>
      </c>
      <c r="AM184" s="165" t="n">
        <v>0.4</v>
      </c>
      <c r="AN184" s="167" t="n">
        <f aca="false">'[3]Pricing Summary'!$AM162</f>
        <v>0.17</v>
      </c>
      <c r="AO184" s="167" t="n">
        <f aca="false">0.9*AN184</f>
        <v>0.153</v>
      </c>
      <c r="AP184" s="166" t="n">
        <f aca="false">1.5*AN184</f>
        <v>0.255</v>
      </c>
      <c r="AQ184" s="167" t="n">
        <f aca="false">AN184</f>
        <v>0.17</v>
      </c>
      <c r="AR184" s="166" t="n">
        <f aca="false">0.8*AQ184</f>
        <v>0.136</v>
      </c>
      <c r="AS184" s="166" t="n">
        <f aca="false">1.2*AQ184</f>
        <v>0.204</v>
      </c>
      <c r="AT184" s="169" t="n">
        <f aca="false">IF(G184&lt;110,17.94063*(LN(G184/100))+6.727568*(LN(G184/100)^2)+15.06494,(-4.1*G184+2135)/100)*0.5</f>
        <v>2.20858471004844</v>
      </c>
      <c r="AU184" s="169" t="n">
        <f aca="false">(0.75*AT184-AT184)</f>
        <v>-0.552146177512111</v>
      </c>
      <c r="AV184" s="166" t="n">
        <f aca="false">AT184/0.5*1.25-AT184</f>
        <v>3.31287706507267</v>
      </c>
      <c r="AW184" s="168" t="n">
        <f aca="false">IF(L184&lt;15,(15*L184+375)/100,(-4.71*L184+670.65)/100)*0.5</f>
        <v>2.3877</v>
      </c>
      <c r="AX184" s="166" t="n">
        <f aca="false">0.75*AW184-AW184</f>
        <v>-0.596925</v>
      </c>
      <c r="AY184" s="166" t="n">
        <f aca="false">AW184/0.5*1.25-AW184</f>
        <v>3.58155</v>
      </c>
      <c r="AZ184" s="167" t="n">
        <v>0.5</v>
      </c>
      <c r="BA184" s="74"/>
      <c r="BQ184" s="108" t="n">
        <v>36907.7428240741</v>
      </c>
      <c r="BR184" s="109" t="n">
        <v>36907.743287037</v>
      </c>
      <c r="BS184" s="110" t="n">
        <v>41426</v>
      </c>
      <c r="BT184" s="111" t="n">
        <v>80573.0859375</v>
      </c>
      <c r="BU184" s="112" t="n">
        <v>60429.8125</v>
      </c>
      <c r="BV184" s="112" t="n">
        <v>20143.271484375</v>
      </c>
      <c r="BW184" s="112" t="n">
        <v>20143.271484375</v>
      </c>
      <c r="BX184" s="113" t="n">
        <v>0</v>
      </c>
      <c r="BZ184" s="110" t="n">
        <v>41487</v>
      </c>
      <c r="CA184" s="185" t="n">
        <v>41</v>
      </c>
      <c r="CB184" s="116" t="n">
        <v>41</v>
      </c>
      <c r="CC184" s="181" t="n">
        <v>41</v>
      </c>
      <c r="CD184" s="181" t="n">
        <v>41</v>
      </c>
      <c r="CE184" s="117" t="n">
        <v>1</v>
      </c>
    </row>
    <row r="185" customFormat="false" ht="12.75" hidden="false" customHeight="false" outlineLevel="0" collapsed="false">
      <c r="A185" s="0" t="n">
        <f aca="true">IF(ISERROR(MATCH(D185,iRefDt,0)),"",MATCH(D185,iRefDt,0))</f>
        <v>185</v>
      </c>
      <c r="B185" s="92" t="n">
        <f aca="false">MATCH(YEAR(D185),iSpreads)</f>
        <v>13</v>
      </c>
      <c r="C185" s="0" t="n">
        <f aca="false">MONTH(D185)</f>
        <v>9</v>
      </c>
      <c r="D185" s="93" t="n">
        <f aca="false">DATE(YEAR(D184),MONTH(D184)+1,1)</f>
        <v>41518</v>
      </c>
      <c r="E185" s="94" t="n">
        <f aca="false">VLOOKUP($D185,tblPriorPrice,2)</f>
        <v>35</v>
      </c>
      <c r="F185" s="190" t="n">
        <f aca="false">G185-E185</f>
        <v>0</v>
      </c>
      <c r="G185" s="190" t="n">
        <f aca="true">G173+OFFSET($CG$4,$B185,$C185)</f>
        <v>35</v>
      </c>
      <c r="H185" s="96" t="n">
        <f aca="true">G185+OFFSET($CU$4,$B185,$C185)</f>
        <v>30</v>
      </c>
      <c r="I185" s="96" t="n">
        <f aca="true">G185+OFFSET($DI$4,$B185,$C185)</f>
        <v>62</v>
      </c>
      <c r="J185" s="94" t="n">
        <f aca="false">VLOOKUP($D185,tblPriorPrice,3)</f>
        <v>35</v>
      </c>
      <c r="K185" s="190" t="n">
        <f aca="false">L185-J185</f>
        <v>0</v>
      </c>
      <c r="L185" s="190" t="n">
        <f aca="true">L173+OFFSET($CG$27,$B185,$C185)</f>
        <v>35</v>
      </c>
      <c r="M185" s="96" t="n">
        <f aca="true">$L185+OFFSET($CU$27,$B185,$C185)</f>
        <v>30</v>
      </c>
      <c r="N185" s="97" t="n">
        <f aca="true">$L185+OFFSET($DI$27,$B185,$C185)</f>
        <v>52</v>
      </c>
      <c r="O185" s="59" t="n">
        <f aca="true">IF($A185="",0,INDEX(tblPosn,$A185,2))</f>
        <v>79254.25</v>
      </c>
      <c r="P185" s="59" t="n">
        <f aca="true">IF($A185="",0,INDEX(tblPosn,$A185,3))</f>
        <v>59440.6875</v>
      </c>
      <c r="Q185" s="59" t="n">
        <f aca="true">IF($A185="",0,INDEX(tblPosn,$A185,4))</f>
        <v>15850.8505859375</v>
      </c>
      <c r="R185" s="59" t="n">
        <f aca="true">IF($A185="",0,INDEX(tblPosn,$A185,5))</f>
        <v>23776.275390625</v>
      </c>
      <c r="S185" s="59" t="n">
        <f aca="true">IF($A185="",0,INDEX(tblPosn,$A185,6))</f>
        <v>0</v>
      </c>
      <c r="T185" s="98" t="n">
        <f aca="false">O185*F185+P185*K185+R185*AC185+S185*AH185/0.72+Q185*X185</f>
        <v>0</v>
      </c>
      <c r="V185" s="161" t="n">
        <f aca="false">D185</f>
        <v>41518</v>
      </c>
      <c r="W185" s="94" t="n">
        <f aca="false">VLOOKUP($D185,tblPriorPrice,4)</f>
        <v>35</v>
      </c>
      <c r="X185" s="95" t="n">
        <f aca="false">Y185-W185</f>
        <v>0</v>
      </c>
      <c r="Y185" s="191" t="n">
        <f aca="true">Y173+OFFSET($CG$50,$B185,$C185)</f>
        <v>35</v>
      </c>
      <c r="Z185" s="96" t="n">
        <f aca="true">Y185+OFFSET($CU$51,$B185,$C185)</f>
        <v>30</v>
      </c>
      <c r="AA185" s="177" t="n">
        <f aca="true">Y185+OFFSET($DI$51,$B185,$C185)</f>
        <v>63</v>
      </c>
      <c r="AB185" s="94" t="n">
        <f aca="false">VLOOKUP($D185,tblPriorPrice,5)</f>
        <v>35</v>
      </c>
      <c r="AC185" s="190" t="n">
        <f aca="false">AD185-AB185</f>
        <v>0</v>
      </c>
      <c r="AD185" s="191" t="n">
        <f aca="true">AD173+OFFSET($CG$73,$B185,$C185)</f>
        <v>35</v>
      </c>
      <c r="AE185" s="96" t="n">
        <f aca="true">AD185+OFFSET($CU$74,$B185,$C185)</f>
        <v>30</v>
      </c>
      <c r="AF185" s="177" t="n">
        <f aca="true">AD185+OFFSET($DI$74,$B185,$C185)</f>
        <v>63</v>
      </c>
      <c r="AG185" s="94" t="n">
        <f aca="false">VLOOKUP($D185,tblPriorPrice,6)</f>
        <v>1</v>
      </c>
      <c r="AH185" s="190" t="n">
        <f aca="false">AI185-AG185</f>
        <v>0</v>
      </c>
      <c r="AI185" s="191" t="n">
        <f aca="true">AI173+OFFSET($CG$96,$B185,$C185)</f>
        <v>1</v>
      </c>
      <c r="AJ185" s="96" t="n">
        <f aca="true">AI185+OFFSET($CU$96,$B185,$C185)</f>
        <v>1</v>
      </c>
      <c r="AK185" s="97" t="n">
        <f aca="true">AI185+OFFSET($DI$96,$B185,$C185)</f>
        <v>1</v>
      </c>
      <c r="AL185" s="178" t="n">
        <v>52</v>
      </c>
      <c r="AM185" s="165" t="n">
        <v>0.4</v>
      </c>
      <c r="AN185" s="167" t="n">
        <f aca="false">'[3]Pricing Summary'!$AM163</f>
        <v>0.17</v>
      </c>
      <c r="AO185" s="167" t="n">
        <f aca="false">0.9*AN185</f>
        <v>0.153</v>
      </c>
      <c r="AP185" s="166" t="n">
        <f aca="false">1.5*AN185</f>
        <v>0.255</v>
      </c>
      <c r="AQ185" s="167" t="n">
        <f aca="false">AN185</f>
        <v>0.17</v>
      </c>
      <c r="AR185" s="166" t="n">
        <f aca="false">0.8*AQ185</f>
        <v>0.136</v>
      </c>
      <c r="AS185" s="166" t="n">
        <f aca="false">1.2*AQ185</f>
        <v>0.204</v>
      </c>
      <c r="AT185" s="169" t="n">
        <f aca="false">IF(G185&lt;110,17.94063*(LN(G185/100))+6.727568*(LN(G185/100)^2)+15.06494,(-4.1*G185+2135)/100)*0.5</f>
        <v>1.82255031269953</v>
      </c>
      <c r="AU185" s="169" t="n">
        <f aca="false">(0.75*AT185-AT185)</f>
        <v>-0.455637578174882</v>
      </c>
      <c r="AV185" s="166" t="n">
        <f aca="false">AT185/0.5*1.25-AT185</f>
        <v>2.73382546904929</v>
      </c>
      <c r="AW185" s="168" t="n">
        <f aca="false">IF(L185&lt;15,(15*L185+375)/100,(-4.71*L185+670.65)/100)*0.5</f>
        <v>2.529</v>
      </c>
      <c r="AX185" s="166" t="n">
        <f aca="false">0.75*AW185-AW185</f>
        <v>-0.63225</v>
      </c>
      <c r="AY185" s="166" t="n">
        <f aca="false">AW185/0.5*1.25-AW185</f>
        <v>3.7935</v>
      </c>
      <c r="AZ185" s="167" t="n">
        <v>0.5</v>
      </c>
      <c r="BA185" s="74"/>
      <c r="BQ185" s="108" t="n">
        <v>36907.7428240741</v>
      </c>
      <c r="BR185" s="109" t="n">
        <v>36907.743287037</v>
      </c>
      <c r="BS185" s="110" t="n">
        <v>41456</v>
      </c>
      <c r="BT185" s="111" t="n">
        <v>88138.0546875</v>
      </c>
      <c r="BU185" s="112" t="n">
        <v>62097.265625</v>
      </c>
      <c r="BV185" s="112" t="n">
        <v>16025.1005859375</v>
      </c>
      <c r="BW185" s="112" t="n">
        <v>20031.376953125</v>
      </c>
      <c r="BX185" s="113" t="n">
        <v>0</v>
      </c>
      <c r="BZ185" s="110" t="n">
        <v>41518</v>
      </c>
      <c r="CA185" s="185" t="n">
        <v>35</v>
      </c>
      <c r="CB185" s="116" t="n">
        <v>35</v>
      </c>
      <c r="CC185" s="181" t="n">
        <v>35</v>
      </c>
      <c r="CD185" s="181" t="n">
        <v>35</v>
      </c>
      <c r="CE185" s="117" t="n">
        <v>1</v>
      </c>
    </row>
    <row r="186" customFormat="false" ht="12.75" hidden="false" customHeight="false" outlineLevel="0" collapsed="false">
      <c r="A186" s="0" t="n">
        <f aca="true">IF(ISERROR(MATCH(D186,iRefDt,0)),"",MATCH(D186,iRefDt,0))</f>
        <v>186</v>
      </c>
      <c r="B186" s="92" t="n">
        <f aca="false">MATCH(YEAR(D186),iSpreads)</f>
        <v>13</v>
      </c>
      <c r="C186" s="0" t="n">
        <f aca="false">MONTH(D186)</f>
        <v>10</v>
      </c>
      <c r="D186" s="93" t="n">
        <f aca="false">DATE(YEAR(D185),MONTH(D185)+1,1)</f>
        <v>41548</v>
      </c>
      <c r="E186" s="94" t="n">
        <f aca="false">VLOOKUP($D186,tblPriorPrice,2)</f>
        <v>37</v>
      </c>
      <c r="F186" s="190" t="n">
        <f aca="false">G186-E186</f>
        <v>0</v>
      </c>
      <c r="G186" s="190" t="n">
        <f aca="true">G174+OFFSET($CG$4,$B186,$C186)</f>
        <v>37</v>
      </c>
      <c r="H186" s="96" t="n">
        <f aca="true">G186+OFFSET($CU$4,$B186,$C186)</f>
        <v>32</v>
      </c>
      <c r="I186" s="96" t="n">
        <f aca="true">G186+OFFSET($DI$4,$B186,$C186)</f>
        <v>64</v>
      </c>
      <c r="J186" s="94" t="n">
        <f aca="false">VLOOKUP($D186,tblPriorPrice,3)</f>
        <v>37</v>
      </c>
      <c r="K186" s="190" t="n">
        <f aca="false">L186-J186</f>
        <v>0</v>
      </c>
      <c r="L186" s="190" t="n">
        <f aca="true">L174+OFFSET($CG$27,$B186,$C186)</f>
        <v>37</v>
      </c>
      <c r="M186" s="96" t="n">
        <f aca="true">$L186+OFFSET($CU$27,$B186,$C186)</f>
        <v>32</v>
      </c>
      <c r="N186" s="97" t="n">
        <f aca="true">$L186+OFFSET($DI$27,$B186,$C186)</f>
        <v>54</v>
      </c>
      <c r="O186" s="59" t="n">
        <f aca="true">IF($A186="",0,INDEX(tblPosn,$A186,2))</f>
        <v>90636.625</v>
      </c>
      <c r="P186" s="59" t="n">
        <f aca="true">IF($A186="",0,INDEX(tblPosn,$A186,3))</f>
        <v>61327.5</v>
      </c>
      <c r="Q186" s="59" t="n">
        <f aca="true">IF($A186="",0,INDEX(tblPosn,$A186,4))</f>
        <v>15762.8916015625</v>
      </c>
      <c r="R186" s="59" t="n">
        <f aca="true">IF($A186="",0,INDEX(tblPosn,$A186,5))</f>
        <v>15762.8916015625</v>
      </c>
      <c r="S186" s="59" t="n">
        <f aca="true">IF($A186="",0,INDEX(tblPosn,$A186,6))</f>
        <v>0</v>
      </c>
      <c r="T186" s="98" t="n">
        <f aca="false">O186*F186+P186*K186+R186*AC186+S186*AH186/0.72+Q186*X186</f>
        <v>0</v>
      </c>
      <c r="V186" s="161" t="n">
        <f aca="false">D186</f>
        <v>41548</v>
      </c>
      <c r="W186" s="94" t="n">
        <f aca="false">VLOOKUP($D186,tblPriorPrice,4)</f>
        <v>37</v>
      </c>
      <c r="X186" s="95" t="n">
        <f aca="false">Y186-W186</f>
        <v>0</v>
      </c>
      <c r="Y186" s="191" t="n">
        <f aca="true">Y174+OFFSET($CG$50,$B186,$C186)</f>
        <v>37</v>
      </c>
      <c r="Z186" s="96" t="n">
        <f aca="true">Y186+OFFSET($CU$51,$B186,$C186)</f>
        <v>32</v>
      </c>
      <c r="AA186" s="177" t="n">
        <f aca="true">Y186+OFFSET($DI$51,$B186,$C186)</f>
        <v>65</v>
      </c>
      <c r="AB186" s="94" t="n">
        <f aca="false">VLOOKUP($D186,tblPriorPrice,5)</f>
        <v>37</v>
      </c>
      <c r="AC186" s="190" t="n">
        <f aca="false">AD186-AB186</f>
        <v>0</v>
      </c>
      <c r="AD186" s="191" t="n">
        <f aca="true">AD174+OFFSET($CG$73,$B186,$C186)</f>
        <v>37</v>
      </c>
      <c r="AE186" s="96" t="n">
        <f aca="true">AD186+OFFSET($CU$74,$B186,$C186)</f>
        <v>32</v>
      </c>
      <c r="AF186" s="177" t="n">
        <f aca="true">AD186+OFFSET($DI$74,$B186,$C186)</f>
        <v>65</v>
      </c>
      <c r="AG186" s="94" t="n">
        <f aca="false">VLOOKUP($D186,tblPriorPrice,6)</f>
        <v>1</v>
      </c>
      <c r="AH186" s="190" t="n">
        <f aca="false">AI186-AG186</f>
        <v>0</v>
      </c>
      <c r="AI186" s="191" t="n">
        <f aca="true">AI174+OFFSET($CG$96,$B186,$C186)</f>
        <v>1</v>
      </c>
      <c r="AJ186" s="96" t="n">
        <f aca="true">AI186+OFFSET($CU$96,$B186,$C186)</f>
        <v>1</v>
      </c>
      <c r="AK186" s="97" t="n">
        <f aca="true">AI186+OFFSET($DI$96,$B186,$C186)</f>
        <v>1</v>
      </c>
      <c r="AL186" s="178" t="n">
        <v>52</v>
      </c>
      <c r="AM186" s="165" t="n">
        <v>0.4</v>
      </c>
      <c r="AN186" s="167" t="n">
        <f aca="false">'[3]Pricing Summary'!$AM164</f>
        <v>0.17</v>
      </c>
      <c r="AO186" s="167" t="n">
        <f aca="false">0.9*AN186</f>
        <v>0.153</v>
      </c>
      <c r="AP186" s="166" t="n">
        <f aca="false">1.5*AN186</f>
        <v>0.255</v>
      </c>
      <c r="AQ186" s="167" t="n">
        <f aca="false">AN186</f>
        <v>0.17</v>
      </c>
      <c r="AR186" s="166" t="n">
        <f aca="false">0.8*AQ186</f>
        <v>0.136</v>
      </c>
      <c r="AS186" s="166" t="n">
        <f aca="false">1.2*AQ186</f>
        <v>0.204</v>
      </c>
      <c r="AT186" s="169" t="n">
        <f aca="false">IF(G186&lt;110,17.94063*(LN(G186/100))+6.727568*(LN(G186/100)^2)+15.06494,(-4.1*G186+2135)/100)*0.5</f>
        <v>1.93894082389981</v>
      </c>
      <c r="AU186" s="169" t="n">
        <f aca="false">(0.75*AT186-AT186)</f>
        <v>-0.484735205974953</v>
      </c>
      <c r="AV186" s="166" t="n">
        <f aca="false">AT186/0.5*1.25-AT186</f>
        <v>2.90841123584972</v>
      </c>
      <c r="AW186" s="168" t="n">
        <f aca="false">IF(L186&lt;15,(15*L186+375)/100,(-4.71*L186+670.65)/100)*0.5</f>
        <v>2.4819</v>
      </c>
      <c r="AX186" s="166" t="n">
        <f aca="false">0.75*AW186-AW186</f>
        <v>-0.620475</v>
      </c>
      <c r="AY186" s="166" t="n">
        <f aca="false">AW186/0.5*1.25-AW186</f>
        <v>3.72285</v>
      </c>
      <c r="AZ186" s="167" t="n">
        <v>0.5</v>
      </c>
      <c r="BA186" s="74"/>
      <c r="BQ186" s="108" t="n">
        <v>36907.7428240741</v>
      </c>
      <c r="BR186" s="109" t="n">
        <v>36907.743287037</v>
      </c>
      <c r="BS186" s="110" t="n">
        <v>41487</v>
      </c>
      <c r="BT186" s="111" t="n">
        <v>87653.9375</v>
      </c>
      <c r="BU186" s="112" t="n">
        <v>61756.1796875</v>
      </c>
      <c r="BV186" s="112" t="n">
        <v>19921.349609375</v>
      </c>
      <c r="BW186" s="112" t="n">
        <v>15937.0791015625</v>
      </c>
      <c r="BX186" s="113" t="n">
        <v>0</v>
      </c>
      <c r="BZ186" s="110" t="n">
        <v>41548</v>
      </c>
      <c r="CA186" s="185" t="n">
        <v>37</v>
      </c>
      <c r="CB186" s="116" t="n">
        <v>37</v>
      </c>
      <c r="CC186" s="181" t="n">
        <v>37</v>
      </c>
      <c r="CD186" s="181" t="n">
        <v>37</v>
      </c>
      <c r="CE186" s="117" t="n">
        <v>1</v>
      </c>
    </row>
    <row r="187" customFormat="false" ht="12.75" hidden="false" customHeight="false" outlineLevel="0" collapsed="false">
      <c r="A187" s="0" t="n">
        <f aca="true">IF(ISERROR(MATCH(D187,iRefDt,0)),"",MATCH(D187,iRefDt,0))</f>
        <v>187</v>
      </c>
      <c r="B187" s="92" t="n">
        <f aca="false">MATCH(YEAR(D187),iSpreads)</f>
        <v>13</v>
      </c>
      <c r="C187" s="0" t="n">
        <f aca="false">MONTH(D187)</f>
        <v>11</v>
      </c>
      <c r="D187" s="93" t="n">
        <f aca="false">DATE(YEAR(D186),MONTH(D186)+1,1)</f>
        <v>41579</v>
      </c>
      <c r="E187" s="94" t="n">
        <f aca="false">VLOOKUP($D187,tblPriorPrice,2)</f>
        <v>31</v>
      </c>
      <c r="F187" s="190" t="n">
        <f aca="false">G187-E187</f>
        <v>0</v>
      </c>
      <c r="G187" s="190" t="n">
        <f aca="true">G175+OFFSET($CG$4,$B187,$C187)</f>
        <v>31</v>
      </c>
      <c r="H187" s="96" t="n">
        <f aca="true">G187+OFFSET($CU$4,$B187,$C187)</f>
        <v>26</v>
      </c>
      <c r="I187" s="96" t="n">
        <f aca="true">G187+OFFSET($DI$4,$B187,$C187)</f>
        <v>58</v>
      </c>
      <c r="J187" s="94" t="n">
        <f aca="false">VLOOKUP($D187,tblPriorPrice,3)</f>
        <v>31</v>
      </c>
      <c r="K187" s="190" t="n">
        <f aca="false">L187-J187</f>
        <v>0</v>
      </c>
      <c r="L187" s="190" t="n">
        <f aca="true">L175+OFFSET($CG$27,$B187,$C187)</f>
        <v>31</v>
      </c>
      <c r="M187" s="96" t="n">
        <f aca="true">$L187+OFFSET($CU$27,$B187,$C187)</f>
        <v>26</v>
      </c>
      <c r="N187" s="97" t="n">
        <f aca="true">$L187+OFFSET($DI$27,$B187,$C187)</f>
        <v>48</v>
      </c>
      <c r="O187" s="59" t="n">
        <f aca="true">IF($A187="",0,INDEX(tblPosn,$A187,2))</f>
        <v>78388.9609375</v>
      </c>
      <c r="P187" s="59" t="n">
        <f aca="true">IF($A187="",0,INDEX(tblPosn,$A187,3))</f>
        <v>58791.71875</v>
      </c>
      <c r="Q187" s="59" t="n">
        <f aca="true">IF($A187="",0,INDEX(tblPosn,$A187,4))</f>
        <v>19597.240234375</v>
      </c>
      <c r="R187" s="59" t="n">
        <f aca="true">IF($A187="",0,INDEX(tblPosn,$A187,5))</f>
        <v>19597.240234375</v>
      </c>
      <c r="S187" s="59" t="n">
        <f aca="true">IF($A187="",0,INDEX(tblPosn,$A187,6))</f>
        <v>0</v>
      </c>
      <c r="T187" s="98" t="n">
        <f aca="false">O187*F187+P187*K187+R187*AC187+S187*AH187/0.72+Q187*X187</f>
        <v>0</v>
      </c>
      <c r="V187" s="161" t="n">
        <f aca="false">D187</f>
        <v>41579</v>
      </c>
      <c r="W187" s="94" t="n">
        <f aca="false">VLOOKUP($D187,tblPriorPrice,4)</f>
        <v>31</v>
      </c>
      <c r="X187" s="95" t="n">
        <f aca="false">Y187-W187</f>
        <v>0</v>
      </c>
      <c r="Y187" s="191" t="n">
        <f aca="true">Y175+OFFSET($CG$50,$B187,$C187)</f>
        <v>31</v>
      </c>
      <c r="Z187" s="96" t="n">
        <f aca="true">Y187+OFFSET($CU$51,$B187,$C187)</f>
        <v>26</v>
      </c>
      <c r="AA187" s="177" t="n">
        <f aca="true">Y187+OFFSET($DI$51,$B187,$C187)</f>
        <v>59</v>
      </c>
      <c r="AB187" s="94" t="n">
        <f aca="false">VLOOKUP($D187,tblPriorPrice,5)</f>
        <v>31</v>
      </c>
      <c r="AC187" s="190" t="n">
        <f aca="false">AD187-AB187</f>
        <v>0</v>
      </c>
      <c r="AD187" s="191" t="n">
        <f aca="true">AD175+OFFSET($CG$73,$B187,$C187)</f>
        <v>31</v>
      </c>
      <c r="AE187" s="96" t="n">
        <f aca="true">AD187+OFFSET($CU$74,$B187,$C187)</f>
        <v>26</v>
      </c>
      <c r="AF187" s="177" t="n">
        <f aca="true">AD187+OFFSET($DI$74,$B187,$C187)</f>
        <v>59</v>
      </c>
      <c r="AG187" s="94" t="n">
        <f aca="false">VLOOKUP($D187,tblPriorPrice,6)</f>
        <v>1</v>
      </c>
      <c r="AH187" s="190" t="n">
        <f aca="false">AI187-AG187</f>
        <v>0</v>
      </c>
      <c r="AI187" s="191" t="n">
        <f aca="true">AI175+OFFSET($CG$96,$B187,$C187)</f>
        <v>1</v>
      </c>
      <c r="AJ187" s="96" t="n">
        <f aca="true">AI187+OFFSET($CU$96,$B187,$C187)</f>
        <v>1</v>
      </c>
      <c r="AK187" s="97" t="n">
        <f aca="true">AI187+OFFSET($DI$96,$B187,$C187)</f>
        <v>1</v>
      </c>
      <c r="AL187" s="178" t="n">
        <v>52</v>
      </c>
      <c r="AM187" s="165" t="n">
        <v>0.4</v>
      </c>
      <c r="AN187" s="167" t="n">
        <f aca="false">'[3]Pricing Summary'!$AM165</f>
        <v>0.17</v>
      </c>
      <c r="AO187" s="167" t="n">
        <f aca="false">0.9*AN187</f>
        <v>0.153</v>
      </c>
      <c r="AP187" s="166" t="n">
        <f aca="false">1.5*AN187</f>
        <v>0.255</v>
      </c>
      <c r="AQ187" s="167" t="n">
        <f aca="false">AN187</f>
        <v>0.17</v>
      </c>
      <c r="AR187" s="166" t="n">
        <f aca="false">0.8*AQ187</f>
        <v>0.136</v>
      </c>
      <c r="AS187" s="166" t="n">
        <f aca="false">1.2*AQ187</f>
        <v>0.204</v>
      </c>
      <c r="AT187" s="169" t="n">
        <f aca="false">IF(G187&lt;110,17.94063*(LN(G187/100))+6.727568*(LN(G187/100)^2)+15.06494,(-4.1*G187+2135)/100)*0.5</f>
        <v>1.64058990686036</v>
      </c>
      <c r="AU187" s="169" t="n">
        <f aca="false">(0.75*AT187-AT187)</f>
        <v>-0.410147476715089</v>
      </c>
      <c r="AV187" s="166" t="n">
        <f aca="false">AT187/0.5*1.25-AT187</f>
        <v>2.46088486029054</v>
      </c>
      <c r="AW187" s="168" t="n">
        <f aca="false">IF(L187&lt;15,(15*L187+375)/100,(-4.71*L187+670.65)/100)*0.5</f>
        <v>2.6232</v>
      </c>
      <c r="AX187" s="166" t="n">
        <f aca="false">0.75*AW187-AW187</f>
        <v>-0.6558</v>
      </c>
      <c r="AY187" s="166" t="n">
        <f aca="false">AW187/0.5*1.25-AW187</f>
        <v>3.9348</v>
      </c>
      <c r="AZ187" s="167" t="n">
        <v>0.5</v>
      </c>
      <c r="BA187" s="74"/>
      <c r="BQ187" s="108" t="n">
        <v>36907.7428240741</v>
      </c>
      <c r="BR187" s="109" t="n">
        <v>36907.743287037</v>
      </c>
      <c r="BS187" s="110" t="n">
        <v>41518</v>
      </c>
      <c r="BT187" s="111" t="n">
        <v>79254.25</v>
      </c>
      <c r="BU187" s="112" t="n">
        <v>59440.6875</v>
      </c>
      <c r="BV187" s="112" t="n">
        <v>15850.8505859375</v>
      </c>
      <c r="BW187" s="112" t="n">
        <v>23776.275390625</v>
      </c>
      <c r="BX187" s="113" t="n">
        <v>0</v>
      </c>
      <c r="BZ187" s="110" t="n">
        <v>41579</v>
      </c>
      <c r="CA187" s="185" t="n">
        <v>31</v>
      </c>
      <c r="CB187" s="116" t="n">
        <v>31</v>
      </c>
      <c r="CC187" s="181" t="n">
        <v>31</v>
      </c>
      <c r="CD187" s="181" t="n">
        <v>31</v>
      </c>
      <c r="CE187" s="117" t="n">
        <v>1</v>
      </c>
    </row>
    <row r="188" customFormat="false" ht="12.75" hidden="false" customHeight="false" outlineLevel="0" collapsed="false">
      <c r="A188" s="0" t="n">
        <f aca="true">IF(ISERROR(MATCH(D188,iRefDt,0)),"",MATCH(D188,iRefDt,0))</f>
        <v>188</v>
      </c>
      <c r="B188" s="92" t="n">
        <f aca="false">MATCH(YEAR(D188),iSpreads)</f>
        <v>13</v>
      </c>
      <c r="C188" s="0" t="n">
        <f aca="false">MONTH(D188)</f>
        <v>12</v>
      </c>
      <c r="D188" s="93" t="n">
        <f aca="false">DATE(YEAR(D187),MONTH(D187)+1,1)</f>
        <v>41609</v>
      </c>
      <c r="E188" s="94" t="n">
        <f aca="false">VLOOKUP($D188,tblPriorPrice,2)</f>
        <v>32</v>
      </c>
      <c r="F188" s="190" t="n">
        <f aca="false">G188-E188</f>
        <v>0</v>
      </c>
      <c r="G188" s="190" t="n">
        <f aca="true">G176+OFFSET($CG$4,$B188,$C188)</f>
        <v>32</v>
      </c>
      <c r="H188" s="96" t="n">
        <f aca="true">G188+OFFSET($CU$4,$B188,$C188)</f>
        <v>27</v>
      </c>
      <c r="I188" s="96" t="n">
        <f aca="true">G188+OFFSET($DI$4,$B188,$C188)</f>
        <v>59</v>
      </c>
      <c r="J188" s="94" t="n">
        <f aca="false">VLOOKUP($D188,tblPriorPrice,3)</f>
        <v>29</v>
      </c>
      <c r="K188" s="190" t="n">
        <f aca="false">L188-J188</f>
        <v>0</v>
      </c>
      <c r="L188" s="190" t="n">
        <f aca="true">L176+OFFSET($CG$27,$B188,$C188)</f>
        <v>29</v>
      </c>
      <c r="M188" s="96" t="n">
        <f aca="true">$L188+OFFSET($CU$27,$B188,$C188)</f>
        <v>24</v>
      </c>
      <c r="N188" s="97" t="n">
        <f aca="true">$L188+OFFSET($DI$27,$B188,$C188)</f>
        <v>46</v>
      </c>
      <c r="O188" s="59" t="n">
        <f aca="true">IF($A188="",0,INDEX(tblPosn,$A188,2))</f>
        <v>81854.4921875</v>
      </c>
      <c r="P188" s="59" t="n">
        <f aca="true">IF($A188="",0,INDEX(tblPosn,$A188,3))</f>
        <v>60416.41015625</v>
      </c>
      <c r="Q188" s="59" t="n">
        <f aca="true">IF($A188="",0,INDEX(tblPosn,$A188,4))</f>
        <v>15591.33203125</v>
      </c>
      <c r="R188" s="59" t="n">
        <f aca="true">IF($A188="",0,INDEX(tblPosn,$A188,5))</f>
        <v>23386.998046875</v>
      </c>
      <c r="S188" s="59" t="n">
        <f aca="true">IF($A188="",0,INDEX(tblPosn,$A188,6))</f>
        <v>0</v>
      </c>
      <c r="T188" s="98" t="n">
        <f aca="false">O188*F188+P188*K188+R188*AC188+S188*AH188/0.72+Q188*X188</f>
        <v>0</v>
      </c>
      <c r="V188" s="161" t="n">
        <f aca="false">D188</f>
        <v>41609</v>
      </c>
      <c r="W188" s="94" t="n">
        <f aca="false">VLOOKUP($D188,tblPriorPrice,4)</f>
        <v>29</v>
      </c>
      <c r="X188" s="95" t="n">
        <f aca="false">Y188-W188</f>
        <v>0</v>
      </c>
      <c r="Y188" s="191" t="n">
        <f aca="true">Y176+OFFSET($CG$50,$B188,$C188)</f>
        <v>29</v>
      </c>
      <c r="Z188" s="96" t="n">
        <f aca="true">Y188+OFFSET($CU$51,$B188,$C188)</f>
        <v>24</v>
      </c>
      <c r="AA188" s="177" t="n">
        <f aca="true">Y188+OFFSET($DI$51,$B188,$C188)</f>
        <v>57</v>
      </c>
      <c r="AB188" s="94" t="n">
        <f aca="false">VLOOKUP($D188,tblPriorPrice,5)</f>
        <v>29</v>
      </c>
      <c r="AC188" s="190" t="n">
        <f aca="false">AD188-AB188</f>
        <v>0</v>
      </c>
      <c r="AD188" s="191" t="n">
        <f aca="true">AD176+OFFSET($CG$73,$B188,$C188)</f>
        <v>29</v>
      </c>
      <c r="AE188" s="96" t="n">
        <f aca="true">AD188+OFFSET($CU$74,$B188,$C188)</f>
        <v>24</v>
      </c>
      <c r="AF188" s="177" t="n">
        <f aca="true">AD188+OFFSET($DI$74,$B188,$C188)</f>
        <v>57</v>
      </c>
      <c r="AG188" s="94" t="n">
        <f aca="false">VLOOKUP($D188,tblPriorPrice,6)</f>
        <v>1</v>
      </c>
      <c r="AH188" s="190" t="n">
        <f aca="false">AI188-AG188</f>
        <v>0</v>
      </c>
      <c r="AI188" s="191" t="n">
        <f aca="true">AI176+OFFSET($CG$96,$B188,$C188)</f>
        <v>1</v>
      </c>
      <c r="AJ188" s="96" t="n">
        <f aca="true">AI188+OFFSET($CU$96,$B188,$C188)</f>
        <v>1</v>
      </c>
      <c r="AK188" s="97" t="n">
        <f aca="true">AI188+OFFSET($DI$96,$B188,$C188)</f>
        <v>1</v>
      </c>
      <c r="AL188" s="178" t="n">
        <v>53</v>
      </c>
      <c r="AM188" s="165" t="n">
        <v>0.4</v>
      </c>
      <c r="AN188" s="167" t="n">
        <f aca="false">'[3]Pricing Summary'!$AM166</f>
        <v>0.17</v>
      </c>
      <c r="AO188" s="167" t="n">
        <f aca="false">0.9*AN188</f>
        <v>0.153</v>
      </c>
      <c r="AP188" s="166" t="n">
        <f aca="false">1.5*AN188</f>
        <v>0.255</v>
      </c>
      <c r="AQ188" s="167" t="n">
        <f aca="false">AN188</f>
        <v>0.17</v>
      </c>
      <c r="AR188" s="166" t="n">
        <f aca="false">0.8*AQ188</f>
        <v>0.136</v>
      </c>
      <c r="AS188" s="166" t="n">
        <f aca="false">1.2*AQ188</f>
        <v>0.204</v>
      </c>
      <c r="AT188" s="169" t="n">
        <f aca="false">IF(G188&lt;110,17.94063*(LN(G188/100))+6.727568*(LN(G188/100)^2)+15.06494,(-4.1*G188+2135)/100)*0.5</f>
        <v>1.67862159684781</v>
      </c>
      <c r="AU188" s="169" t="n">
        <f aca="false">(0.75*AT188-AT188)</f>
        <v>-0.419655399211954</v>
      </c>
      <c r="AV188" s="166" t="n">
        <f aca="false">AT188/0.5*1.25-AT188</f>
        <v>2.51793239527172</v>
      </c>
      <c r="AW188" s="168" t="n">
        <f aca="false">IF(L188&lt;15,(15*L188+375)/100,(-4.71*L188+670.65)/100)*0.5</f>
        <v>2.6703</v>
      </c>
      <c r="AX188" s="166" t="n">
        <f aca="false">0.75*AW188-AW188</f>
        <v>-0.667575</v>
      </c>
      <c r="AY188" s="166" t="n">
        <f aca="false">AW188/0.5*1.25-AW188</f>
        <v>4.00545</v>
      </c>
      <c r="AZ188" s="167" t="n">
        <v>0.5</v>
      </c>
      <c r="BA188" s="74"/>
      <c r="BQ188" s="108" t="n">
        <v>36907.7428240741</v>
      </c>
      <c r="BR188" s="109" t="n">
        <v>36907.743287037</v>
      </c>
      <c r="BS188" s="110" t="n">
        <v>41548</v>
      </c>
      <c r="BT188" s="111" t="n">
        <v>90636.625</v>
      </c>
      <c r="BU188" s="112" t="n">
        <v>61327.5</v>
      </c>
      <c r="BV188" s="112" t="n">
        <v>15762.8916015625</v>
      </c>
      <c r="BW188" s="112" t="n">
        <v>15762.8916015625</v>
      </c>
      <c r="BX188" s="113" t="n">
        <v>0</v>
      </c>
      <c r="BZ188" s="110" t="n">
        <v>41609</v>
      </c>
      <c r="CA188" s="185" t="n">
        <v>32</v>
      </c>
      <c r="CB188" s="116" t="n">
        <v>29</v>
      </c>
      <c r="CC188" s="181" t="n">
        <v>29</v>
      </c>
      <c r="CD188" s="181" t="n">
        <v>29</v>
      </c>
      <c r="CE188" s="117" t="n">
        <v>1</v>
      </c>
    </row>
    <row r="189" customFormat="false" ht="12.75" hidden="false" customHeight="false" outlineLevel="0" collapsed="false">
      <c r="A189" s="0" t="n">
        <f aca="true">IF(ISERROR(MATCH(D189,iRefDt,0)),"",MATCH(D189,iRefDt,0))</f>
        <v>189</v>
      </c>
      <c r="B189" s="92" t="n">
        <f aca="false">MATCH(YEAR(D189),iSpreads)</f>
        <v>14</v>
      </c>
      <c r="C189" s="0" t="n">
        <f aca="false">MONTH(D189)</f>
        <v>1</v>
      </c>
      <c r="D189" s="93" t="n">
        <f aca="false">DATE(YEAR(D188),MONTH(D188)+1,1)</f>
        <v>41640</v>
      </c>
      <c r="E189" s="94" t="n">
        <f aca="false">VLOOKUP($D189,tblPriorPrice,2)</f>
        <v>33</v>
      </c>
      <c r="F189" s="190" t="n">
        <f aca="false">G189-E189</f>
        <v>0</v>
      </c>
      <c r="G189" s="190" t="n">
        <f aca="true">G177+OFFSET($CG$4,$B189,$C189)</f>
        <v>33</v>
      </c>
      <c r="H189" s="96" t="n">
        <f aca="true">G189+OFFSET($CU$4,$B189,$C189)</f>
        <v>28</v>
      </c>
      <c r="I189" s="96" t="n">
        <f aca="true">G189+OFFSET($DI$4,$B189,$C189)</f>
        <v>61</v>
      </c>
      <c r="J189" s="94" t="n">
        <f aca="false">VLOOKUP($D189,tblPriorPrice,3)</f>
        <v>31</v>
      </c>
      <c r="K189" s="190" t="n">
        <f aca="false">L189-J189</f>
        <v>0</v>
      </c>
      <c r="L189" s="190" t="n">
        <f aca="true">L177+OFFSET($CG$27,$B189,$C189)</f>
        <v>31</v>
      </c>
      <c r="M189" s="96" t="n">
        <f aca="true">$L189+OFFSET($CU$27,$B189,$C189)</f>
        <v>26</v>
      </c>
      <c r="N189" s="97" t="n">
        <f aca="true">$L189+OFFSET($DI$27,$B189,$C189)</f>
        <v>49</v>
      </c>
      <c r="O189" s="59" t="n">
        <f aca="true">IF($A189="",0,INDEX(tblPosn,$A189,2))</f>
        <v>85273.0859375</v>
      </c>
      <c r="P189" s="59" t="n">
        <f aca="true">IF($A189="",0,INDEX(tblPosn,$A189,3))</f>
        <v>60078.765625</v>
      </c>
      <c r="Q189" s="59" t="n">
        <f aca="true">IF($A189="",0,INDEX(tblPosn,$A189,4))</f>
        <v>15504.197265625</v>
      </c>
      <c r="R189" s="59" t="n">
        <f aca="true">IF($A189="",0,INDEX(tblPosn,$A189,5))</f>
        <v>19380.24609375</v>
      </c>
      <c r="S189" s="59" t="n">
        <f aca="true">IF($A189="",0,INDEX(tblPosn,$A189,6))</f>
        <v>0</v>
      </c>
      <c r="T189" s="98" t="n">
        <f aca="false">O189*F189+P189*K189+R189*AC189+S189*AH189/0.72+Q189*X189</f>
        <v>0</v>
      </c>
      <c r="V189" s="161" t="n">
        <f aca="false">D189</f>
        <v>41640</v>
      </c>
      <c r="W189" s="94" t="n">
        <f aca="false">VLOOKUP($D189,tblPriorPrice,4)</f>
        <v>31</v>
      </c>
      <c r="X189" s="95" t="n">
        <f aca="false">Y189-W189</f>
        <v>0</v>
      </c>
      <c r="Y189" s="191" t="n">
        <f aca="true">Y177+OFFSET($CG$50,$B189,$C189)</f>
        <v>31</v>
      </c>
      <c r="Z189" s="96" t="n">
        <f aca="true">Y189+OFFSET($CU$51,$B189,$C189)</f>
        <v>26</v>
      </c>
      <c r="AA189" s="177" t="n">
        <f aca="true">Y189+OFFSET($DI$51,$B189,$C189)</f>
        <v>60</v>
      </c>
      <c r="AB189" s="94" t="n">
        <f aca="false">VLOOKUP($D189,tblPriorPrice,5)</f>
        <v>31</v>
      </c>
      <c r="AC189" s="190" t="n">
        <f aca="false">AD189-AB189</f>
        <v>0</v>
      </c>
      <c r="AD189" s="191" t="n">
        <f aca="true">AD177+OFFSET($CG$73,$B189,$C189)</f>
        <v>31</v>
      </c>
      <c r="AE189" s="96" t="n">
        <f aca="true">AD189+OFFSET($CU$74,$B189,$C189)</f>
        <v>26</v>
      </c>
      <c r="AF189" s="177" t="n">
        <f aca="true">AD189+OFFSET($DI$74,$B189,$C189)</f>
        <v>60</v>
      </c>
      <c r="AG189" s="94" t="n">
        <f aca="false">VLOOKUP($D189,tblPriorPrice,6)</f>
        <v>1</v>
      </c>
      <c r="AH189" s="190" t="n">
        <f aca="false">AI189-AG189</f>
        <v>0</v>
      </c>
      <c r="AI189" s="191" t="n">
        <f aca="true">AI177+OFFSET($CG$96,$B189,$C189)</f>
        <v>1</v>
      </c>
      <c r="AJ189" s="96" t="n">
        <f aca="true">AI189+OFFSET($CU$96,$B189,$C189)</f>
        <v>1</v>
      </c>
      <c r="AK189" s="97" t="n">
        <f aca="true">AI189+OFFSET($DI$96,$B189,$C189)</f>
        <v>1</v>
      </c>
      <c r="AL189" s="178" t="n">
        <v>53</v>
      </c>
      <c r="AM189" s="165" t="n">
        <v>0.4</v>
      </c>
      <c r="AN189" s="167" t="n">
        <f aca="false">'[3]Pricing Summary'!$AM167</f>
        <v>0.17</v>
      </c>
      <c r="AO189" s="167" t="n">
        <f aca="false">0.9*AN189</f>
        <v>0.153</v>
      </c>
      <c r="AP189" s="166" t="n">
        <f aca="false">1.5*AN189</f>
        <v>0.255</v>
      </c>
      <c r="AQ189" s="167" t="n">
        <f aca="false">AN189</f>
        <v>0.17</v>
      </c>
      <c r="AR189" s="166" t="n">
        <f aca="false">0.8*AQ189</f>
        <v>0.136</v>
      </c>
      <c r="AS189" s="166" t="n">
        <f aca="false">1.2*AQ189</f>
        <v>0.204</v>
      </c>
      <c r="AT189" s="169" t="n">
        <f aca="false">IF(G189&lt;110,17.94063*(LN(G189/100))+6.727568*(LN(G189/100)^2)+15.06494,(-4.1*G189+2135)/100)*0.5</f>
        <v>1.72195432632388</v>
      </c>
      <c r="AU189" s="169" t="n">
        <f aca="false">(0.75*AT189-AT189)</f>
        <v>-0.43048858158097</v>
      </c>
      <c r="AV189" s="166" t="n">
        <f aca="false">AT189/0.5*1.25-AT189</f>
        <v>2.58293148948582</v>
      </c>
      <c r="AW189" s="168" t="n">
        <f aca="false">IF(L189&lt;15,(15*L189+375)/100,(-4.71*L189+670.65)/100)*0.5</f>
        <v>2.6232</v>
      </c>
      <c r="AX189" s="166" t="n">
        <f aca="false">0.75*AW189-AW189</f>
        <v>-0.6558</v>
      </c>
      <c r="AY189" s="166" t="n">
        <f aca="false">AW189/0.5*1.25-AW189</f>
        <v>3.9348</v>
      </c>
      <c r="AZ189" s="167" t="n">
        <v>0.5</v>
      </c>
      <c r="BA189" s="74"/>
      <c r="BQ189" s="108" t="n">
        <v>36907.7428240741</v>
      </c>
      <c r="BR189" s="109" t="n">
        <v>36907.743287037</v>
      </c>
      <c r="BS189" s="110" t="n">
        <v>41579</v>
      </c>
      <c r="BT189" s="111" t="n">
        <v>78388.9609375</v>
      </c>
      <c r="BU189" s="112" t="n">
        <v>58791.71875</v>
      </c>
      <c r="BV189" s="112" t="n">
        <v>19597.240234375</v>
      </c>
      <c r="BW189" s="112" t="n">
        <v>19597.240234375</v>
      </c>
      <c r="BX189" s="113" t="n">
        <v>0</v>
      </c>
      <c r="BZ189" s="110" t="n">
        <v>41640</v>
      </c>
      <c r="CA189" s="185" t="n">
        <v>33</v>
      </c>
      <c r="CB189" s="116" t="n">
        <v>31</v>
      </c>
      <c r="CC189" s="181" t="n">
        <v>31</v>
      </c>
      <c r="CD189" s="181" t="n">
        <v>31</v>
      </c>
      <c r="CE189" s="117" t="n">
        <v>1</v>
      </c>
    </row>
    <row r="190" customFormat="false" ht="12.75" hidden="false" customHeight="false" outlineLevel="0" collapsed="false">
      <c r="A190" s="0" t="n">
        <f aca="true">IF(ISERROR(MATCH(D190,iRefDt,0)),"",MATCH(D190,iRefDt,0))</f>
        <v>190</v>
      </c>
      <c r="B190" s="92" t="n">
        <f aca="false">MATCH(YEAR(D190),iSpreads)</f>
        <v>14</v>
      </c>
      <c r="C190" s="0" t="n">
        <f aca="false">MONTH(D190)</f>
        <v>2</v>
      </c>
      <c r="D190" s="93" t="n">
        <f aca="false">DATE(YEAR(D189),MONTH(D189)+1,1)</f>
        <v>41671</v>
      </c>
      <c r="E190" s="94" t="n">
        <f aca="false">VLOOKUP($D190,tblPriorPrice,2)</f>
        <v>30</v>
      </c>
      <c r="F190" s="190" t="n">
        <f aca="false">G190-E190</f>
        <v>0</v>
      </c>
      <c r="G190" s="190" t="n">
        <f aca="true">G178+OFFSET($CG$4,$B190,$C190)</f>
        <v>30</v>
      </c>
      <c r="H190" s="96" t="n">
        <f aca="true">G190+OFFSET($CU$4,$B190,$C190)</f>
        <v>25</v>
      </c>
      <c r="I190" s="96" t="n">
        <f aca="true">G190+OFFSET($DI$4,$B190,$C190)</f>
        <v>58</v>
      </c>
      <c r="J190" s="94" t="n">
        <f aca="false">VLOOKUP($D190,tblPriorPrice,3)</f>
        <v>30</v>
      </c>
      <c r="K190" s="190" t="n">
        <f aca="false">L190-J190</f>
        <v>0</v>
      </c>
      <c r="L190" s="190" t="n">
        <f aca="true">L178+OFFSET($CG$27,$B190,$C190)</f>
        <v>30</v>
      </c>
      <c r="M190" s="96" t="n">
        <f aca="true">$L190+OFFSET($CU$27,$B190,$C190)</f>
        <v>25</v>
      </c>
      <c r="N190" s="97" t="n">
        <f aca="true">$L190+OFFSET($DI$27,$B190,$C190)</f>
        <v>48</v>
      </c>
      <c r="O190" s="59" t="n">
        <f aca="true">IF($A190="",0,INDEX(tblPosn,$A190,2))</f>
        <v>77130.7890625</v>
      </c>
      <c r="P190" s="59" t="n">
        <f aca="true">IF($A190="",0,INDEX(tblPosn,$A190,3))</f>
        <v>53991.546875</v>
      </c>
      <c r="Q190" s="59" t="n">
        <f aca="true">IF($A190="",0,INDEX(tblPosn,$A190,4))</f>
        <v>15426.1572265625</v>
      </c>
      <c r="R190" s="59" t="n">
        <f aca="true">IF($A190="",0,INDEX(tblPosn,$A190,5))</f>
        <v>15426.1572265625</v>
      </c>
      <c r="S190" s="59" t="n">
        <f aca="true">IF($A190="",0,INDEX(tblPosn,$A190,6))</f>
        <v>0</v>
      </c>
      <c r="T190" s="98" t="n">
        <f aca="false">O190*F190+P190*K190+R190*AC190+S190*AH190/0.72+Q190*X190</f>
        <v>0</v>
      </c>
      <c r="V190" s="161" t="n">
        <f aca="false">D190</f>
        <v>41671</v>
      </c>
      <c r="W190" s="94" t="n">
        <f aca="false">VLOOKUP($D190,tblPriorPrice,4)</f>
        <v>30</v>
      </c>
      <c r="X190" s="95" t="n">
        <f aca="false">Y190-W190</f>
        <v>0</v>
      </c>
      <c r="Y190" s="191" t="n">
        <f aca="true">Y178+OFFSET($CG$50,$B190,$C190)</f>
        <v>30</v>
      </c>
      <c r="Z190" s="96" t="n">
        <f aca="true">Y190+OFFSET($CU$51,$B190,$C190)</f>
        <v>25</v>
      </c>
      <c r="AA190" s="177" t="n">
        <f aca="true">Y190+OFFSET($DI$51,$B190,$C190)</f>
        <v>59</v>
      </c>
      <c r="AB190" s="94" t="n">
        <f aca="false">VLOOKUP($D190,tblPriorPrice,5)</f>
        <v>30</v>
      </c>
      <c r="AC190" s="190" t="n">
        <f aca="false">AD190-AB190</f>
        <v>0</v>
      </c>
      <c r="AD190" s="191" t="n">
        <f aca="true">AD178+OFFSET($CG$73,$B190,$C190)</f>
        <v>30</v>
      </c>
      <c r="AE190" s="96" t="n">
        <f aca="true">AD190+OFFSET($CU$74,$B190,$C190)</f>
        <v>25</v>
      </c>
      <c r="AF190" s="177" t="n">
        <f aca="true">AD190+OFFSET($DI$74,$B190,$C190)</f>
        <v>59</v>
      </c>
      <c r="AG190" s="94" t="n">
        <f aca="false">VLOOKUP($D190,tblPriorPrice,6)</f>
        <v>1</v>
      </c>
      <c r="AH190" s="190" t="n">
        <f aca="false">AI190-AG190</f>
        <v>0</v>
      </c>
      <c r="AI190" s="191" t="n">
        <f aca="true">AI178+OFFSET($CG$96,$B190,$C190)</f>
        <v>1</v>
      </c>
      <c r="AJ190" s="96" t="n">
        <f aca="true">AI190+OFFSET($CU$96,$B190,$C190)</f>
        <v>1</v>
      </c>
      <c r="AK190" s="97" t="n">
        <f aca="true">AI190+OFFSET($DI$96,$B190,$C190)</f>
        <v>1</v>
      </c>
      <c r="AL190" s="178" t="n">
        <v>53</v>
      </c>
      <c r="AM190" s="165" t="n">
        <v>0.4</v>
      </c>
      <c r="AN190" s="167" t="n">
        <f aca="false">'[3]Pricing Summary'!$AM168</f>
        <v>0.17</v>
      </c>
      <c r="AO190" s="167" t="n">
        <f aca="false">0.9*AN190</f>
        <v>0.153</v>
      </c>
      <c r="AP190" s="166" t="n">
        <f aca="false">1.5*AN190</f>
        <v>0.255</v>
      </c>
      <c r="AQ190" s="167" t="n">
        <f aca="false">AN190</f>
        <v>0.17</v>
      </c>
      <c r="AR190" s="166" t="n">
        <f aca="false">0.8*AQ190</f>
        <v>0.136</v>
      </c>
      <c r="AS190" s="166" t="n">
        <f aca="false">1.2*AQ190</f>
        <v>0.204</v>
      </c>
      <c r="AT190" s="169" t="n">
        <f aca="false">IF(G190&lt;110,17.94063*(LN(G190/100))+6.727568*(LN(G190/100)^2)+15.06494,(-4.1*G190+2135)/100)*0.5</f>
        <v>1.60842951845599</v>
      </c>
      <c r="AU190" s="169" t="n">
        <f aca="false">(0.75*AT190-AT190)</f>
        <v>-0.402107379613998</v>
      </c>
      <c r="AV190" s="166" t="n">
        <f aca="false">AT190/0.5*1.25-AT190</f>
        <v>2.41264427768399</v>
      </c>
      <c r="AW190" s="168" t="n">
        <f aca="false">IF(L190&lt;15,(15*L190+375)/100,(-4.71*L190+670.65)/100)*0.5</f>
        <v>2.64675</v>
      </c>
      <c r="AX190" s="166" t="n">
        <f aca="false">0.75*AW190-AW190</f>
        <v>-0.6616875</v>
      </c>
      <c r="AY190" s="166" t="n">
        <f aca="false">AW190/0.5*1.25-AW190</f>
        <v>3.970125</v>
      </c>
      <c r="AZ190" s="167" t="n">
        <v>0.5</v>
      </c>
      <c r="BA190" s="74"/>
      <c r="BQ190" s="108" t="n">
        <v>36907.7428240741</v>
      </c>
      <c r="BR190" s="109" t="n">
        <v>36907.743287037</v>
      </c>
      <c r="BS190" s="110" t="n">
        <v>41609</v>
      </c>
      <c r="BT190" s="111" t="n">
        <v>81854.4921875</v>
      </c>
      <c r="BU190" s="112" t="n">
        <v>60416.41015625</v>
      </c>
      <c r="BV190" s="112" t="n">
        <v>15591.33203125</v>
      </c>
      <c r="BW190" s="112" t="n">
        <v>23386.998046875</v>
      </c>
      <c r="BX190" s="113" t="n">
        <v>0</v>
      </c>
      <c r="BZ190" s="110" t="n">
        <v>41671</v>
      </c>
      <c r="CA190" s="185" t="n">
        <v>30</v>
      </c>
      <c r="CB190" s="116" t="n">
        <v>30</v>
      </c>
      <c r="CC190" s="181" t="n">
        <v>30</v>
      </c>
      <c r="CD190" s="181" t="n">
        <v>30</v>
      </c>
      <c r="CE190" s="117" t="n">
        <v>1</v>
      </c>
    </row>
    <row r="191" customFormat="false" ht="12.75" hidden="false" customHeight="false" outlineLevel="0" collapsed="false">
      <c r="A191" s="0" t="n">
        <f aca="true">IF(ISERROR(MATCH(D191,iRefDt,0)),"",MATCH(D191,iRefDt,0))</f>
        <v>191</v>
      </c>
      <c r="B191" s="92" t="n">
        <f aca="false">MATCH(YEAR(D191),iSpreads)</f>
        <v>14</v>
      </c>
      <c r="C191" s="0" t="n">
        <f aca="false">MONTH(D191)</f>
        <v>3</v>
      </c>
      <c r="D191" s="93" t="n">
        <f aca="false">DATE(YEAR(D190),MONTH(D190)+1,1)</f>
        <v>41699</v>
      </c>
      <c r="E191" s="94" t="n">
        <f aca="false">VLOOKUP($D191,tblPriorPrice,2)</f>
        <v>29</v>
      </c>
      <c r="F191" s="190" t="n">
        <f aca="false">G191-E191</f>
        <v>0</v>
      </c>
      <c r="G191" s="190" t="n">
        <f aca="true">G179+OFFSET($CG$4,$B191,$C191)</f>
        <v>29</v>
      </c>
      <c r="H191" s="96" t="n">
        <f aca="true">G191+OFFSET($CU$4,$B191,$C191)</f>
        <v>24</v>
      </c>
      <c r="I191" s="96" t="n">
        <f aca="true">G191+OFFSET($DI$4,$B191,$C191)</f>
        <v>57</v>
      </c>
      <c r="J191" s="94" t="n">
        <f aca="false">VLOOKUP($D191,tblPriorPrice,3)</f>
        <v>29</v>
      </c>
      <c r="K191" s="190" t="n">
        <f aca="false">L191-J191</f>
        <v>0</v>
      </c>
      <c r="L191" s="190" t="n">
        <f aca="true">L179+OFFSET($CG$27,$B191,$C191)</f>
        <v>29</v>
      </c>
      <c r="M191" s="96" t="n">
        <f aca="true">$L191+OFFSET($CU$27,$B191,$C191)</f>
        <v>24</v>
      </c>
      <c r="N191" s="97" t="n">
        <f aca="true">$L191+OFFSET($DI$27,$B191,$C191)</f>
        <v>47</v>
      </c>
      <c r="O191" s="59" t="n">
        <f aca="true">IF($A191="",0,INDEX(tblPosn,$A191,2))</f>
        <v>80535.6875</v>
      </c>
      <c r="P191" s="59" t="n">
        <f aca="true">IF($A191="",0,INDEX(tblPosn,$A191,3))</f>
        <v>59443.0078125</v>
      </c>
      <c r="Q191" s="59" t="n">
        <f aca="true">IF($A191="",0,INDEX(tblPosn,$A191,4))</f>
        <v>19175.162109375</v>
      </c>
      <c r="R191" s="59" t="n">
        <f aca="true">IF($A191="",0,INDEX(tblPosn,$A191,5))</f>
        <v>19175.162109375</v>
      </c>
      <c r="S191" s="59" t="n">
        <f aca="true">IF($A191="",0,INDEX(tblPosn,$A191,6))</f>
        <v>0</v>
      </c>
      <c r="T191" s="98" t="n">
        <f aca="false">O191*F191+P191*K191+R191*AC191+S191*AH191/0.72+Q191*X191</f>
        <v>0</v>
      </c>
      <c r="V191" s="161" t="n">
        <f aca="false">D191</f>
        <v>41699</v>
      </c>
      <c r="W191" s="94" t="n">
        <f aca="false">VLOOKUP($D191,tblPriorPrice,4)</f>
        <v>29</v>
      </c>
      <c r="X191" s="95" t="n">
        <f aca="false">Y191-W191</f>
        <v>0</v>
      </c>
      <c r="Y191" s="191" t="n">
        <f aca="true">Y179+OFFSET($CG$50,$B191,$C191)</f>
        <v>29</v>
      </c>
      <c r="Z191" s="96" t="n">
        <f aca="true">Y191+OFFSET($CU$51,$B191,$C191)</f>
        <v>24</v>
      </c>
      <c r="AA191" s="177" t="n">
        <f aca="true">Y191+OFFSET($DI$51,$B191,$C191)</f>
        <v>58</v>
      </c>
      <c r="AB191" s="94" t="n">
        <f aca="false">VLOOKUP($D191,tblPriorPrice,5)</f>
        <v>29</v>
      </c>
      <c r="AC191" s="190" t="n">
        <f aca="false">AD191-AB191</f>
        <v>0</v>
      </c>
      <c r="AD191" s="191" t="n">
        <f aca="true">AD179+OFFSET($CG$73,$B191,$C191)</f>
        <v>29</v>
      </c>
      <c r="AE191" s="96" t="n">
        <f aca="true">AD191+OFFSET($CU$74,$B191,$C191)</f>
        <v>24</v>
      </c>
      <c r="AF191" s="177" t="n">
        <f aca="true">AD191+OFFSET($DI$74,$B191,$C191)</f>
        <v>58</v>
      </c>
      <c r="AG191" s="94" t="n">
        <f aca="false">VLOOKUP($D191,tblPriorPrice,6)</f>
        <v>1</v>
      </c>
      <c r="AH191" s="190" t="n">
        <f aca="false">AI191-AG191</f>
        <v>0</v>
      </c>
      <c r="AI191" s="191" t="n">
        <f aca="true">AI179+OFFSET($CG$96,$B191,$C191)</f>
        <v>1</v>
      </c>
      <c r="AJ191" s="96" t="n">
        <f aca="true">AI191+OFFSET($CU$96,$B191,$C191)</f>
        <v>1</v>
      </c>
      <c r="AK191" s="97" t="n">
        <f aca="true">AI191+OFFSET($DI$96,$B191,$C191)</f>
        <v>1</v>
      </c>
      <c r="AL191" s="178" t="n">
        <v>54</v>
      </c>
      <c r="AM191" s="165" t="n">
        <v>0.4</v>
      </c>
      <c r="AN191" s="167" t="n">
        <f aca="false">'[3]Pricing Summary'!$AM169</f>
        <v>0.17</v>
      </c>
      <c r="AO191" s="167" t="n">
        <f aca="false">0.9*AN191</f>
        <v>0.153</v>
      </c>
      <c r="AP191" s="166" t="n">
        <f aca="false">1.5*AN191</f>
        <v>0.255</v>
      </c>
      <c r="AQ191" s="167" t="n">
        <f aca="false">AN191</f>
        <v>0.17</v>
      </c>
      <c r="AR191" s="166" t="n">
        <f aca="false">0.8*AQ191</f>
        <v>0.136</v>
      </c>
      <c r="AS191" s="166" t="n">
        <f aca="false">1.2*AQ191</f>
        <v>0.204</v>
      </c>
      <c r="AT191" s="169" t="n">
        <f aca="false">IF(G191&lt;110,17.94063*(LN(G191/100))+6.727568*(LN(G191/100)^2)+15.06494,(-4.1*G191+2135)/100)*0.5</f>
        <v>1.58278405940532</v>
      </c>
      <c r="AU191" s="169" t="n">
        <f aca="false">(0.75*AT191-AT191)</f>
        <v>-0.395696014851329</v>
      </c>
      <c r="AV191" s="166" t="n">
        <f aca="false">AT191/0.5*1.25-AT191</f>
        <v>2.37417608910797</v>
      </c>
      <c r="AW191" s="168" t="n">
        <f aca="false">IF(L191&lt;15,(15*L191+375)/100,(-4.71*L191+670.65)/100)*0.5</f>
        <v>2.6703</v>
      </c>
      <c r="AX191" s="166" t="n">
        <f aca="false">0.75*AW191-AW191</f>
        <v>-0.667575</v>
      </c>
      <c r="AY191" s="166" t="n">
        <f aca="false">AW191/0.5*1.25-AW191</f>
        <v>4.00545</v>
      </c>
      <c r="AZ191" s="167" t="n">
        <v>0.5</v>
      </c>
      <c r="BA191" s="74"/>
      <c r="BQ191" s="108" t="n">
        <v>36907.7428240741</v>
      </c>
      <c r="BR191" s="109" t="n">
        <v>36907.743287037</v>
      </c>
      <c r="BS191" s="110" t="n">
        <v>41640</v>
      </c>
      <c r="BT191" s="111" t="n">
        <v>85273.0859375</v>
      </c>
      <c r="BU191" s="112" t="n">
        <v>60078.765625</v>
      </c>
      <c r="BV191" s="112" t="n">
        <v>15504.197265625</v>
      </c>
      <c r="BW191" s="112" t="n">
        <v>19380.24609375</v>
      </c>
      <c r="BX191" s="113" t="n">
        <v>0</v>
      </c>
      <c r="BZ191" s="110" t="n">
        <v>41699</v>
      </c>
      <c r="CA191" s="185" t="n">
        <v>29</v>
      </c>
      <c r="CB191" s="116" t="n">
        <v>29</v>
      </c>
      <c r="CC191" s="181" t="n">
        <v>29</v>
      </c>
      <c r="CD191" s="181" t="n">
        <v>29</v>
      </c>
      <c r="CE191" s="117" t="n">
        <v>1</v>
      </c>
    </row>
    <row r="192" customFormat="false" ht="12.75" hidden="false" customHeight="false" outlineLevel="0" collapsed="false">
      <c r="A192" s="0" t="n">
        <f aca="true">IF(ISERROR(MATCH(D192,iRefDt,0)),"",MATCH(D192,iRefDt,0))</f>
        <v>192</v>
      </c>
      <c r="B192" s="92" t="n">
        <f aca="false">MATCH(YEAR(D192),iSpreads)</f>
        <v>14</v>
      </c>
      <c r="C192" s="0" t="n">
        <f aca="false">MONTH(D192)</f>
        <v>4</v>
      </c>
      <c r="D192" s="93" t="n">
        <f aca="false">DATE(YEAR(D191),MONTH(D191)+1,1)</f>
        <v>41730</v>
      </c>
      <c r="E192" s="94" t="n">
        <f aca="false">VLOOKUP($D192,tblPriorPrice,2)</f>
        <v>29</v>
      </c>
      <c r="F192" s="190" t="n">
        <f aca="false">G192-E192</f>
        <v>0</v>
      </c>
      <c r="G192" s="190" t="n">
        <f aca="true">G180+OFFSET($CG$4,$B192,$C192)</f>
        <v>29</v>
      </c>
      <c r="H192" s="96" t="n">
        <f aca="true">G192+OFFSET($CU$4,$B192,$C192)</f>
        <v>24</v>
      </c>
      <c r="I192" s="96" t="n">
        <f aca="true">G192+OFFSET($DI$4,$B192,$C192)</f>
        <v>57</v>
      </c>
      <c r="J192" s="94" t="n">
        <f aca="false">VLOOKUP($D192,tblPriorPrice,3)</f>
        <v>29</v>
      </c>
      <c r="K192" s="190" t="n">
        <f aca="false">L192-J192</f>
        <v>0</v>
      </c>
      <c r="L192" s="190" t="n">
        <f aca="true">L180+OFFSET($CG$27,$B192,$C192)</f>
        <v>29</v>
      </c>
      <c r="M192" s="96" t="n">
        <f aca="true">$L192+OFFSET($CU$27,$B192,$C192)</f>
        <v>24</v>
      </c>
      <c r="N192" s="97" t="n">
        <f aca="true">$L192+OFFSET($DI$27,$B192,$C192)</f>
        <v>47</v>
      </c>
      <c r="O192" s="59" t="n">
        <f aca="true">IF($A192="",0,INDEX(tblPosn,$A192,2))</f>
        <v>83914.890625</v>
      </c>
      <c r="P192" s="59" t="n">
        <f aca="true">IF($A192="",0,INDEX(tblPosn,$A192,3))</f>
        <v>56976.30078125</v>
      </c>
      <c r="Q192" s="59" t="n">
        <f aca="true">IF($A192="",0,INDEX(tblPosn,$A192,4))</f>
        <v>15257.2529296875</v>
      </c>
      <c r="R192" s="59" t="n">
        <f aca="true">IF($A192="",0,INDEX(tblPosn,$A192,5))</f>
        <v>15257.2529296875</v>
      </c>
      <c r="S192" s="59" t="n">
        <f aca="true">IF($A192="",0,INDEX(tblPosn,$A192,6))</f>
        <v>0</v>
      </c>
      <c r="T192" s="98" t="n">
        <f aca="false">O192*F192+P192*K192+R192*AC192+S192*AH192/0.72+Q192*X192</f>
        <v>0</v>
      </c>
      <c r="V192" s="161" t="n">
        <f aca="false">D192</f>
        <v>41730</v>
      </c>
      <c r="W192" s="94" t="n">
        <f aca="false">VLOOKUP($D192,tblPriorPrice,4)</f>
        <v>29</v>
      </c>
      <c r="X192" s="95" t="n">
        <f aca="false">Y192-W192</f>
        <v>0</v>
      </c>
      <c r="Y192" s="191" t="n">
        <f aca="true">Y180+OFFSET($CG$50,$B192,$C192)</f>
        <v>29</v>
      </c>
      <c r="Z192" s="96" t="n">
        <f aca="true">Y192+OFFSET($CU$51,$B192,$C192)</f>
        <v>24</v>
      </c>
      <c r="AA192" s="177" t="n">
        <f aca="true">Y192+OFFSET($DI$51,$B192,$C192)</f>
        <v>58</v>
      </c>
      <c r="AB192" s="94" t="n">
        <f aca="false">VLOOKUP($D192,tblPriorPrice,5)</f>
        <v>29</v>
      </c>
      <c r="AC192" s="190" t="n">
        <f aca="false">AD192-AB192</f>
        <v>0</v>
      </c>
      <c r="AD192" s="191" t="n">
        <f aca="true">AD180+OFFSET($CG$73,$B192,$C192)</f>
        <v>29</v>
      </c>
      <c r="AE192" s="96" t="n">
        <f aca="true">AD192+OFFSET($CU$74,$B192,$C192)</f>
        <v>24</v>
      </c>
      <c r="AF192" s="177" t="n">
        <f aca="true">AD192+OFFSET($DI$74,$B192,$C192)</f>
        <v>58</v>
      </c>
      <c r="AG192" s="94" t="n">
        <f aca="false">VLOOKUP($D192,tblPriorPrice,6)</f>
        <v>1</v>
      </c>
      <c r="AH192" s="190" t="n">
        <f aca="false">AI192-AG192</f>
        <v>0</v>
      </c>
      <c r="AI192" s="191" t="n">
        <f aca="true">AI180+OFFSET($CG$96,$B192,$C192)</f>
        <v>1</v>
      </c>
      <c r="AJ192" s="96" t="n">
        <f aca="true">AI192+OFFSET($CU$96,$B192,$C192)</f>
        <v>1</v>
      </c>
      <c r="AK192" s="97" t="n">
        <f aca="true">AI192+OFFSET($DI$96,$B192,$C192)</f>
        <v>1</v>
      </c>
      <c r="AL192" s="178" t="n">
        <v>54</v>
      </c>
      <c r="AM192" s="165" t="n">
        <v>0.4</v>
      </c>
      <c r="AN192" s="167" t="n">
        <f aca="false">'[3]Pricing Summary'!$AM170</f>
        <v>0.17</v>
      </c>
      <c r="AO192" s="167" t="n">
        <f aca="false">0.9*AN192</f>
        <v>0.153</v>
      </c>
      <c r="AP192" s="166" t="n">
        <f aca="false">1.5*AN192</f>
        <v>0.255</v>
      </c>
      <c r="AQ192" s="167" t="n">
        <f aca="false">AN192</f>
        <v>0.17</v>
      </c>
      <c r="AR192" s="166" t="n">
        <f aca="false">0.8*AQ192</f>
        <v>0.136</v>
      </c>
      <c r="AS192" s="166" t="n">
        <f aca="false">1.2*AQ192</f>
        <v>0.204</v>
      </c>
      <c r="AT192" s="169" t="n">
        <f aca="false">IF(G192&lt;110,17.94063*(LN(G192/100))+6.727568*(LN(G192/100)^2)+15.06494,(-4.1*G192+2135)/100)*0.5</f>
        <v>1.58278405940532</v>
      </c>
      <c r="AU192" s="169" t="n">
        <f aca="false">(0.75*AT192-AT192)</f>
        <v>-0.395696014851329</v>
      </c>
      <c r="AV192" s="166" t="n">
        <f aca="false">AT192/0.5*1.25-AT192</f>
        <v>2.37417608910797</v>
      </c>
      <c r="AW192" s="168" t="n">
        <f aca="false">IF(L192&lt;15,(15*L192+375)/100,(-4.71*L192+670.65)/100)*0.5</f>
        <v>2.6703</v>
      </c>
      <c r="AX192" s="166" t="n">
        <f aca="false">0.75*AW192-AW192</f>
        <v>-0.667575</v>
      </c>
      <c r="AY192" s="166" t="n">
        <f aca="false">AW192/0.5*1.25-AW192</f>
        <v>4.00545</v>
      </c>
      <c r="AZ192" s="167" t="n">
        <v>0.5</v>
      </c>
      <c r="BA192" s="74"/>
      <c r="BQ192" s="108" t="n">
        <v>36907.7428240741</v>
      </c>
      <c r="BR192" s="109" t="n">
        <v>36907.743287037</v>
      </c>
      <c r="BS192" s="110" t="n">
        <v>41671</v>
      </c>
      <c r="BT192" s="111" t="n">
        <v>77130.7890625</v>
      </c>
      <c r="BU192" s="112" t="n">
        <v>53991.546875</v>
      </c>
      <c r="BV192" s="112" t="n">
        <v>15426.1572265625</v>
      </c>
      <c r="BW192" s="112" t="n">
        <v>15426.1572265625</v>
      </c>
      <c r="BX192" s="113" t="n">
        <v>0</v>
      </c>
      <c r="BZ192" s="110" t="n">
        <v>41730</v>
      </c>
      <c r="CA192" s="185" t="n">
        <v>29</v>
      </c>
      <c r="CB192" s="116" t="n">
        <v>29</v>
      </c>
      <c r="CC192" s="181" t="n">
        <v>29</v>
      </c>
      <c r="CD192" s="181" t="n">
        <v>29</v>
      </c>
      <c r="CE192" s="117" t="n">
        <v>1</v>
      </c>
    </row>
    <row r="193" customFormat="false" ht="12.75" hidden="false" customHeight="false" outlineLevel="0" collapsed="false">
      <c r="A193" s="0" t="n">
        <f aca="true">IF(ISERROR(MATCH(D193,iRefDt,0)),"",MATCH(D193,iRefDt,0))</f>
        <v>193</v>
      </c>
      <c r="B193" s="92" t="n">
        <f aca="false">MATCH(YEAR(D193),iSpreads)</f>
        <v>14</v>
      </c>
      <c r="C193" s="0" t="n">
        <f aca="false">MONTH(D193)</f>
        <v>5</v>
      </c>
      <c r="D193" s="93" t="n">
        <f aca="false">DATE(YEAR(D192),MONTH(D192)+1,1)</f>
        <v>41760</v>
      </c>
      <c r="E193" s="94" t="n">
        <f aca="false">VLOOKUP($D193,tblPriorPrice,2)</f>
        <v>32</v>
      </c>
      <c r="F193" s="190" t="n">
        <f aca="false">G193-E193</f>
        <v>0</v>
      </c>
      <c r="G193" s="190" t="n">
        <f aca="true">G181+OFFSET($CG$4,$B193,$C193)</f>
        <v>32</v>
      </c>
      <c r="H193" s="96" t="n">
        <f aca="true">G193+OFFSET($CU$4,$B193,$C193)</f>
        <v>27</v>
      </c>
      <c r="I193" s="96" t="n">
        <f aca="true">G193+OFFSET($DI$4,$B193,$C193)</f>
        <v>60</v>
      </c>
      <c r="J193" s="94" t="n">
        <f aca="false">VLOOKUP($D193,tblPriorPrice,3)</f>
        <v>32</v>
      </c>
      <c r="K193" s="190" t="n">
        <f aca="false">L193-J193</f>
        <v>0</v>
      </c>
      <c r="L193" s="190" t="n">
        <f aca="true">L181+OFFSET($CG$27,$B193,$C193)</f>
        <v>32</v>
      </c>
      <c r="M193" s="96" t="n">
        <f aca="true">$L193+OFFSET($CU$27,$B193,$C193)</f>
        <v>27</v>
      </c>
      <c r="N193" s="97" t="n">
        <f aca="true">$L193+OFFSET($DI$27,$B193,$C193)</f>
        <v>50</v>
      </c>
      <c r="O193" s="59" t="n">
        <f aca="true">IF($A193="",0,INDEX(tblPosn,$A193,2))</f>
        <v>79651.1640625</v>
      </c>
      <c r="P193" s="59" t="n">
        <f aca="true">IF($A193="",0,INDEX(tblPosn,$A193,3))</f>
        <v>58790.140625</v>
      </c>
      <c r="Q193" s="59" t="n">
        <f aca="true">IF($A193="",0,INDEX(tblPosn,$A193,4))</f>
        <v>18964.5625</v>
      </c>
      <c r="R193" s="59" t="n">
        <f aca="true">IF($A193="",0,INDEX(tblPosn,$A193,5))</f>
        <v>18964.5625</v>
      </c>
      <c r="S193" s="59" t="n">
        <f aca="true">IF($A193="",0,INDEX(tblPosn,$A193,6))</f>
        <v>0</v>
      </c>
      <c r="T193" s="98" t="n">
        <f aca="false">O193*F193+P193*K193+R193*AC193+S193*AH193/0.72+Q193*X193</f>
        <v>0</v>
      </c>
      <c r="V193" s="161" t="n">
        <f aca="false">D193</f>
        <v>41760</v>
      </c>
      <c r="W193" s="94" t="n">
        <f aca="false">VLOOKUP($D193,tblPriorPrice,4)</f>
        <v>32</v>
      </c>
      <c r="X193" s="95" t="n">
        <f aca="false">Y193-W193</f>
        <v>0</v>
      </c>
      <c r="Y193" s="191" t="n">
        <f aca="true">Y181+OFFSET($CG$50,$B193,$C193)</f>
        <v>32</v>
      </c>
      <c r="Z193" s="96" t="n">
        <f aca="true">Y193+OFFSET($CU$51,$B193,$C193)</f>
        <v>27</v>
      </c>
      <c r="AA193" s="177" t="n">
        <f aca="true">Y193+OFFSET($DI$51,$B193,$C193)</f>
        <v>61</v>
      </c>
      <c r="AB193" s="94" t="n">
        <f aca="false">VLOOKUP($D193,tblPriorPrice,5)</f>
        <v>32</v>
      </c>
      <c r="AC193" s="190" t="n">
        <f aca="false">AD193-AB193</f>
        <v>0</v>
      </c>
      <c r="AD193" s="191" t="n">
        <f aca="true">AD181+OFFSET($CG$73,$B193,$C193)</f>
        <v>32</v>
      </c>
      <c r="AE193" s="96" t="n">
        <f aca="true">AD193+OFFSET($CU$74,$B193,$C193)</f>
        <v>27</v>
      </c>
      <c r="AF193" s="177" t="n">
        <f aca="true">AD193+OFFSET($DI$74,$B193,$C193)</f>
        <v>61</v>
      </c>
      <c r="AG193" s="94" t="n">
        <f aca="false">VLOOKUP($D193,tblPriorPrice,6)</f>
        <v>1</v>
      </c>
      <c r="AH193" s="190" t="n">
        <f aca="false">AI193-AG193</f>
        <v>0</v>
      </c>
      <c r="AI193" s="191" t="n">
        <f aca="true">AI181+OFFSET($CG$96,$B193,$C193)</f>
        <v>1</v>
      </c>
      <c r="AJ193" s="96" t="n">
        <f aca="true">AI193+OFFSET($CU$96,$B193,$C193)</f>
        <v>1</v>
      </c>
      <c r="AK193" s="97" t="n">
        <f aca="true">AI193+OFFSET($DI$96,$B193,$C193)</f>
        <v>1</v>
      </c>
      <c r="AL193" s="178" t="n">
        <v>54</v>
      </c>
      <c r="AM193" s="165" t="n">
        <v>0.4</v>
      </c>
      <c r="AN193" s="167" t="n">
        <f aca="false">'[3]Pricing Summary'!$AM171</f>
        <v>0.17</v>
      </c>
      <c r="AO193" s="167" t="n">
        <f aca="false">0.9*AN193</f>
        <v>0.153</v>
      </c>
      <c r="AP193" s="166" t="n">
        <f aca="false">1.5*AN193</f>
        <v>0.255</v>
      </c>
      <c r="AQ193" s="167" t="n">
        <f aca="false">AN193</f>
        <v>0.17</v>
      </c>
      <c r="AR193" s="166" t="n">
        <f aca="false">0.8*AQ193</f>
        <v>0.136</v>
      </c>
      <c r="AS193" s="166" t="n">
        <f aca="false">1.2*AQ193</f>
        <v>0.204</v>
      </c>
      <c r="AT193" s="169" t="n">
        <f aca="false">IF(G193&lt;110,17.94063*(LN(G193/100))+6.727568*(LN(G193/100)^2)+15.06494,(-4.1*G193+2135)/100)*0.5</f>
        <v>1.67862159684781</v>
      </c>
      <c r="AU193" s="169" t="n">
        <f aca="false">(0.75*AT193-AT193)</f>
        <v>-0.419655399211954</v>
      </c>
      <c r="AV193" s="166" t="n">
        <f aca="false">AT193/0.5*1.25-AT193</f>
        <v>2.51793239527172</v>
      </c>
      <c r="AW193" s="168" t="n">
        <f aca="false">IF(L193&lt;15,(15*L193+375)/100,(-4.71*L193+670.65)/100)*0.5</f>
        <v>2.59965</v>
      </c>
      <c r="AX193" s="166" t="n">
        <f aca="false">0.75*AW193-AW193</f>
        <v>-0.6499125</v>
      </c>
      <c r="AY193" s="166" t="n">
        <f aca="false">AW193/0.5*1.25-AW193</f>
        <v>3.899475</v>
      </c>
      <c r="AZ193" s="167" t="n">
        <v>0.5</v>
      </c>
      <c r="BA193" s="74"/>
      <c r="BQ193" s="108" t="n">
        <v>36907.7428240741</v>
      </c>
      <c r="BR193" s="109" t="n">
        <v>36907.743287037</v>
      </c>
      <c r="BS193" s="110" t="n">
        <v>41699</v>
      </c>
      <c r="BT193" s="111" t="n">
        <v>80535.6875</v>
      </c>
      <c r="BU193" s="112" t="n">
        <v>59443.0078125</v>
      </c>
      <c r="BV193" s="112" t="n">
        <v>19175.162109375</v>
      </c>
      <c r="BW193" s="112" t="n">
        <v>19175.162109375</v>
      </c>
      <c r="BX193" s="113" t="n">
        <v>0</v>
      </c>
      <c r="BZ193" s="110" t="n">
        <v>41760</v>
      </c>
      <c r="CA193" s="185" t="n">
        <v>32</v>
      </c>
      <c r="CB193" s="116" t="n">
        <v>32</v>
      </c>
      <c r="CC193" s="181" t="n">
        <v>32</v>
      </c>
      <c r="CD193" s="181" t="n">
        <v>32</v>
      </c>
      <c r="CE193" s="117" t="n">
        <v>1</v>
      </c>
    </row>
    <row r="194" customFormat="false" ht="12.75" hidden="false" customHeight="false" outlineLevel="0" collapsed="false">
      <c r="A194" s="0" t="n">
        <f aca="true">IF(ISERROR(MATCH(D194,iRefDt,0)),"",MATCH(D194,iRefDt,0))</f>
        <v>194</v>
      </c>
      <c r="B194" s="92" t="n">
        <f aca="false">MATCH(YEAR(D194),iSpreads)</f>
        <v>14</v>
      </c>
      <c r="C194" s="0" t="n">
        <f aca="false">MONTH(D194)</f>
        <v>6</v>
      </c>
      <c r="D194" s="93" t="n">
        <f aca="false">DATE(YEAR(D193),MONTH(D193)+1,1)</f>
        <v>41791</v>
      </c>
      <c r="E194" s="94" t="n">
        <f aca="false">VLOOKUP($D194,tblPriorPrice,2)</f>
        <v>39</v>
      </c>
      <c r="F194" s="190" t="n">
        <f aca="false">G194-E194</f>
        <v>0</v>
      </c>
      <c r="G194" s="190" t="n">
        <f aca="true">G182+OFFSET($CG$4,$B194,$C194)</f>
        <v>39</v>
      </c>
      <c r="H194" s="96" t="n">
        <f aca="true">G194+OFFSET($CU$4,$B194,$C194)</f>
        <v>34</v>
      </c>
      <c r="I194" s="96" t="n">
        <f aca="true">G194+OFFSET($DI$4,$B194,$C194)</f>
        <v>67</v>
      </c>
      <c r="J194" s="94" t="n">
        <f aca="false">VLOOKUP($D194,tblPriorPrice,3)</f>
        <v>39</v>
      </c>
      <c r="K194" s="190" t="n">
        <f aca="false">L194-J194</f>
        <v>0</v>
      </c>
      <c r="L194" s="190" t="n">
        <f aca="true">L182+OFFSET($CG$27,$B194,$C194)</f>
        <v>39</v>
      </c>
      <c r="M194" s="96" t="n">
        <f aca="true">$L194+OFFSET($CU$27,$B194,$C194)</f>
        <v>34</v>
      </c>
      <c r="N194" s="97" t="n">
        <f aca="true">$L194+OFFSET($DI$27,$B194,$C194)</f>
        <v>57</v>
      </c>
      <c r="O194" s="59" t="n">
        <f aca="true">IF($A194="",0,INDEX(tblPosn,$A194,2))</f>
        <v>79223.625</v>
      </c>
      <c r="P194" s="59" t="n">
        <f aca="true">IF($A194="",0,INDEX(tblPosn,$A194,3))</f>
        <v>56588.30078125</v>
      </c>
      <c r="Q194" s="59" t="n">
        <f aca="true">IF($A194="",0,INDEX(tblPosn,$A194,4))</f>
        <v>15090.2138671875</v>
      </c>
      <c r="R194" s="59" t="n">
        <f aca="true">IF($A194="",0,INDEX(tblPosn,$A194,5))</f>
        <v>18862.767578125</v>
      </c>
      <c r="S194" s="59" t="n">
        <f aca="true">IF($A194="",0,INDEX(tblPosn,$A194,6))</f>
        <v>0</v>
      </c>
      <c r="T194" s="98" t="n">
        <f aca="false">O194*F194+P194*K194+R194*AC194+S194*AH194/0.72+Q194*X194</f>
        <v>0</v>
      </c>
      <c r="V194" s="161" t="n">
        <f aca="false">D194</f>
        <v>41791</v>
      </c>
      <c r="W194" s="94" t="n">
        <f aca="false">VLOOKUP($D194,tblPriorPrice,4)</f>
        <v>39</v>
      </c>
      <c r="X194" s="95" t="n">
        <f aca="false">Y194-W194</f>
        <v>0</v>
      </c>
      <c r="Y194" s="191" t="n">
        <f aca="true">Y182+OFFSET($CG$50,$B194,$C194)</f>
        <v>39</v>
      </c>
      <c r="Z194" s="96" t="n">
        <f aca="true">Y194+OFFSET($CU$51,$B194,$C194)</f>
        <v>34</v>
      </c>
      <c r="AA194" s="177" t="n">
        <f aca="true">Y194+OFFSET($DI$51,$B194,$C194)</f>
        <v>68</v>
      </c>
      <c r="AB194" s="94" t="n">
        <f aca="false">VLOOKUP($D194,tblPriorPrice,5)</f>
        <v>39</v>
      </c>
      <c r="AC194" s="190" t="n">
        <f aca="false">AD194-AB194</f>
        <v>0</v>
      </c>
      <c r="AD194" s="191" t="n">
        <f aca="true">AD182+OFFSET($CG$73,$B194,$C194)</f>
        <v>39</v>
      </c>
      <c r="AE194" s="96" t="n">
        <f aca="true">AD194+OFFSET($CU$74,$B194,$C194)</f>
        <v>34</v>
      </c>
      <c r="AF194" s="177" t="n">
        <f aca="true">AD194+OFFSET($DI$74,$B194,$C194)</f>
        <v>68</v>
      </c>
      <c r="AG194" s="94" t="n">
        <f aca="false">VLOOKUP($D194,tblPriorPrice,6)</f>
        <v>1</v>
      </c>
      <c r="AH194" s="190" t="n">
        <f aca="false">AI194-AG194</f>
        <v>0</v>
      </c>
      <c r="AI194" s="191" t="n">
        <f aca="true">AI182+OFFSET($CG$96,$B194,$C194)</f>
        <v>1</v>
      </c>
      <c r="AJ194" s="96" t="n">
        <f aca="true">AI194+OFFSET($CU$96,$B194,$C194)</f>
        <v>1</v>
      </c>
      <c r="AK194" s="97" t="n">
        <f aca="true">AI194+OFFSET($DI$96,$B194,$C194)</f>
        <v>1</v>
      </c>
      <c r="AL194" s="178" t="n">
        <v>55</v>
      </c>
      <c r="AM194" s="165" t="n">
        <v>0.4</v>
      </c>
      <c r="AN194" s="167" t="n">
        <f aca="false">'[3]Pricing Summary'!$AM172</f>
        <v>0.17</v>
      </c>
      <c r="AO194" s="167" t="n">
        <f aca="false">0.9*AN194</f>
        <v>0.153</v>
      </c>
      <c r="AP194" s="166" t="n">
        <f aca="false">1.5*AN194</f>
        <v>0.255</v>
      </c>
      <c r="AQ194" s="167" t="n">
        <f aca="false">AN194</f>
        <v>0.17</v>
      </c>
      <c r="AR194" s="166" t="n">
        <f aca="false">0.8*AQ194</f>
        <v>0.136</v>
      </c>
      <c r="AS194" s="166" t="n">
        <f aca="false">1.2*AQ194</f>
        <v>0.204</v>
      </c>
      <c r="AT194" s="169" t="n">
        <f aca="false">IF(G194&lt;110,17.94063*(LN(G194/100))+6.727568*(LN(G194/100)^2)+15.06494,(-4.1*G194+2135)/100)*0.5</f>
        <v>2.06836530423771</v>
      </c>
      <c r="AU194" s="169" t="n">
        <f aca="false">(0.75*AT194-AT194)</f>
        <v>-0.517091326059428</v>
      </c>
      <c r="AV194" s="166" t="n">
        <f aca="false">AT194/0.5*1.25-AT194</f>
        <v>3.10254795635657</v>
      </c>
      <c r="AW194" s="168" t="n">
        <f aca="false">IF(L194&lt;15,(15*L194+375)/100,(-4.71*L194+670.65)/100)*0.5</f>
        <v>2.4348</v>
      </c>
      <c r="AX194" s="166" t="n">
        <f aca="false">0.75*AW194-AW194</f>
        <v>-0.6087</v>
      </c>
      <c r="AY194" s="166" t="n">
        <f aca="false">AW194/0.5*1.25-AW194</f>
        <v>3.6522</v>
      </c>
      <c r="AZ194" s="167" t="n">
        <v>0.5</v>
      </c>
      <c r="BA194" s="74"/>
      <c r="BQ194" s="108" t="n">
        <v>36907.7428240741</v>
      </c>
      <c r="BR194" s="109" t="n">
        <v>36907.743287037</v>
      </c>
      <c r="BS194" s="110" t="n">
        <v>41730</v>
      </c>
      <c r="BT194" s="111" t="n">
        <v>83914.890625</v>
      </c>
      <c r="BU194" s="112" t="n">
        <v>56976.30078125</v>
      </c>
      <c r="BV194" s="112" t="n">
        <v>15257.2529296875</v>
      </c>
      <c r="BW194" s="112" t="n">
        <v>15257.2529296875</v>
      </c>
      <c r="BX194" s="113" t="n">
        <v>0</v>
      </c>
      <c r="BZ194" s="110" t="n">
        <v>41791</v>
      </c>
      <c r="CA194" s="185" t="n">
        <v>39</v>
      </c>
      <c r="CB194" s="116" t="n">
        <v>39</v>
      </c>
      <c r="CC194" s="181" t="n">
        <v>39</v>
      </c>
      <c r="CD194" s="181" t="n">
        <v>39</v>
      </c>
      <c r="CE194" s="117" t="n">
        <v>1</v>
      </c>
    </row>
    <row r="195" customFormat="false" ht="12.75" hidden="false" customHeight="false" outlineLevel="0" collapsed="false">
      <c r="A195" s="0" t="n">
        <f aca="true">IF(ISERROR(MATCH(D195,iRefDt,0)),"",MATCH(D195,iRefDt,0))</f>
        <v>195</v>
      </c>
      <c r="B195" s="92" t="n">
        <f aca="false">MATCH(YEAR(D195),iSpreads)</f>
        <v>14</v>
      </c>
      <c r="C195" s="0" t="n">
        <f aca="false">MONTH(D195)</f>
        <v>7</v>
      </c>
      <c r="D195" s="93" t="n">
        <f aca="false">DATE(YEAR(D194),MONTH(D194)+1,1)</f>
        <v>41821</v>
      </c>
      <c r="E195" s="94" t="n">
        <f aca="false">VLOOKUP($D195,tblPriorPrice,2)</f>
        <v>39</v>
      </c>
      <c r="F195" s="190" t="n">
        <f aca="false">G195-E195</f>
        <v>0</v>
      </c>
      <c r="G195" s="190" t="n">
        <f aca="true">G183+OFFSET($CG$4,$B195,$C195)</f>
        <v>39</v>
      </c>
      <c r="H195" s="96" t="n">
        <f aca="true">G195+OFFSET($CU$4,$B195,$C195)</f>
        <v>34</v>
      </c>
      <c r="I195" s="96" t="n">
        <f aca="true">G195+OFFSET($DI$4,$B195,$C195)</f>
        <v>67</v>
      </c>
      <c r="J195" s="94" t="n">
        <f aca="false">VLOOKUP($D195,tblPriorPrice,3)</f>
        <v>39</v>
      </c>
      <c r="K195" s="190" t="n">
        <f aca="false">L195-J195</f>
        <v>0</v>
      </c>
      <c r="L195" s="190" t="n">
        <f aca="true">L183+OFFSET($CG$27,$B195,$C195)</f>
        <v>39</v>
      </c>
      <c r="M195" s="96" t="n">
        <f aca="true">$L195+OFFSET($CU$27,$B195,$C195)</f>
        <v>34</v>
      </c>
      <c r="N195" s="97" t="n">
        <f aca="true">$L195+OFFSET($DI$27,$B195,$C195)</f>
        <v>57</v>
      </c>
      <c r="O195" s="59" t="n">
        <f aca="true">IF($A195="",0,INDEX(tblPosn,$A195,2))</f>
        <v>82529.5859375</v>
      </c>
      <c r="P195" s="59" t="n">
        <f aca="true">IF($A195="",0,INDEX(tblPosn,$A195,3))</f>
        <v>58145.84765625</v>
      </c>
      <c r="Q195" s="59" t="n">
        <f aca="true">IF($A195="",0,INDEX(tblPosn,$A195,4))</f>
        <v>15005.3798828125</v>
      </c>
      <c r="R195" s="59" t="n">
        <f aca="true">IF($A195="",0,INDEX(tblPosn,$A195,5))</f>
        <v>18756.724609375</v>
      </c>
      <c r="S195" s="59" t="n">
        <f aca="true">IF($A195="",0,INDEX(tblPosn,$A195,6))</f>
        <v>0</v>
      </c>
      <c r="T195" s="98" t="n">
        <f aca="false">O195*F195+P195*K195+R195*AC195+S195*AH195/0.72+Q195*X195</f>
        <v>0</v>
      </c>
      <c r="V195" s="161" t="n">
        <f aca="false">D195</f>
        <v>41821</v>
      </c>
      <c r="W195" s="94" t="n">
        <f aca="false">VLOOKUP($D195,tblPriorPrice,4)</f>
        <v>39</v>
      </c>
      <c r="X195" s="95" t="n">
        <f aca="false">Y195-W195</f>
        <v>0</v>
      </c>
      <c r="Y195" s="191" t="n">
        <f aca="true">Y183+OFFSET($CG$50,$B195,$C195)</f>
        <v>39</v>
      </c>
      <c r="Z195" s="96" t="n">
        <f aca="true">Y195+OFFSET($CU$51,$B195,$C195)</f>
        <v>34</v>
      </c>
      <c r="AA195" s="177" t="n">
        <f aca="true">Y195+OFFSET($DI$51,$B195,$C195)</f>
        <v>68</v>
      </c>
      <c r="AB195" s="94" t="n">
        <f aca="false">VLOOKUP($D195,tblPriorPrice,5)</f>
        <v>39</v>
      </c>
      <c r="AC195" s="190" t="n">
        <f aca="false">AD195-AB195</f>
        <v>0</v>
      </c>
      <c r="AD195" s="191" t="n">
        <f aca="true">AD183+OFFSET($CG$73,$B195,$C195)</f>
        <v>39</v>
      </c>
      <c r="AE195" s="96" t="n">
        <f aca="true">AD195+OFFSET($CU$74,$B195,$C195)</f>
        <v>34</v>
      </c>
      <c r="AF195" s="177" t="n">
        <f aca="true">AD195+OFFSET($DI$74,$B195,$C195)</f>
        <v>68</v>
      </c>
      <c r="AG195" s="94" t="n">
        <f aca="false">VLOOKUP($D195,tblPriorPrice,6)</f>
        <v>1</v>
      </c>
      <c r="AH195" s="190" t="n">
        <f aca="false">AI195-AG195</f>
        <v>0</v>
      </c>
      <c r="AI195" s="191" t="n">
        <f aca="true">AI183+OFFSET($CG$96,$B195,$C195)</f>
        <v>1</v>
      </c>
      <c r="AJ195" s="96" t="n">
        <f aca="true">AI195+OFFSET($CU$96,$B195,$C195)</f>
        <v>1</v>
      </c>
      <c r="AK195" s="97" t="n">
        <f aca="true">AI195+OFFSET($DI$96,$B195,$C195)</f>
        <v>1</v>
      </c>
      <c r="AL195" s="178" t="n">
        <v>55</v>
      </c>
      <c r="AM195" s="165" t="n">
        <v>0.4</v>
      </c>
      <c r="AN195" s="167" t="n">
        <f aca="false">'[3]Pricing Summary'!$AM173</f>
        <v>0.17</v>
      </c>
      <c r="AO195" s="167" t="n">
        <f aca="false">0.9*AN195</f>
        <v>0.153</v>
      </c>
      <c r="AP195" s="166" t="n">
        <f aca="false">1.5*AN195</f>
        <v>0.255</v>
      </c>
      <c r="AQ195" s="167" t="n">
        <f aca="false">AN195</f>
        <v>0.17</v>
      </c>
      <c r="AR195" s="166" t="n">
        <f aca="false">0.8*AQ195</f>
        <v>0.136</v>
      </c>
      <c r="AS195" s="166" t="n">
        <f aca="false">1.2*AQ195</f>
        <v>0.204</v>
      </c>
      <c r="AT195" s="169" t="n">
        <f aca="false">IF(G195&lt;110,17.94063*(LN(G195/100))+6.727568*(LN(G195/100)^2)+15.06494,(-4.1*G195+2135)/100)*0.5</f>
        <v>2.06836530423771</v>
      </c>
      <c r="AU195" s="169" t="n">
        <f aca="false">(0.75*AT195-AT195)</f>
        <v>-0.517091326059428</v>
      </c>
      <c r="AV195" s="166" t="n">
        <f aca="false">AT195/0.5*1.25-AT195</f>
        <v>3.10254795635657</v>
      </c>
      <c r="AW195" s="168" t="n">
        <f aca="false">IF(L195&lt;15,(15*L195+375)/100,(-4.71*L195+670.65)/100)*0.5</f>
        <v>2.4348</v>
      </c>
      <c r="AX195" s="166" t="n">
        <f aca="false">0.75*AW195-AW195</f>
        <v>-0.6087</v>
      </c>
      <c r="AY195" s="166" t="n">
        <f aca="false">AW195/0.5*1.25-AW195</f>
        <v>3.6522</v>
      </c>
      <c r="AZ195" s="167" t="n">
        <v>0.5</v>
      </c>
      <c r="BA195" s="74"/>
      <c r="BQ195" s="108" t="n">
        <v>36907.7428240741</v>
      </c>
      <c r="BR195" s="109" t="n">
        <v>36907.743287037</v>
      </c>
      <c r="BS195" s="110" t="n">
        <v>41760</v>
      </c>
      <c r="BT195" s="111" t="n">
        <v>79651.1640625</v>
      </c>
      <c r="BU195" s="112" t="n">
        <v>58790.140625</v>
      </c>
      <c r="BV195" s="112" t="n">
        <v>18964.5625</v>
      </c>
      <c r="BW195" s="112" t="n">
        <v>18964.5625</v>
      </c>
      <c r="BX195" s="113" t="n">
        <v>0</v>
      </c>
      <c r="BZ195" s="110" t="n">
        <v>41821</v>
      </c>
      <c r="CA195" s="185" t="n">
        <v>39</v>
      </c>
      <c r="CB195" s="116" t="n">
        <v>39</v>
      </c>
      <c r="CC195" s="181" t="n">
        <v>39</v>
      </c>
      <c r="CD195" s="181" t="n">
        <v>39</v>
      </c>
      <c r="CE195" s="117" t="n">
        <v>1</v>
      </c>
    </row>
    <row r="196" customFormat="false" ht="12.75" hidden="false" customHeight="false" outlineLevel="0" collapsed="false">
      <c r="A196" s="0" t="n">
        <f aca="true">IF(ISERROR(MATCH(D196,iRefDt,0)),"",MATCH(D196,iRefDt,0))</f>
        <v>196</v>
      </c>
      <c r="B196" s="92" t="n">
        <f aca="false">MATCH(YEAR(D196),iSpreads)</f>
        <v>14</v>
      </c>
      <c r="C196" s="0" t="n">
        <f aca="false">MONTH(D196)</f>
        <v>8</v>
      </c>
      <c r="D196" s="93" t="n">
        <f aca="false">DATE(YEAR(D195),MONTH(D195)+1,1)</f>
        <v>41852</v>
      </c>
      <c r="E196" s="94" t="n">
        <f aca="false">VLOOKUP($D196,tblPriorPrice,2)</f>
        <v>41</v>
      </c>
      <c r="F196" s="190" t="n">
        <f aca="false">G196-E196</f>
        <v>0</v>
      </c>
      <c r="G196" s="190" t="n">
        <f aca="true">G184+OFFSET($CG$4,$B196,$C196)</f>
        <v>41</v>
      </c>
      <c r="H196" s="96" t="n">
        <f aca="true">G196+OFFSET($CU$4,$B196,$C196)</f>
        <v>36</v>
      </c>
      <c r="I196" s="96" t="n">
        <f aca="true">G196+OFFSET($DI$4,$B196,$C196)</f>
        <v>69</v>
      </c>
      <c r="J196" s="94" t="n">
        <f aca="false">VLOOKUP($D196,tblPriorPrice,3)</f>
        <v>41</v>
      </c>
      <c r="K196" s="190" t="n">
        <f aca="false">L196-J196</f>
        <v>0</v>
      </c>
      <c r="L196" s="190" t="n">
        <f aca="true">L184+OFFSET($CG$27,$B196,$C196)</f>
        <v>41</v>
      </c>
      <c r="M196" s="96" t="n">
        <f aca="true">$L196+OFFSET($CU$27,$B196,$C196)</f>
        <v>36</v>
      </c>
      <c r="N196" s="97" t="n">
        <f aca="true">$L196+OFFSET($DI$27,$B196,$C196)</f>
        <v>59</v>
      </c>
      <c r="O196" s="59" t="n">
        <f aca="true">IF($A196="",0,INDEX(tblPosn,$A196,2))</f>
        <v>78338.53125</v>
      </c>
      <c r="P196" s="59" t="n">
        <f aca="true">IF($A196="",0,INDEX(tblPosn,$A196,3))</f>
        <v>57821.296875</v>
      </c>
      <c r="Q196" s="59" t="n">
        <f aca="true">IF($A196="",0,INDEX(tblPosn,$A196,4))</f>
        <v>18652.03125</v>
      </c>
      <c r="R196" s="59" t="n">
        <f aca="true">IF($A196="",0,INDEX(tblPosn,$A196,5))</f>
        <v>18652.03125</v>
      </c>
      <c r="S196" s="59" t="n">
        <f aca="true">IF($A196="",0,INDEX(tblPosn,$A196,6))</f>
        <v>0</v>
      </c>
      <c r="T196" s="98" t="n">
        <f aca="false">O196*F196+P196*K196+R196*AC196+S196*AH196/0.72+Q196*X196</f>
        <v>0</v>
      </c>
      <c r="V196" s="161" t="n">
        <f aca="false">D196</f>
        <v>41852</v>
      </c>
      <c r="W196" s="94" t="n">
        <f aca="false">VLOOKUP($D196,tblPriorPrice,4)</f>
        <v>41</v>
      </c>
      <c r="X196" s="95" t="n">
        <f aca="false">Y196-W196</f>
        <v>0</v>
      </c>
      <c r="Y196" s="191" t="n">
        <f aca="true">Y184+OFFSET($CG$50,$B196,$C196)</f>
        <v>41</v>
      </c>
      <c r="Z196" s="96" t="n">
        <f aca="true">Y196+OFFSET($CU$51,$B196,$C196)</f>
        <v>36</v>
      </c>
      <c r="AA196" s="177" t="n">
        <f aca="true">Y196+OFFSET($DI$51,$B196,$C196)</f>
        <v>70</v>
      </c>
      <c r="AB196" s="94" t="n">
        <f aca="false">VLOOKUP($D196,tblPriorPrice,5)</f>
        <v>41</v>
      </c>
      <c r="AC196" s="190" t="n">
        <f aca="false">AD196-AB196</f>
        <v>0</v>
      </c>
      <c r="AD196" s="191" t="n">
        <f aca="true">AD184+OFFSET($CG$73,$B196,$C196)</f>
        <v>41</v>
      </c>
      <c r="AE196" s="96" t="n">
        <f aca="true">AD196+OFFSET($CU$74,$B196,$C196)</f>
        <v>36</v>
      </c>
      <c r="AF196" s="177" t="n">
        <f aca="true">AD196+OFFSET($DI$74,$B196,$C196)</f>
        <v>70</v>
      </c>
      <c r="AG196" s="94" t="n">
        <f aca="false">VLOOKUP($D196,tblPriorPrice,6)</f>
        <v>1</v>
      </c>
      <c r="AH196" s="190" t="n">
        <f aca="false">AI196-AG196</f>
        <v>0</v>
      </c>
      <c r="AI196" s="191" t="n">
        <f aca="true">AI184+OFFSET($CG$96,$B196,$C196)</f>
        <v>1</v>
      </c>
      <c r="AJ196" s="96" t="n">
        <f aca="true">AI196+OFFSET($CU$96,$B196,$C196)</f>
        <v>1</v>
      </c>
      <c r="AK196" s="97" t="n">
        <f aca="true">AI196+OFFSET($DI$96,$B196,$C196)</f>
        <v>1</v>
      </c>
      <c r="AL196" s="178" t="n">
        <v>55</v>
      </c>
      <c r="AM196" s="165" t="n">
        <v>0.4</v>
      </c>
      <c r="AN196" s="167" t="n">
        <f aca="false">'[3]Pricing Summary'!$AM174</f>
        <v>0.17</v>
      </c>
      <c r="AO196" s="167" t="n">
        <f aca="false">0.9*AN196</f>
        <v>0.153</v>
      </c>
      <c r="AP196" s="166" t="n">
        <f aca="false">1.5*AN196</f>
        <v>0.255</v>
      </c>
      <c r="AQ196" s="167" t="n">
        <f aca="false">AN196</f>
        <v>0.17</v>
      </c>
      <c r="AR196" s="166" t="n">
        <f aca="false">0.8*AQ196</f>
        <v>0.136</v>
      </c>
      <c r="AS196" s="166" t="n">
        <f aca="false">1.2*AQ196</f>
        <v>0.204</v>
      </c>
      <c r="AT196" s="169" t="n">
        <f aca="false">IF(G196&lt;110,17.94063*(LN(G196/100))+6.727568*(LN(G196/100)^2)+15.06494,(-4.1*G196+2135)/100)*0.5</f>
        <v>2.20858471004844</v>
      </c>
      <c r="AU196" s="169" t="n">
        <f aca="false">(0.75*AT196-AT196)</f>
        <v>-0.552146177512111</v>
      </c>
      <c r="AV196" s="166" t="n">
        <f aca="false">AT196/0.5*1.25-AT196</f>
        <v>3.31287706507267</v>
      </c>
      <c r="AW196" s="168" t="n">
        <f aca="false">IF(L196&lt;15,(15*L196+375)/100,(-4.71*L196+670.65)/100)*0.5</f>
        <v>2.3877</v>
      </c>
      <c r="AX196" s="166" t="n">
        <f aca="false">0.75*AW196-AW196</f>
        <v>-0.596925</v>
      </c>
      <c r="AY196" s="166" t="n">
        <f aca="false">AW196/0.5*1.25-AW196</f>
        <v>3.58155</v>
      </c>
      <c r="AZ196" s="167" t="n">
        <v>0.5</v>
      </c>
      <c r="BA196" s="74"/>
      <c r="BQ196" s="108" t="n">
        <v>36907.7428240741</v>
      </c>
      <c r="BR196" s="109" t="n">
        <v>36907.743287037</v>
      </c>
      <c r="BS196" s="110" t="n">
        <v>41791</v>
      </c>
      <c r="BT196" s="111" t="n">
        <v>79223.625</v>
      </c>
      <c r="BU196" s="112" t="n">
        <v>56588.30078125</v>
      </c>
      <c r="BV196" s="112" t="n">
        <v>15090.2138671875</v>
      </c>
      <c r="BW196" s="112" t="n">
        <v>18862.767578125</v>
      </c>
      <c r="BX196" s="113" t="n">
        <v>0</v>
      </c>
      <c r="BZ196" s="110" t="n">
        <v>41852</v>
      </c>
      <c r="CA196" s="185" t="n">
        <v>41</v>
      </c>
      <c r="CB196" s="116" t="n">
        <v>41</v>
      </c>
      <c r="CC196" s="181" t="n">
        <v>41</v>
      </c>
      <c r="CD196" s="181" t="n">
        <v>41</v>
      </c>
      <c r="CE196" s="117" t="n">
        <v>1</v>
      </c>
    </row>
    <row r="197" customFormat="false" ht="12.75" hidden="false" customHeight="false" outlineLevel="0" collapsed="false">
      <c r="A197" s="0" t="n">
        <f aca="true">IF(ISERROR(MATCH(D197,iRefDt,0)),"",MATCH(D197,iRefDt,0))</f>
        <v>197</v>
      </c>
      <c r="B197" s="92" t="n">
        <f aca="false">MATCH(YEAR(D197),iSpreads)</f>
        <v>14</v>
      </c>
      <c r="C197" s="0" t="n">
        <f aca="false">MONTH(D197)</f>
        <v>9</v>
      </c>
      <c r="D197" s="93" t="n">
        <f aca="false">DATE(YEAR(D196),MONTH(D196)+1,1)</f>
        <v>41883</v>
      </c>
      <c r="E197" s="94" t="n">
        <f aca="false">VLOOKUP($D197,tblPriorPrice,2)</f>
        <v>35</v>
      </c>
      <c r="F197" s="190" t="n">
        <f aca="false">G197-E197</f>
        <v>0</v>
      </c>
      <c r="G197" s="190" t="n">
        <f aca="true">G185+OFFSET($CG$4,$B197,$C197)</f>
        <v>35</v>
      </c>
      <c r="H197" s="96" t="n">
        <f aca="true">G197+OFFSET($CU$4,$B197,$C197)</f>
        <v>30</v>
      </c>
      <c r="I197" s="96" t="n">
        <f aca="true">G197+OFFSET($DI$4,$B197,$C197)</f>
        <v>63</v>
      </c>
      <c r="J197" s="94" t="n">
        <f aca="false">VLOOKUP($D197,tblPriorPrice,3)</f>
        <v>35</v>
      </c>
      <c r="K197" s="190" t="n">
        <f aca="false">L197-J197</f>
        <v>0</v>
      </c>
      <c r="L197" s="190" t="n">
        <f aca="true">L185+OFFSET($CG$27,$B197,$C197)</f>
        <v>35</v>
      </c>
      <c r="M197" s="96" t="n">
        <f aca="true">$L197+OFFSET($CU$27,$B197,$C197)</f>
        <v>30</v>
      </c>
      <c r="N197" s="97" t="n">
        <f aca="true">$L197+OFFSET($DI$27,$B197,$C197)</f>
        <v>53</v>
      </c>
      <c r="O197" s="59" t="n">
        <f aca="true">IF($A197="",0,INDEX(tblPosn,$A197,2))</f>
        <v>77911.390625</v>
      </c>
      <c r="P197" s="59" t="n">
        <f aca="true">IF($A197="",0,INDEX(tblPosn,$A197,3))</f>
        <v>55650.9921875</v>
      </c>
      <c r="Q197" s="59" t="n">
        <f aca="true">IF($A197="",0,INDEX(tblPosn,$A197,4))</f>
        <v>14840.2646484375</v>
      </c>
      <c r="R197" s="59" t="n">
        <f aca="true">IF($A197="",0,INDEX(tblPosn,$A197,5))</f>
        <v>18550.330078125</v>
      </c>
      <c r="S197" s="59" t="n">
        <f aca="true">IF($A197="",0,INDEX(tblPosn,$A197,6))</f>
        <v>0</v>
      </c>
      <c r="T197" s="98" t="n">
        <f aca="false">O197*F197+P197*K197+R197*AC197+S197*AH197/0.72+Q197*X197</f>
        <v>0</v>
      </c>
      <c r="V197" s="161" t="n">
        <f aca="false">D197</f>
        <v>41883</v>
      </c>
      <c r="W197" s="94" t="n">
        <f aca="false">VLOOKUP($D197,tblPriorPrice,4)</f>
        <v>35</v>
      </c>
      <c r="X197" s="95" t="n">
        <f aca="false">Y197-W197</f>
        <v>0</v>
      </c>
      <c r="Y197" s="191" t="n">
        <f aca="true">Y185+OFFSET($CG$50,$B197,$C197)</f>
        <v>35</v>
      </c>
      <c r="Z197" s="96" t="n">
        <f aca="true">Y197+OFFSET($CU$51,$B197,$C197)</f>
        <v>30</v>
      </c>
      <c r="AA197" s="177" t="n">
        <f aca="true">Y197+OFFSET($DI$51,$B197,$C197)</f>
        <v>64</v>
      </c>
      <c r="AB197" s="94" t="n">
        <f aca="false">VLOOKUP($D197,tblPriorPrice,5)</f>
        <v>35</v>
      </c>
      <c r="AC197" s="190" t="n">
        <f aca="false">AD197-AB197</f>
        <v>0</v>
      </c>
      <c r="AD197" s="191" t="n">
        <f aca="true">AD185+OFFSET($CG$73,$B197,$C197)</f>
        <v>35</v>
      </c>
      <c r="AE197" s="96" t="n">
        <f aca="true">AD197+OFFSET($CU$74,$B197,$C197)</f>
        <v>30</v>
      </c>
      <c r="AF197" s="177" t="n">
        <f aca="true">AD197+OFFSET($DI$74,$B197,$C197)</f>
        <v>64</v>
      </c>
      <c r="AG197" s="94" t="n">
        <f aca="false">VLOOKUP($D197,tblPriorPrice,6)</f>
        <v>1</v>
      </c>
      <c r="AH197" s="190" t="n">
        <f aca="false">AI197-AG197</f>
        <v>0</v>
      </c>
      <c r="AI197" s="191" t="n">
        <f aca="true">AI185+OFFSET($CG$96,$B197,$C197)</f>
        <v>1</v>
      </c>
      <c r="AJ197" s="96" t="n">
        <f aca="true">AI197+OFFSET($CU$96,$B197,$C197)</f>
        <v>1</v>
      </c>
      <c r="AK197" s="97" t="n">
        <f aca="true">AI197+OFFSET($DI$96,$B197,$C197)</f>
        <v>1</v>
      </c>
      <c r="AL197" s="178" t="n">
        <v>56</v>
      </c>
      <c r="AM197" s="165" t="n">
        <v>0.4</v>
      </c>
      <c r="AN197" s="167" t="n">
        <f aca="false">'[3]Pricing Summary'!$AM175</f>
        <v>0.17</v>
      </c>
      <c r="AO197" s="167" t="n">
        <f aca="false">0.9*AN197</f>
        <v>0.153</v>
      </c>
      <c r="AP197" s="166" t="n">
        <f aca="false">1.5*AN197</f>
        <v>0.255</v>
      </c>
      <c r="AQ197" s="167" t="n">
        <f aca="false">AN197</f>
        <v>0.17</v>
      </c>
      <c r="AR197" s="166" t="n">
        <f aca="false">0.8*AQ197</f>
        <v>0.136</v>
      </c>
      <c r="AS197" s="166" t="n">
        <f aca="false">1.2*AQ197</f>
        <v>0.204</v>
      </c>
      <c r="AT197" s="169" t="n">
        <f aca="false">IF(G197&lt;110,17.94063*(LN(G197/100))+6.727568*(LN(G197/100)^2)+15.06494,(-4.1*G197+2135)/100)*0.5</f>
        <v>1.82255031269953</v>
      </c>
      <c r="AU197" s="169" t="n">
        <f aca="false">(0.75*AT197-AT197)</f>
        <v>-0.455637578174882</v>
      </c>
      <c r="AV197" s="166" t="n">
        <f aca="false">AT197/0.5*1.25-AT197</f>
        <v>2.73382546904929</v>
      </c>
      <c r="AW197" s="168" t="n">
        <f aca="false">IF(L197&lt;15,(15*L197+375)/100,(-4.71*L197+670.65)/100)*0.5</f>
        <v>2.529</v>
      </c>
      <c r="AX197" s="166" t="n">
        <f aca="false">0.75*AW197-AW197</f>
        <v>-0.63225</v>
      </c>
      <c r="AY197" s="166" t="n">
        <f aca="false">AW197/0.5*1.25-AW197</f>
        <v>3.7935</v>
      </c>
      <c r="AZ197" s="167" t="n">
        <v>0.5</v>
      </c>
      <c r="BA197" s="74"/>
      <c r="BQ197" s="108" t="n">
        <v>36907.7428240741</v>
      </c>
      <c r="BR197" s="109" t="n">
        <v>36907.743287037</v>
      </c>
      <c r="BS197" s="110" t="n">
        <v>41821</v>
      </c>
      <c r="BT197" s="111" t="n">
        <v>82529.5859375</v>
      </c>
      <c r="BU197" s="112" t="n">
        <v>58145.84765625</v>
      </c>
      <c r="BV197" s="112" t="n">
        <v>15005.3798828125</v>
      </c>
      <c r="BW197" s="112" t="n">
        <v>18756.724609375</v>
      </c>
      <c r="BX197" s="113" t="n">
        <v>0</v>
      </c>
      <c r="BZ197" s="110" t="n">
        <v>41883</v>
      </c>
      <c r="CA197" s="185" t="n">
        <v>35</v>
      </c>
      <c r="CB197" s="116" t="n">
        <v>35</v>
      </c>
      <c r="CC197" s="181" t="n">
        <v>35</v>
      </c>
      <c r="CD197" s="181" t="n">
        <v>35</v>
      </c>
      <c r="CE197" s="117" t="n">
        <v>1</v>
      </c>
    </row>
    <row r="198" customFormat="false" ht="12.75" hidden="false" customHeight="false" outlineLevel="0" collapsed="false">
      <c r="A198" s="0" t="n">
        <f aca="true">IF(ISERROR(MATCH(D198,iRefDt,0)),"",MATCH(D198,iRefDt,0))</f>
        <v>198</v>
      </c>
      <c r="B198" s="92" t="n">
        <f aca="false">MATCH(YEAR(D198),iSpreads)</f>
        <v>14</v>
      </c>
      <c r="C198" s="0" t="n">
        <f aca="false">MONTH(D198)</f>
        <v>10</v>
      </c>
      <c r="D198" s="93" t="n">
        <f aca="false">DATE(YEAR(D197),MONTH(D197)+1,1)</f>
        <v>41913</v>
      </c>
      <c r="E198" s="94" t="n">
        <f aca="false">VLOOKUP($D198,tblPriorPrice,2)</f>
        <v>37</v>
      </c>
      <c r="F198" s="190" t="n">
        <f aca="false">G198-E198</f>
        <v>0</v>
      </c>
      <c r="G198" s="190" t="n">
        <f aca="true">G186+OFFSET($CG$4,$B198,$C198)</f>
        <v>37</v>
      </c>
      <c r="H198" s="96" t="n">
        <f aca="true">G198+OFFSET($CU$4,$B198,$C198)</f>
        <v>32</v>
      </c>
      <c r="I198" s="96" t="n">
        <f aca="true">G198+OFFSET($DI$4,$B198,$C198)</f>
        <v>65</v>
      </c>
      <c r="J198" s="94" t="n">
        <f aca="false">VLOOKUP($D198,tblPriorPrice,3)</f>
        <v>37</v>
      </c>
      <c r="K198" s="190" t="n">
        <f aca="false">L198-J198</f>
        <v>0</v>
      </c>
      <c r="L198" s="190" t="n">
        <f aca="true">L186+OFFSET($CG$27,$B198,$C198)</f>
        <v>37</v>
      </c>
      <c r="M198" s="96" t="n">
        <f aca="true">$L198+OFFSET($CU$27,$B198,$C198)</f>
        <v>32</v>
      </c>
      <c r="N198" s="97" t="n">
        <f aca="true">$L198+OFFSET($DI$27,$B198,$C198)</f>
        <v>55</v>
      </c>
      <c r="O198" s="59" t="n">
        <f aca="true">IF($A198="",0,INDEX(tblPosn,$A198,2))</f>
        <v>84852.328125</v>
      </c>
      <c r="P198" s="59" t="n">
        <f aca="true">IF($A198="",0,INDEX(tblPosn,$A198,3))</f>
        <v>57413.66796875</v>
      </c>
      <c r="Q198" s="59" t="n">
        <f aca="true">IF($A198="",0,INDEX(tblPosn,$A198,4))</f>
        <v>14756.9267578125</v>
      </c>
      <c r="R198" s="59" t="n">
        <f aca="true">IF($A198="",0,INDEX(tblPosn,$A198,5))</f>
        <v>14756.9267578125</v>
      </c>
      <c r="S198" s="59" t="n">
        <f aca="true">IF($A198="",0,INDEX(tblPosn,$A198,6))</f>
        <v>0</v>
      </c>
      <c r="T198" s="98" t="n">
        <f aca="false">O198*F198+P198*K198+R198*AC198+S198*AH198/0.72+Q198*X198</f>
        <v>0</v>
      </c>
      <c r="V198" s="161" t="n">
        <f aca="false">D198</f>
        <v>41913</v>
      </c>
      <c r="W198" s="94" t="n">
        <f aca="false">VLOOKUP($D198,tblPriorPrice,4)</f>
        <v>37</v>
      </c>
      <c r="X198" s="95" t="n">
        <f aca="false">Y198-W198</f>
        <v>0</v>
      </c>
      <c r="Y198" s="191" t="n">
        <f aca="true">Y186+OFFSET($CG$50,$B198,$C198)</f>
        <v>37</v>
      </c>
      <c r="Z198" s="96" t="n">
        <f aca="true">Y198+OFFSET($CU$51,$B198,$C198)</f>
        <v>32</v>
      </c>
      <c r="AA198" s="177" t="n">
        <f aca="true">Y198+OFFSET($DI$51,$B198,$C198)</f>
        <v>66</v>
      </c>
      <c r="AB198" s="94" t="n">
        <f aca="false">VLOOKUP($D198,tblPriorPrice,5)</f>
        <v>37</v>
      </c>
      <c r="AC198" s="190" t="n">
        <f aca="false">AD198-AB198</f>
        <v>0</v>
      </c>
      <c r="AD198" s="191" t="n">
        <f aca="true">AD186+OFFSET($CG$73,$B198,$C198)</f>
        <v>37</v>
      </c>
      <c r="AE198" s="96" t="n">
        <f aca="true">AD198+OFFSET($CU$74,$B198,$C198)</f>
        <v>32</v>
      </c>
      <c r="AF198" s="177" t="n">
        <f aca="true">AD198+OFFSET($DI$74,$B198,$C198)</f>
        <v>66</v>
      </c>
      <c r="AG198" s="94" t="n">
        <f aca="false">VLOOKUP($D198,tblPriorPrice,6)</f>
        <v>1</v>
      </c>
      <c r="AH198" s="190" t="n">
        <f aca="false">AI198-AG198</f>
        <v>0</v>
      </c>
      <c r="AI198" s="191" t="n">
        <f aca="true">AI186+OFFSET($CG$96,$B198,$C198)</f>
        <v>1</v>
      </c>
      <c r="AJ198" s="96" t="n">
        <f aca="true">AI198+OFFSET($CU$96,$B198,$C198)</f>
        <v>1</v>
      </c>
      <c r="AK198" s="97" t="n">
        <f aca="true">AI198+OFFSET($DI$96,$B198,$C198)</f>
        <v>1</v>
      </c>
      <c r="AL198" s="178" t="n">
        <v>56</v>
      </c>
      <c r="AM198" s="165" t="n">
        <v>0.4</v>
      </c>
      <c r="AN198" s="167" t="n">
        <f aca="false">'[3]Pricing Summary'!$AM176</f>
        <v>0.17</v>
      </c>
      <c r="AO198" s="167" t="n">
        <f aca="false">0.9*AN198</f>
        <v>0.153</v>
      </c>
      <c r="AP198" s="166" t="n">
        <f aca="false">1.5*AN198</f>
        <v>0.255</v>
      </c>
      <c r="AQ198" s="167" t="n">
        <f aca="false">AN198</f>
        <v>0.17</v>
      </c>
      <c r="AR198" s="166" t="n">
        <f aca="false">0.8*AQ198</f>
        <v>0.136</v>
      </c>
      <c r="AS198" s="166" t="n">
        <f aca="false">1.2*AQ198</f>
        <v>0.204</v>
      </c>
      <c r="AT198" s="169" t="n">
        <f aca="false">IF(G198&lt;110,17.94063*(LN(G198/100))+6.727568*(LN(G198/100)^2)+15.06494,(-4.1*G198+2135)/100)*0.5</f>
        <v>1.93894082389981</v>
      </c>
      <c r="AU198" s="169" t="n">
        <f aca="false">(0.75*AT198-AT198)</f>
        <v>-0.484735205974953</v>
      </c>
      <c r="AV198" s="166" t="n">
        <f aca="false">AT198/0.5*1.25-AT198</f>
        <v>2.90841123584972</v>
      </c>
      <c r="AW198" s="168" t="n">
        <f aca="false">IF(L198&lt;15,(15*L198+375)/100,(-4.71*L198+670.65)/100)*0.5</f>
        <v>2.4819</v>
      </c>
      <c r="AX198" s="166" t="n">
        <f aca="false">0.75*AW198-AW198</f>
        <v>-0.620475</v>
      </c>
      <c r="AY198" s="166" t="n">
        <f aca="false">AW198/0.5*1.25-AW198</f>
        <v>3.72285</v>
      </c>
      <c r="AZ198" s="167" t="n">
        <v>0.5</v>
      </c>
      <c r="BA198" s="74"/>
      <c r="BQ198" s="108" t="n">
        <v>36907.7428240741</v>
      </c>
      <c r="BR198" s="109" t="n">
        <v>36907.743287037</v>
      </c>
      <c r="BS198" s="110" t="n">
        <v>41852</v>
      </c>
      <c r="BT198" s="111" t="n">
        <v>78338.53125</v>
      </c>
      <c r="BU198" s="112" t="n">
        <v>57821.296875</v>
      </c>
      <c r="BV198" s="112" t="n">
        <v>18652.03125</v>
      </c>
      <c r="BW198" s="112" t="n">
        <v>18652.03125</v>
      </c>
      <c r="BX198" s="113" t="n">
        <v>0</v>
      </c>
      <c r="BZ198" s="110" t="n">
        <v>41913</v>
      </c>
      <c r="CA198" s="185" t="n">
        <v>37</v>
      </c>
      <c r="CB198" s="116" t="n">
        <v>37</v>
      </c>
      <c r="CC198" s="181" t="n">
        <v>37</v>
      </c>
      <c r="CD198" s="181" t="n">
        <v>37</v>
      </c>
      <c r="CE198" s="117" t="n">
        <v>1</v>
      </c>
    </row>
    <row r="199" customFormat="false" ht="12.75" hidden="false" customHeight="false" outlineLevel="0" collapsed="false">
      <c r="A199" s="0" t="n">
        <f aca="true">IF(ISERROR(MATCH(D199,iRefDt,0)),"",MATCH(D199,iRefDt,0))</f>
        <v>199</v>
      </c>
      <c r="B199" s="92" t="n">
        <f aca="false">MATCH(YEAR(D199),iSpreads)</f>
        <v>14</v>
      </c>
      <c r="C199" s="0" t="n">
        <f aca="false">MONTH(D199)</f>
        <v>11</v>
      </c>
      <c r="D199" s="93" t="n">
        <f aca="false">DATE(YEAR(D198),MONTH(D198)+1,1)</f>
        <v>41944</v>
      </c>
      <c r="E199" s="94" t="n">
        <f aca="false">VLOOKUP($D199,tblPriorPrice,2)</f>
        <v>31</v>
      </c>
      <c r="F199" s="190" t="n">
        <f aca="false">G199-E199</f>
        <v>0</v>
      </c>
      <c r="G199" s="190" t="n">
        <f aca="true">G187+OFFSET($CG$4,$B199,$C199)</f>
        <v>31</v>
      </c>
      <c r="H199" s="96" t="n">
        <f aca="true">G199+OFFSET($CU$4,$B199,$C199)</f>
        <v>26</v>
      </c>
      <c r="I199" s="96" t="n">
        <f aca="true">G199+OFFSET($DI$4,$B199,$C199)</f>
        <v>59</v>
      </c>
      <c r="J199" s="94" t="n">
        <f aca="false">VLOOKUP($D199,tblPriorPrice,3)</f>
        <v>31</v>
      </c>
      <c r="K199" s="190" t="n">
        <f aca="false">L199-J199</f>
        <v>0</v>
      </c>
      <c r="L199" s="190" t="n">
        <f aca="true">L187+OFFSET($CG$27,$B199,$C199)</f>
        <v>31</v>
      </c>
      <c r="M199" s="96" t="n">
        <f aca="true">$L199+OFFSET($CU$27,$B199,$C199)</f>
        <v>26</v>
      </c>
      <c r="N199" s="97" t="n">
        <f aca="true">$L199+OFFSET($DI$27,$B199,$C199)</f>
        <v>49</v>
      </c>
      <c r="O199" s="59" t="n">
        <f aca="true">IF($A199="",0,INDEX(tblPosn,$A199,2))</f>
        <v>69710.828125</v>
      </c>
      <c r="P199" s="59" t="n">
        <f aca="true">IF($A199="",0,INDEX(tblPosn,$A199,3))</f>
        <v>55034.8671875</v>
      </c>
      <c r="Q199" s="59" t="n">
        <f aca="true">IF($A199="",0,INDEX(tblPosn,$A199,4))</f>
        <v>18344.955078125</v>
      </c>
      <c r="R199" s="59" t="n">
        <f aca="true">IF($A199="",0,INDEX(tblPosn,$A199,5))</f>
        <v>22013.9453125</v>
      </c>
      <c r="S199" s="59" t="n">
        <f aca="true">IF($A199="",0,INDEX(tblPosn,$A199,6))</f>
        <v>0</v>
      </c>
      <c r="T199" s="98" t="n">
        <f aca="false">O199*F199+P199*K199+R199*AC199+S199*AH199/0.72+Q199*X199</f>
        <v>0</v>
      </c>
      <c r="V199" s="161" t="n">
        <f aca="false">D199</f>
        <v>41944</v>
      </c>
      <c r="W199" s="94" t="n">
        <f aca="false">VLOOKUP($D199,tblPriorPrice,4)</f>
        <v>31</v>
      </c>
      <c r="X199" s="95" t="n">
        <f aca="false">Y199-W199</f>
        <v>0</v>
      </c>
      <c r="Y199" s="191" t="n">
        <f aca="true">Y187+OFFSET($CG$50,$B199,$C199)</f>
        <v>31</v>
      </c>
      <c r="Z199" s="96" t="n">
        <f aca="true">Y199+OFFSET($CU$51,$B199,$C199)</f>
        <v>26</v>
      </c>
      <c r="AA199" s="177" t="n">
        <f aca="true">Y199+OFFSET($DI$51,$B199,$C199)</f>
        <v>60</v>
      </c>
      <c r="AB199" s="94" t="n">
        <f aca="false">VLOOKUP($D199,tblPriorPrice,5)</f>
        <v>31</v>
      </c>
      <c r="AC199" s="190" t="n">
        <f aca="false">AD199-AB199</f>
        <v>0</v>
      </c>
      <c r="AD199" s="191" t="n">
        <f aca="true">AD187+OFFSET($CG$73,$B199,$C199)</f>
        <v>31</v>
      </c>
      <c r="AE199" s="96" t="n">
        <f aca="true">AD199+OFFSET($CU$74,$B199,$C199)</f>
        <v>26</v>
      </c>
      <c r="AF199" s="177" t="n">
        <f aca="true">AD199+OFFSET($DI$74,$B199,$C199)</f>
        <v>60</v>
      </c>
      <c r="AG199" s="94" t="n">
        <f aca="false">VLOOKUP($D199,tblPriorPrice,6)</f>
        <v>1</v>
      </c>
      <c r="AH199" s="190" t="n">
        <f aca="false">AI199-AG199</f>
        <v>0</v>
      </c>
      <c r="AI199" s="191" t="n">
        <f aca="true">AI187+OFFSET($CG$96,$B199,$C199)</f>
        <v>1</v>
      </c>
      <c r="AJ199" s="96" t="n">
        <f aca="true">AI199+OFFSET($CU$96,$B199,$C199)</f>
        <v>1</v>
      </c>
      <c r="AK199" s="97" t="n">
        <f aca="true">AI199+OFFSET($DI$96,$B199,$C199)</f>
        <v>1</v>
      </c>
      <c r="AL199" s="178" t="n">
        <v>56</v>
      </c>
      <c r="AM199" s="165" t="n">
        <v>0.4</v>
      </c>
      <c r="AN199" s="167" t="n">
        <f aca="false">'[3]Pricing Summary'!$AM177</f>
        <v>0.17</v>
      </c>
      <c r="AO199" s="167" t="n">
        <f aca="false">0.9*AN199</f>
        <v>0.153</v>
      </c>
      <c r="AP199" s="166" t="n">
        <f aca="false">1.5*AN199</f>
        <v>0.255</v>
      </c>
      <c r="AQ199" s="167" t="n">
        <f aca="false">AN199</f>
        <v>0.17</v>
      </c>
      <c r="AR199" s="166" t="n">
        <f aca="false">0.8*AQ199</f>
        <v>0.136</v>
      </c>
      <c r="AS199" s="166" t="n">
        <f aca="false">1.2*AQ199</f>
        <v>0.204</v>
      </c>
      <c r="AT199" s="169" t="n">
        <f aca="false">IF(G199&lt;110,17.94063*(LN(G199/100))+6.727568*(LN(G199/100)^2)+15.06494,(-4.1*G199+2135)/100)*0.5</f>
        <v>1.64058990686036</v>
      </c>
      <c r="AU199" s="169" t="n">
        <f aca="false">(0.75*AT199-AT199)</f>
        <v>-0.410147476715089</v>
      </c>
      <c r="AV199" s="166" t="n">
        <f aca="false">AT199/0.5*1.25-AT199</f>
        <v>2.46088486029054</v>
      </c>
      <c r="AW199" s="168" t="n">
        <f aca="false">IF(L199&lt;15,(15*L199+375)/100,(-4.71*L199+670.65)/100)*0.5</f>
        <v>2.6232</v>
      </c>
      <c r="AX199" s="166" t="n">
        <f aca="false">0.75*AW199-AW199</f>
        <v>-0.6558</v>
      </c>
      <c r="AY199" s="166" t="n">
        <f aca="false">AW199/0.5*1.25-AW199</f>
        <v>3.9348</v>
      </c>
      <c r="AZ199" s="167" t="n">
        <v>0.5</v>
      </c>
      <c r="BA199" s="74"/>
      <c r="BQ199" s="108" t="n">
        <v>36907.7428240741</v>
      </c>
      <c r="BR199" s="109" t="n">
        <v>36907.743287037</v>
      </c>
      <c r="BS199" s="110" t="n">
        <v>41883</v>
      </c>
      <c r="BT199" s="111" t="n">
        <v>77911.390625</v>
      </c>
      <c r="BU199" s="112" t="n">
        <v>55650.9921875</v>
      </c>
      <c r="BV199" s="112" t="n">
        <v>14840.2646484375</v>
      </c>
      <c r="BW199" s="112" t="n">
        <v>18550.330078125</v>
      </c>
      <c r="BX199" s="113" t="n">
        <v>0</v>
      </c>
      <c r="BZ199" s="110" t="n">
        <v>41944</v>
      </c>
      <c r="CA199" s="185" t="n">
        <v>31</v>
      </c>
      <c r="CB199" s="116" t="n">
        <v>31</v>
      </c>
      <c r="CC199" s="181" t="n">
        <v>31</v>
      </c>
      <c r="CD199" s="181" t="n">
        <v>31</v>
      </c>
      <c r="CE199" s="117" t="n">
        <v>1</v>
      </c>
    </row>
    <row r="200" customFormat="false" ht="12.75" hidden="false" customHeight="false" outlineLevel="0" collapsed="false">
      <c r="A200" s="0" t="n">
        <f aca="true">IF(ISERROR(MATCH(D200,iRefDt,0)),"",MATCH(D200,iRefDt,0))</f>
        <v>200</v>
      </c>
      <c r="B200" s="92" t="n">
        <f aca="false">MATCH(YEAR(D200),iSpreads)</f>
        <v>14</v>
      </c>
      <c r="C200" s="0" t="n">
        <f aca="false">MONTH(D200)</f>
        <v>12</v>
      </c>
      <c r="D200" s="93" t="n">
        <f aca="false">DATE(YEAR(D199),MONTH(D199)+1,1)</f>
        <v>41974</v>
      </c>
      <c r="E200" s="94" t="n">
        <f aca="false">VLOOKUP($D200,tblPriorPrice,2)</f>
        <v>32</v>
      </c>
      <c r="F200" s="190" t="n">
        <f aca="false">G200-E200</f>
        <v>0</v>
      </c>
      <c r="G200" s="190" t="n">
        <f aca="true">G188+OFFSET($CG$4,$B200,$C200)</f>
        <v>32</v>
      </c>
      <c r="H200" s="96" t="n">
        <f aca="true">G200+OFFSET($CU$4,$B200,$C200)</f>
        <v>27</v>
      </c>
      <c r="I200" s="96" t="n">
        <f aca="true">G200+OFFSET($DI$4,$B200,$C200)</f>
        <v>60</v>
      </c>
      <c r="J200" s="94" t="n">
        <f aca="false">VLOOKUP($D200,tblPriorPrice,3)</f>
        <v>29</v>
      </c>
      <c r="K200" s="190" t="n">
        <f aca="false">L200-J200</f>
        <v>0</v>
      </c>
      <c r="L200" s="190" t="n">
        <f aca="true">L188+OFFSET($CG$27,$B200,$C200)</f>
        <v>29</v>
      </c>
      <c r="M200" s="96" t="n">
        <f aca="true">$L200+OFFSET($CU$27,$B200,$C200)</f>
        <v>24</v>
      </c>
      <c r="N200" s="97" t="n">
        <f aca="true">$L200+OFFSET($DI$27,$B200,$C200)</f>
        <v>47</v>
      </c>
      <c r="O200" s="59" t="n">
        <f aca="true">IF($A200="",0,INDEX(tblPosn,$A200,2))</f>
        <v>80269.1953125</v>
      </c>
      <c r="P200" s="59" t="n">
        <f aca="true">IF($A200="",0,INDEX(tblPosn,$A200,3))</f>
        <v>56553.296875</v>
      </c>
      <c r="Q200" s="59" t="n">
        <f aca="true">IF($A200="",0,INDEX(tblPosn,$A200,4))</f>
        <v>14594.3984375</v>
      </c>
      <c r="R200" s="59" t="n">
        <f aca="true">IF($A200="",0,INDEX(tblPosn,$A200,5))</f>
        <v>18242.998046875</v>
      </c>
      <c r="S200" s="59" t="n">
        <f aca="true">IF($A200="",0,INDEX(tblPosn,$A200,6))</f>
        <v>0</v>
      </c>
      <c r="T200" s="98" t="n">
        <f aca="false">O200*F200+P200*K200+R200*AC200+S200*AH200/0.72+Q200*X200</f>
        <v>0</v>
      </c>
      <c r="V200" s="161" t="n">
        <f aca="false">D200</f>
        <v>41974</v>
      </c>
      <c r="W200" s="94" t="n">
        <f aca="false">VLOOKUP($D200,tblPriorPrice,4)</f>
        <v>29</v>
      </c>
      <c r="X200" s="95" t="n">
        <f aca="false">Y200-W200</f>
        <v>0</v>
      </c>
      <c r="Y200" s="191" t="n">
        <f aca="true">Y188+OFFSET($CG$50,$B200,$C200)</f>
        <v>29</v>
      </c>
      <c r="Z200" s="96" t="n">
        <f aca="true">Y200+OFFSET($CU$51,$B200,$C200)</f>
        <v>24</v>
      </c>
      <c r="AA200" s="177" t="n">
        <f aca="true">Y200+OFFSET($DI$51,$B200,$C200)</f>
        <v>58</v>
      </c>
      <c r="AB200" s="94" t="n">
        <f aca="false">VLOOKUP($D200,tblPriorPrice,5)</f>
        <v>29</v>
      </c>
      <c r="AC200" s="190" t="n">
        <f aca="false">AD200-AB200</f>
        <v>0</v>
      </c>
      <c r="AD200" s="191" t="n">
        <f aca="true">AD188+OFFSET($CG$73,$B200,$C200)</f>
        <v>29</v>
      </c>
      <c r="AE200" s="96" t="n">
        <f aca="true">AD200+OFFSET($CU$74,$B200,$C200)</f>
        <v>24</v>
      </c>
      <c r="AF200" s="177" t="n">
        <f aca="true">AD200+OFFSET($DI$74,$B200,$C200)</f>
        <v>58</v>
      </c>
      <c r="AG200" s="94" t="n">
        <f aca="false">VLOOKUP($D200,tblPriorPrice,6)</f>
        <v>1</v>
      </c>
      <c r="AH200" s="190" t="n">
        <f aca="false">AI200-AG200</f>
        <v>0</v>
      </c>
      <c r="AI200" s="191" t="n">
        <f aca="true">AI188+OFFSET($CG$96,$B200,$C200)</f>
        <v>1</v>
      </c>
      <c r="AJ200" s="96" t="n">
        <f aca="true">AI200+OFFSET($CU$96,$B200,$C200)</f>
        <v>1</v>
      </c>
      <c r="AK200" s="97" t="n">
        <f aca="true">AI200+OFFSET($DI$96,$B200,$C200)</f>
        <v>1</v>
      </c>
      <c r="AL200" s="178" t="n">
        <v>57</v>
      </c>
      <c r="AM200" s="165" t="n">
        <v>0.4</v>
      </c>
      <c r="AN200" s="167" t="n">
        <f aca="false">'[3]Pricing Summary'!$AM178</f>
        <v>0.17</v>
      </c>
      <c r="AO200" s="167" t="n">
        <f aca="false">0.9*AN200</f>
        <v>0.153</v>
      </c>
      <c r="AP200" s="166" t="n">
        <f aca="false">1.5*AN200</f>
        <v>0.255</v>
      </c>
      <c r="AQ200" s="167" t="n">
        <f aca="false">AN200</f>
        <v>0.17</v>
      </c>
      <c r="AR200" s="166" t="n">
        <f aca="false">0.8*AQ200</f>
        <v>0.136</v>
      </c>
      <c r="AS200" s="166" t="n">
        <f aca="false">1.2*AQ200</f>
        <v>0.204</v>
      </c>
      <c r="AT200" s="169" t="n">
        <f aca="false">IF(G200&lt;110,17.94063*(LN(G200/100))+6.727568*(LN(G200/100)^2)+15.06494,(-4.1*G200+2135)/100)*0.5</f>
        <v>1.67862159684781</v>
      </c>
      <c r="AU200" s="169" t="n">
        <f aca="false">(0.75*AT200-AT200)</f>
        <v>-0.419655399211954</v>
      </c>
      <c r="AV200" s="166" t="n">
        <f aca="false">AT200/0.5*1.25-AT200</f>
        <v>2.51793239527172</v>
      </c>
      <c r="AW200" s="168" t="n">
        <f aca="false">IF(L200&lt;15,(15*L200+375)/100,(-4.71*L200+670.65)/100)*0.5</f>
        <v>2.6703</v>
      </c>
      <c r="AX200" s="166" t="n">
        <f aca="false">0.75*AW200-AW200</f>
        <v>-0.667575</v>
      </c>
      <c r="AY200" s="166" t="n">
        <f aca="false">AW200/0.5*1.25-AW200</f>
        <v>4.00545</v>
      </c>
      <c r="AZ200" s="167" t="n">
        <v>0.5</v>
      </c>
      <c r="BA200" s="74"/>
      <c r="BQ200" s="108" t="n">
        <v>36907.7428240741</v>
      </c>
      <c r="BR200" s="109" t="n">
        <v>36907.743287037</v>
      </c>
      <c r="BS200" s="110" t="n">
        <v>41913</v>
      </c>
      <c r="BT200" s="111" t="n">
        <v>84852.328125</v>
      </c>
      <c r="BU200" s="112" t="n">
        <v>57413.66796875</v>
      </c>
      <c r="BV200" s="112" t="n">
        <v>14756.9267578125</v>
      </c>
      <c r="BW200" s="112" t="n">
        <v>14756.9267578125</v>
      </c>
      <c r="BX200" s="113" t="n">
        <v>0</v>
      </c>
      <c r="BZ200" s="110" t="n">
        <v>41974</v>
      </c>
      <c r="CA200" s="185" t="n">
        <v>32</v>
      </c>
      <c r="CB200" s="116" t="n">
        <v>29</v>
      </c>
      <c r="CC200" s="181" t="n">
        <v>29</v>
      </c>
      <c r="CD200" s="181" t="n">
        <v>29</v>
      </c>
      <c r="CE200" s="117" t="n">
        <v>1</v>
      </c>
    </row>
    <row r="201" customFormat="false" ht="12.75" hidden="false" customHeight="false" outlineLevel="0" collapsed="false">
      <c r="A201" s="0" t="n">
        <f aca="true">IF(ISERROR(MATCH(D201,iRefDt,0)),"",MATCH(D201,iRefDt,0))</f>
        <v>201</v>
      </c>
      <c r="B201" s="92" t="n">
        <f aca="false">MATCH(YEAR(D201),iSpreads)</f>
        <v>15</v>
      </c>
      <c r="C201" s="0" t="n">
        <f aca="false">MONTH(D201)</f>
        <v>1</v>
      </c>
      <c r="D201" s="93" t="n">
        <f aca="false">DATE(YEAR(D200),MONTH(D200)+1,1)</f>
        <v>42005</v>
      </c>
      <c r="E201" s="94" t="n">
        <f aca="false">VLOOKUP($D201,tblPriorPrice,2)</f>
        <v>33</v>
      </c>
      <c r="F201" s="190" t="n">
        <f aca="false">G201-E201</f>
        <v>0</v>
      </c>
      <c r="G201" s="190" t="n">
        <f aca="true">G189+OFFSET($CG$4,$B201,$C201)</f>
        <v>33</v>
      </c>
      <c r="H201" s="96" t="n">
        <f aca="true">G201+OFFSET($CU$4,$B201,$C201)</f>
        <v>28</v>
      </c>
      <c r="I201" s="96" t="n">
        <f aca="true">G201+OFFSET($DI$4,$B201,$C201)</f>
        <v>62</v>
      </c>
      <c r="J201" s="94" t="n">
        <f aca="false">VLOOKUP($D201,tblPriorPrice,3)</f>
        <v>31</v>
      </c>
      <c r="K201" s="190" t="n">
        <f aca="false">L201-J201</f>
        <v>0</v>
      </c>
      <c r="L201" s="190" t="n">
        <f aca="true">L189+OFFSET($CG$27,$B201,$C201)</f>
        <v>31</v>
      </c>
      <c r="M201" s="96" t="n">
        <f aca="true">$L201+OFFSET($CU$27,$B201,$C201)</f>
        <v>26</v>
      </c>
      <c r="N201" s="97" t="n">
        <f aca="true">$L201+OFFSET($DI$27,$B201,$C201)</f>
        <v>50</v>
      </c>
      <c r="O201" s="59" t="n">
        <f aca="true">IF($A201="",0,INDEX(tblPosn,$A201,2))</f>
        <v>72557.625</v>
      </c>
      <c r="P201" s="59" t="n">
        <f aca="true">IF($A201="",0,INDEX(tblPosn,$A201,3))</f>
        <v>56232.15625</v>
      </c>
      <c r="Q201" s="59" t="n">
        <f aca="true">IF($A201="",0,INDEX(tblPosn,$A201,4))</f>
        <v>18139.40625</v>
      </c>
      <c r="R201" s="59" t="n">
        <f aca="true">IF($A201="",0,INDEX(tblPosn,$A201,5))</f>
        <v>21767.287109375</v>
      </c>
      <c r="S201" s="59" t="n">
        <f aca="true">IF($A201="",0,INDEX(tblPosn,$A201,6))</f>
        <v>0</v>
      </c>
      <c r="T201" s="98" t="n">
        <f aca="false">O201*F201+P201*K201+R201*AC201+S201*AH201/0.72+Q201*X201</f>
        <v>0</v>
      </c>
      <c r="V201" s="161" t="n">
        <f aca="false">D201</f>
        <v>42005</v>
      </c>
      <c r="W201" s="94" t="n">
        <f aca="false">VLOOKUP($D201,tblPriorPrice,4)</f>
        <v>31</v>
      </c>
      <c r="X201" s="95" t="n">
        <f aca="false">Y201-W201</f>
        <v>0</v>
      </c>
      <c r="Y201" s="191" t="n">
        <f aca="true">Y189+OFFSET($CG$50,$B201,$C201)</f>
        <v>31</v>
      </c>
      <c r="Z201" s="96" t="n">
        <f aca="true">Y201+OFFSET($CU$51,$B201,$C201)</f>
        <v>26</v>
      </c>
      <c r="AA201" s="177" t="n">
        <f aca="true">Y201+OFFSET($DI$51,$B201,$C201)</f>
        <v>61</v>
      </c>
      <c r="AB201" s="94" t="n">
        <f aca="false">VLOOKUP($D201,tblPriorPrice,5)</f>
        <v>31</v>
      </c>
      <c r="AC201" s="190" t="n">
        <f aca="false">AD201-AB201</f>
        <v>0</v>
      </c>
      <c r="AD201" s="191" t="n">
        <f aca="true">AD189+OFFSET($CG$73,$B201,$C201)</f>
        <v>31</v>
      </c>
      <c r="AE201" s="96" t="n">
        <f aca="true">AD201+OFFSET($CU$74,$B201,$C201)</f>
        <v>26</v>
      </c>
      <c r="AF201" s="177" t="n">
        <f aca="true">AD201+OFFSET($DI$74,$B201,$C201)</f>
        <v>61</v>
      </c>
      <c r="AG201" s="94" t="n">
        <f aca="false">VLOOKUP($D201,tblPriorPrice,6)</f>
        <v>1</v>
      </c>
      <c r="AH201" s="190" t="n">
        <f aca="false">AI201-AG201</f>
        <v>0</v>
      </c>
      <c r="AI201" s="191" t="n">
        <f aca="true">AI189+OFFSET($CG$96,$B201,$C201)</f>
        <v>1</v>
      </c>
      <c r="AJ201" s="96" t="n">
        <f aca="true">AI201+OFFSET($CU$96,$B201,$C201)</f>
        <v>1</v>
      </c>
      <c r="AK201" s="97" t="n">
        <f aca="true">AI201+OFFSET($DI$96,$B201,$C201)</f>
        <v>1</v>
      </c>
      <c r="AL201" s="178" t="n">
        <v>57</v>
      </c>
      <c r="AM201" s="165" t="n">
        <v>0.4</v>
      </c>
      <c r="AN201" s="167" t="n">
        <f aca="false">'[3]Pricing Summary'!$AM179</f>
        <v>0.17</v>
      </c>
      <c r="AO201" s="167" t="n">
        <f aca="false">0.9*AN201</f>
        <v>0.153</v>
      </c>
      <c r="AP201" s="166" t="n">
        <f aca="false">1.5*AN201</f>
        <v>0.255</v>
      </c>
      <c r="AQ201" s="167" t="n">
        <f aca="false">AN201</f>
        <v>0.17</v>
      </c>
      <c r="AR201" s="166" t="n">
        <f aca="false">0.8*AQ201</f>
        <v>0.136</v>
      </c>
      <c r="AS201" s="166" t="n">
        <f aca="false">1.2*AQ201</f>
        <v>0.204</v>
      </c>
      <c r="AT201" s="169" t="n">
        <f aca="false">IF(G201&lt;110,17.94063*(LN(G201/100))+6.727568*(LN(G201/100)^2)+15.06494,(-4.1*G201+2135)/100)*0.5</f>
        <v>1.72195432632388</v>
      </c>
      <c r="AU201" s="169" t="n">
        <f aca="false">(0.75*AT201-AT201)</f>
        <v>-0.43048858158097</v>
      </c>
      <c r="AV201" s="166" t="n">
        <f aca="false">AT201/0.5*1.25-AT201</f>
        <v>2.58293148948582</v>
      </c>
      <c r="AW201" s="168" t="n">
        <f aca="false">IF(L201&lt;15,(15*L201+375)/100,(-4.71*L201+670.65)/100)*0.5</f>
        <v>2.6232</v>
      </c>
      <c r="AX201" s="166" t="n">
        <f aca="false">0.75*AW201-AW201</f>
        <v>-0.6558</v>
      </c>
      <c r="AY201" s="166" t="n">
        <f aca="false">AW201/0.5*1.25-AW201</f>
        <v>3.9348</v>
      </c>
      <c r="AZ201" s="167" t="n">
        <v>0.5</v>
      </c>
      <c r="BA201" s="74"/>
      <c r="BQ201" s="108" t="n">
        <v>36907.7428240741</v>
      </c>
      <c r="BR201" s="109" t="n">
        <v>36907.743287037</v>
      </c>
      <c r="BS201" s="110" t="n">
        <v>41944</v>
      </c>
      <c r="BT201" s="111" t="n">
        <v>69710.828125</v>
      </c>
      <c r="BU201" s="112" t="n">
        <v>55034.8671875</v>
      </c>
      <c r="BV201" s="112" t="n">
        <v>18344.955078125</v>
      </c>
      <c r="BW201" s="112" t="n">
        <v>22013.9453125</v>
      </c>
      <c r="BX201" s="113" t="n">
        <v>0</v>
      </c>
      <c r="BZ201" s="110" t="n">
        <v>42005</v>
      </c>
      <c r="CA201" s="185" t="n">
        <v>33</v>
      </c>
      <c r="CB201" s="116" t="n">
        <v>31</v>
      </c>
      <c r="CC201" s="181" t="n">
        <v>31</v>
      </c>
      <c r="CD201" s="181" t="n">
        <v>31</v>
      </c>
      <c r="CE201" s="117" t="n">
        <v>1</v>
      </c>
    </row>
    <row r="202" customFormat="false" ht="12.75" hidden="false" customHeight="false" outlineLevel="0" collapsed="false">
      <c r="A202" s="0" t="n">
        <f aca="true">IF(ISERROR(MATCH(D202,iRefDt,0)),"",MATCH(D202,iRefDt,0))</f>
        <v>202</v>
      </c>
      <c r="B202" s="92" t="n">
        <f aca="false">MATCH(YEAR(D202),iSpreads)</f>
        <v>15</v>
      </c>
      <c r="C202" s="0" t="n">
        <f aca="false">MONTH(D202)</f>
        <v>2</v>
      </c>
      <c r="D202" s="93" t="n">
        <f aca="false">DATE(YEAR(D201),MONTH(D201)+1,1)</f>
        <v>42036</v>
      </c>
      <c r="E202" s="94" t="n">
        <f aca="false">VLOOKUP($D202,tblPriorPrice,2)</f>
        <v>30</v>
      </c>
      <c r="F202" s="190" t="n">
        <f aca="false">G202-E202</f>
        <v>0</v>
      </c>
      <c r="G202" s="190" t="n">
        <f aca="true">G190+OFFSET($CG$4,$B202,$C202)</f>
        <v>30</v>
      </c>
      <c r="H202" s="96" t="n">
        <f aca="true">G202+OFFSET($CU$4,$B202,$C202)</f>
        <v>25</v>
      </c>
      <c r="I202" s="96" t="n">
        <f aca="true">G202+OFFSET($DI$4,$B202,$C202)</f>
        <v>59</v>
      </c>
      <c r="J202" s="94" t="n">
        <f aca="false">VLOOKUP($D202,tblPriorPrice,3)</f>
        <v>30</v>
      </c>
      <c r="K202" s="190" t="n">
        <f aca="false">L202-J202</f>
        <v>0</v>
      </c>
      <c r="L202" s="190" t="n">
        <f aca="true">L190+OFFSET($CG$27,$B202,$C202)</f>
        <v>30</v>
      </c>
      <c r="M202" s="96" t="n">
        <f aca="true">$L202+OFFSET($CU$27,$B202,$C202)</f>
        <v>25</v>
      </c>
      <c r="N202" s="97" t="n">
        <f aca="true">$L202+OFFSET($DI$27,$B202,$C202)</f>
        <v>49</v>
      </c>
      <c r="O202" s="59" t="n">
        <f aca="true">IF($A202="",0,INDEX(tblPosn,$A202,2))</f>
        <v>68578.640625</v>
      </c>
      <c r="P202" s="59" t="n">
        <f aca="true">IF($A202="",0,INDEX(tblPosn,$A202,3))</f>
        <v>50531.62890625</v>
      </c>
      <c r="Q202" s="59" t="n">
        <f aca="true">IF($A202="",0,INDEX(tblPosn,$A202,4))</f>
        <v>14437.6083984375</v>
      </c>
      <c r="R202" s="59" t="n">
        <f aca="true">IF($A202="",0,INDEX(tblPosn,$A202,5))</f>
        <v>18047.009765625</v>
      </c>
      <c r="S202" s="59" t="n">
        <f aca="true">IF($A202="",0,INDEX(tblPosn,$A202,6))</f>
        <v>0</v>
      </c>
      <c r="T202" s="98" t="n">
        <f aca="false">O202*F202+P202*K202+R202*AC202+S202*AH202/0.72+Q202*X202</f>
        <v>0</v>
      </c>
      <c r="V202" s="161" t="n">
        <f aca="false">D202</f>
        <v>42036</v>
      </c>
      <c r="W202" s="94" t="n">
        <f aca="false">VLOOKUP($D202,tblPriorPrice,4)</f>
        <v>30</v>
      </c>
      <c r="X202" s="95" t="n">
        <f aca="false">Y202-W202</f>
        <v>0</v>
      </c>
      <c r="Y202" s="191" t="n">
        <f aca="true">Y190+OFFSET($CG$50,$B202,$C202)</f>
        <v>30</v>
      </c>
      <c r="Z202" s="96" t="n">
        <f aca="true">Y202+OFFSET($CU$51,$B202,$C202)</f>
        <v>25</v>
      </c>
      <c r="AA202" s="177" t="n">
        <f aca="true">Y202+OFFSET($DI$51,$B202,$C202)</f>
        <v>60</v>
      </c>
      <c r="AB202" s="94" t="n">
        <f aca="false">VLOOKUP($D202,tblPriorPrice,5)</f>
        <v>30</v>
      </c>
      <c r="AC202" s="190" t="n">
        <f aca="false">AD202-AB202</f>
        <v>0</v>
      </c>
      <c r="AD202" s="191" t="n">
        <f aca="true">AD190+OFFSET($CG$73,$B202,$C202)</f>
        <v>30</v>
      </c>
      <c r="AE202" s="96" t="n">
        <f aca="true">AD202+OFFSET($CU$74,$B202,$C202)</f>
        <v>25</v>
      </c>
      <c r="AF202" s="177" t="n">
        <f aca="true">AD202+OFFSET($DI$74,$B202,$C202)</f>
        <v>60</v>
      </c>
      <c r="AG202" s="94" t="n">
        <f aca="false">VLOOKUP($D202,tblPriorPrice,6)</f>
        <v>1</v>
      </c>
      <c r="AH202" s="190" t="n">
        <f aca="false">AI202-AG202</f>
        <v>0</v>
      </c>
      <c r="AI202" s="191" t="n">
        <f aca="true">AI190+OFFSET($CG$96,$B202,$C202)</f>
        <v>1</v>
      </c>
      <c r="AJ202" s="96" t="n">
        <f aca="true">AI202+OFFSET($CU$96,$B202,$C202)</f>
        <v>1</v>
      </c>
      <c r="AK202" s="97" t="n">
        <f aca="true">AI202+OFFSET($DI$96,$B202,$C202)</f>
        <v>1</v>
      </c>
      <c r="AL202" s="178" t="n">
        <v>57</v>
      </c>
      <c r="AM202" s="165" t="n">
        <v>0.4</v>
      </c>
      <c r="AN202" s="167" t="n">
        <f aca="false">'[3]Pricing Summary'!$AM180</f>
        <v>0.17</v>
      </c>
      <c r="AO202" s="167" t="n">
        <f aca="false">0.9*AN202</f>
        <v>0.153</v>
      </c>
      <c r="AP202" s="166" t="n">
        <f aca="false">1.5*AN202</f>
        <v>0.255</v>
      </c>
      <c r="AQ202" s="167" t="n">
        <f aca="false">AN202</f>
        <v>0.17</v>
      </c>
      <c r="AR202" s="166" t="n">
        <f aca="false">0.8*AQ202</f>
        <v>0.136</v>
      </c>
      <c r="AS202" s="166" t="n">
        <f aca="false">1.2*AQ202</f>
        <v>0.204</v>
      </c>
      <c r="AT202" s="169" t="n">
        <f aca="false">IF(G202&lt;110,17.94063*(LN(G202/100))+6.727568*(LN(G202/100)^2)+15.06494,(-4.1*G202+2135)/100)*0.5</f>
        <v>1.60842951845599</v>
      </c>
      <c r="AU202" s="169" t="n">
        <f aca="false">(0.75*AT202-AT202)</f>
        <v>-0.402107379613998</v>
      </c>
      <c r="AV202" s="166" t="n">
        <f aca="false">AT202/0.5*1.25-AT202</f>
        <v>2.41264427768399</v>
      </c>
      <c r="AW202" s="168" t="n">
        <f aca="false">IF(L202&lt;15,(15*L202+375)/100,(-4.71*L202+670.65)/100)*0.5</f>
        <v>2.64675</v>
      </c>
      <c r="AX202" s="166" t="n">
        <f aca="false">0.75*AW202-AW202</f>
        <v>-0.6616875</v>
      </c>
      <c r="AY202" s="166" t="n">
        <f aca="false">AW202/0.5*1.25-AW202</f>
        <v>3.970125</v>
      </c>
      <c r="AZ202" s="167" t="n">
        <v>0.5</v>
      </c>
      <c r="BA202" s="74"/>
      <c r="BQ202" s="108" t="n">
        <v>36907.7428240741</v>
      </c>
      <c r="BR202" s="109" t="n">
        <v>36907.743287037</v>
      </c>
      <c r="BS202" s="110" t="n">
        <v>41974</v>
      </c>
      <c r="BT202" s="111" t="n">
        <v>80269.1953125</v>
      </c>
      <c r="BU202" s="112" t="n">
        <v>56553.296875</v>
      </c>
      <c r="BV202" s="112" t="n">
        <v>14594.3984375</v>
      </c>
      <c r="BW202" s="112" t="n">
        <v>18242.998046875</v>
      </c>
      <c r="BX202" s="113" t="n">
        <v>0</v>
      </c>
      <c r="BZ202" s="110" t="n">
        <v>42036</v>
      </c>
      <c r="CA202" s="185" t="n">
        <v>30</v>
      </c>
      <c r="CB202" s="116" t="n">
        <v>30</v>
      </c>
      <c r="CC202" s="181" t="n">
        <v>30</v>
      </c>
      <c r="CD202" s="181" t="n">
        <v>30</v>
      </c>
      <c r="CE202" s="117" t="n">
        <v>1</v>
      </c>
    </row>
    <row r="203" customFormat="false" ht="12.75" hidden="false" customHeight="false" outlineLevel="0" collapsed="false">
      <c r="A203" s="0" t="n">
        <f aca="true">IF(ISERROR(MATCH(D203,iRefDt,0)),"",MATCH(D203,iRefDt,0))</f>
        <v>203</v>
      </c>
      <c r="B203" s="92" t="n">
        <f aca="false">MATCH(YEAR(D203),iSpreads)</f>
        <v>15</v>
      </c>
      <c r="C203" s="0" t="n">
        <f aca="false">MONTH(D203)</f>
        <v>3</v>
      </c>
      <c r="D203" s="93" t="n">
        <f aca="false">DATE(YEAR(D202),MONTH(D202)+1,1)</f>
        <v>42064</v>
      </c>
      <c r="E203" s="94" t="n">
        <f aca="false">VLOOKUP($D203,tblPriorPrice,2)</f>
        <v>29</v>
      </c>
      <c r="F203" s="190" t="n">
        <f aca="false">G203-E203</f>
        <v>0</v>
      </c>
      <c r="G203" s="190" t="n">
        <f aca="true">G191+OFFSET($CG$4,$B203,$C203)</f>
        <v>29</v>
      </c>
      <c r="H203" s="96" t="n">
        <f aca="true">G203+OFFSET($CU$4,$B203,$C203)</f>
        <v>24</v>
      </c>
      <c r="I203" s="96" t="n">
        <f aca="true">G203+OFFSET($DI$4,$B203,$C203)</f>
        <v>58</v>
      </c>
      <c r="J203" s="94" t="n">
        <f aca="false">VLOOKUP($D203,tblPriorPrice,3)</f>
        <v>29</v>
      </c>
      <c r="K203" s="190" t="n">
        <f aca="false">L203-J203</f>
        <v>0</v>
      </c>
      <c r="L203" s="190" t="n">
        <f aca="true">L191+OFFSET($CG$27,$B203,$C203)</f>
        <v>29</v>
      </c>
      <c r="M203" s="96" t="n">
        <f aca="true">$L203+OFFSET($CU$27,$B203,$C203)</f>
        <v>24</v>
      </c>
      <c r="N203" s="97" t="n">
        <f aca="true">$L203+OFFSET($DI$27,$B203,$C203)</f>
        <v>48</v>
      </c>
      <c r="O203" s="59" t="n">
        <f aca="true">IF($A203="",0,INDEX(tblPosn,$A203,2))</f>
        <v>78962.40625</v>
      </c>
      <c r="P203" s="59" t="n">
        <f aca="true">IF($A203="",0,INDEX(tblPosn,$A203,3))</f>
        <v>55632.60546875</v>
      </c>
      <c r="Q203" s="59" t="n">
        <f aca="true">IF($A203="",0,INDEX(tblPosn,$A203,4))</f>
        <v>14356.80078125</v>
      </c>
      <c r="R203" s="59" t="n">
        <f aca="true">IF($A203="",0,INDEX(tblPosn,$A203,5))</f>
        <v>17946</v>
      </c>
      <c r="S203" s="59" t="n">
        <f aca="true">IF($A203="",0,INDEX(tblPosn,$A203,6))</f>
        <v>0</v>
      </c>
      <c r="T203" s="98" t="n">
        <f aca="false">O203*F203+P203*K203+R203*AC203+S203*AH203/0.72+Q203*X203</f>
        <v>0</v>
      </c>
      <c r="V203" s="161" t="n">
        <f aca="false">D203</f>
        <v>42064</v>
      </c>
      <c r="W203" s="94" t="n">
        <f aca="false">VLOOKUP($D203,tblPriorPrice,4)</f>
        <v>29</v>
      </c>
      <c r="X203" s="95" t="n">
        <f aca="false">Y203-W203</f>
        <v>0</v>
      </c>
      <c r="Y203" s="191" t="n">
        <f aca="true">Y191+OFFSET($CG$50,$B203,$C203)</f>
        <v>29</v>
      </c>
      <c r="Z203" s="96" t="n">
        <f aca="true">Y203+OFFSET($CU$51,$B203,$C203)</f>
        <v>24</v>
      </c>
      <c r="AA203" s="177" t="n">
        <f aca="true">Y203+OFFSET($DI$51,$B203,$C203)</f>
        <v>59</v>
      </c>
      <c r="AB203" s="94" t="n">
        <f aca="false">VLOOKUP($D203,tblPriorPrice,5)</f>
        <v>29</v>
      </c>
      <c r="AC203" s="190" t="n">
        <f aca="false">AD203-AB203</f>
        <v>0</v>
      </c>
      <c r="AD203" s="191" t="n">
        <f aca="true">AD191+OFFSET($CG$73,$B203,$C203)</f>
        <v>29</v>
      </c>
      <c r="AE203" s="96" t="n">
        <f aca="true">AD203+OFFSET($CU$74,$B203,$C203)</f>
        <v>24</v>
      </c>
      <c r="AF203" s="177" t="n">
        <f aca="true">AD203+OFFSET($DI$74,$B203,$C203)</f>
        <v>59</v>
      </c>
      <c r="AG203" s="94" t="n">
        <f aca="false">VLOOKUP($D203,tblPriorPrice,6)</f>
        <v>1</v>
      </c>
      <c r="AH203" s="190" t="n">
        <f aca="false">AI203-AG203</f>
        <v>0</v>
      </c>
      <c r="AI203" s="191" t="n">
        <f aca="true">AI191+OFFSET($CG$96,$B203,$C203)</f>
        <v>1</v>
      </c>
      <c r="AJ203" s="96" t="n">
        <f aca="true">AI203+OFFSET($CU$96,$B203,$C203)</f>
        <v>1</v>
      </c>
      <c r="AK203" s="97" t="n">
        <f aca="true">AI203+OFFSET($DI$96,$B203,$C203)</f>
        <v>1</v>
      </c>
      <c r="AL203" s="178" t="n">
        <v>58</v>
      </c>
      <c r="AM203" s="165" t="n">
        <v>0.4</v>
      </c>
      <c r="AN203" s="167" t="n">
        <f aca="false">'[3]Pricing Summary'!$AM181</f>
        <v>0.17</v>
      </c>
      <c r="AO203" s="167" t="n">
        <f aca="false">0.9*AN203</f>
        <v>0.153</v>
      </c>
      <c r="AP203" s="166" t="n">
        <f aca="false">1.5*AN203</f>
        <v>0.255</v>
      </c>
      <c r="AQ203" s="167" t="n">
        <f aca="false">AN203</f>
        <v>0.17</v>
      </c>
      <c r="AR203" s="166" t="n">
        <f aca="false">0.8*AQ203</f>
        <v>0.136</v>
      </c>
      <c r="AS203" s="166" t="n">
        <f aca="false">1.2*AQ203</f>
        <v>0.204</v>
      </c>
      <c r="AT203" s="169" t="n">
        <f aca="false">IF(G203&lt;110,17.94063*(LN(G203/100))+6.727568*(LN(G203/100)^2)+15.06494,(-4.1*G203+2135)/100)*0.5</f>
        <v>1.58278405940532</v>
      </c>
      <c r="AU203" s="169" t="n">
        <f aca="false">(0.75*AT203-AT203)</f>
        <v>-0.395696014851329</v>
      </c>
      <c r="AV203" s="166" t="n">
        <f aca="false">AT203/0.5*1.25-AT203</f>
        <v>2.37417608910797</v>
      </c>
      <c r="AW203" s="168" t="n">
        <f aca="false">IF(L203&lt;15,(15*L203+375)/100,(-4.71*L203+670.65)/100)*0.5</f>
        <v>2.6703</v>
      </c>
      <c r="AX203" s="166" t="n">
        <f aca="false">0.75*AW203-AW203</f>
        <v>-0.667575</v>
      </c>
      <c r="AY203" s="166" t="n">
        <f aca="false">AW203/0.5*1.25-AW203</f>
        <v>4.00545</v>
      </c>
      <c r="AZ203" s="167" t="n">
        <v>0.5</v>
      </c>
      <c r="BA203" s="74"/>
      <c r="BQ203" s="108" t="n">
        <v>36907.7428240741</v>
      </c>
      <c r="BR203" s="109" t="n">
        <v>36907.743287037</v>
      </c>
      <c r="BS203" s="110" t="n">
        <v>42005</v>
      </c>
      <c r="BT203" s="111" t="n">
        <v>72557.625</v>
      </c>
      <c r="BU203" s="112" t="n">
        <v>56232.15625</v>
      </c>
      <c r="BV203" s="112" t="n">
        <v>18139.40625</v>
      </c>
      <c r="BW203" s="112" t="n">
        <v>21767.287109375</v>
      </c>
      <c r="BX203" s="113" t="n">
        <v>0</v>
      </c>
      <c r="BZ203" s="110" t="n">
        <v>42064</v>
      </c>
      <c r="CA203" s="185" t="n">
        <v>29</v>
      </c>
      <c r="CB203" s="116" t="n">
        <v>29</v>
      </c>
      <c r="CC203" s="181" t="n">
        <v>29</v>
      </c>
      <c r="CD203" s="181" t="n">
        <v>29</v>
      </c>
      <c r="CE203" s="117" t="n">
        <v>1</v>
      </c>
    </row>
    <row r="204" customFormat="false" ht="12.75" hidden="false" customHeight="false" outlineLevel="0" collapsed="false">
      <c r="A204" s="0" t="n">
        <f aca="true">IF(ISERROR(MATCH(D204,iRefDt,0)),"",MATCH(D204,iRefDt,0))</f>
        <v>204</v>
      </c>
      <c r="B204" s="92" t="n">
        <f aca="false">MATCH(YEAR(D204),iSpreads)</f>
        <v>15</v>
      </c>
      <c r="C204" s="0" t="n">
        <f aca="false">MONTH(D204)</f>
        <v>4</v>
      </c>
      <c r="D204" s="93" t="n">
        <f aca="false">DATE(YEAR(D203),MONTH(D203)+1,1)</f>
        <v>42095</v>
      </c>
      <c r="E204" s="94" t="n">
        <f aca="false">VLOOKUP($D204,tblPriorPrice,2)</f>
        <v>29</v>
      </c>
      <c r="F204" s="190" t="n">
        <f aca="false">G204-E204</f>
        <v>0</v>
      </c>
      <c r="G204" s="190" t="n">
        <f aca="true">G192+OFFSET($CG$4,$B204,$C204)</f>
        <v>29</v>
      </c>
      <c r="H204" s="96" t="n">
        <f aca="true">G204+OFFSET($CU$4,$B204,$C204)</f>
        <v>24</v>
      </c>
      <c r="I204" s="96" t="n">
        <f aca="true">G204+OFFSET($DI$4,$B204,$C204)</f>
        <v>58</v>
      </c>
      <c r="J204" s="94" t="n">
        <f aca="false">VLOOKUP($D204,tblPriorPrice,3)</f>
        <v>29</v>
      </c>
      <c r="K204" s="190" t="n">
        <f aca="false">L204-J204</f>
        <v>0</v>
      </c>
      <c r="L204" s="190" t="n">
        <f aca="true">L192+OFFSET($CG$27,$B204,$C204)</f>
        <v>29</v>
      </c>
      <c r="M204" s="96" t="n">
        <f aca="true">$L204+OFFSET($CU$27,$B204,$C204)</f>
        <v>24</v>
      </c>
      <c r="N204" s="97" t="n">
        <f aca="true">$L204+OFFSET($DI$27,$B204,$C204)</f>
        <v>48</v>
      </c>
      <c r="O204" s="59" t="n">
        <f aca="true">IF($A204="",0,INDEX(tblPosn,$A204,2))</f>
        <v>74959.3984375</v>
      </c>
      <c r="P204" s="59" t="n">
        <f aca="true">IF($A204="",0,INDEX(tblPosn,$A204,3))</f>
        <v>53319.33203125</v>
      </c>
      <c r="Q204" s="59" t="n">
        <f aca="true">IF($A204="",0,INDEX(tblPosn,$A204,4))</f>
        <v>14277.98046875</v>
      </c>
      <c r="R204" s="59" t="n">
        <f aca="true">IF($A204="",0,INDEX(tblPosn,$A204,5))</f>
        <v>17847.474609375</v>
      </c>
      <c r="S204" s="59" t="n">
        <f aca="true">IF($A204="",0,INDEX(tblPosn,$A204,6))</f>
        <v>0</v>
      </c>
      <c r="T204" s="98" t="n">
        <f aca="false">O204*F204+P204*K204+R204*AC204+S204*AH204/0.72+Q204*X204</f>
        <v>0</v>
      </c>
      <c r="V204" s="161" t="n">
        <f aca="false">D204</f>
        <v>42095</v>
      </c>
      <c r="W204" s="94" t="n">
        <f aca="false">VLOOKUP($D204,tblPriorPrice,4)</f>
        <v>29</v>
      </c>
      <c r="X204" s="95" t="n">
        <f aca="false">Y204-W204</f>
        <v>0</v>
      </c>
      <c r="Y204" s="191" t="n">
        <f aca="true">Y192+OFFSET($CG$50,$B204,$C204)</f>
        <v>29</v>
      </c>
      <c r="Z204" s="96" t="n">
        <f aca="true">Y204+OFFSET($CU$51,$B204,$C204)</f>
        <v>24</v>
      </c>
      <c r="AA204" s="177" t="n">
        <f aca="true">Y204+OFFSET($DI$51,$B204,$C204)</f>
        <v>59</v>
      </c>
      <c r="AB204" s="94" t="n">
        <f aca="false">VLOOKUP($D204,tblPriorPrice,5)</f>
        <v>29</v>
      </c>
      <c r="AC204" s="190" t="n">
        <f aca="false">AD204-AB204</f>
        <v>0</v>
      </c>
      <c r="AD204" s="191" t="n">
        <f aca="true">AD192+OFFSET($CG$73,$B204,$C204)</f>
        <v>29</v>
      </c>
      <c r="AE204" s="96" t="n">
        <f aca="true">AD204+OFFSET($CU$74,$B204,$C204)</f>
        <v>24</v>
      </c>
      <c r="AF204" s="177" t="n">
        <f aca="true">AD204+OFFSET($DI$74,$B204,$C204)</f>
        <v>59</v>
      </c>
      <c r="AG204" s="94" t="n">
        <f aca="false">VLOOKUP($D204,tblPriorPrice,6)</f>
        <v>1</v>
      </c>
      <c r="AH204" s="190" t="n">
        <f aca="false">AI204-AG204</f>
        <v>0</v>
      </c>
      <c r="AI204" s="191" t="n">
        <f aca="true">AI192+OFFSET($CG$96,$B204,$C204)</f>
        <v>1</v>
      </c>
      <c r="AJ204" s="96" t="n">
        <f aca="true">AI204+OFFSET($CU$96,$B204,$C204)</f>
        <v>1</v>
      </c>
      <c r="AK204" s="97" t="n">
        <f aca="true">AI204+OFFSET($DI$96,$B204,$C204)</f>
        <v>1</v>
      </c>
      <c r="AL204" s="178" t="n">
        <v>58</v>
      </c>
      <c r="AM204" s="165" t="n">
        <v>0.4</v>
      </c>
      <c r="AN204" s="167" t="n">
        <f aca="false">'[3]Pricing Summary'!$AM182</f>
        <v>0.17</v>
      </c>
      <c r="AO204" s="167" t="n">
        <f aca="false">0.9*AN204</f>
        <v>0.153</v>
      </c>
      <c r="AP204" s="166" t="n">
        <f aca="false">1.5*AN204</f>
        <v>0.255</v>
      </c>
      <c r="AQ204" s="167" t="n">
        <f aca="false">AN204</f>
        <v>0.17</v>
      </c>
      <c r="AR204" s="166" t="n">
        <f aca="false">0.8*AQ204</f>
        <v>0.136</v>
      </c>
      <c r="AS204" s="166" t="n">
        <f aca="false">1.2*AQ204</f>
        <v>0.204</v>
      </c>
      <c r="AT204" s="169" t="n">
        <f aca="false">IF(G204&lt;110,17.94063*(LN(G204/100))+6.727568*(LN(G204/100)^2)+15.06494,(-4.1*G204+2135)/100)*0.5</f>
        <v>1.58278405940532</v>
      </c>
      <c r="AU204" s="169" t="n">
        <f aca="false">(0.75*AT204-AT204)</f>
        <v>-0.395696014851329</v>
      </c>
      <c r="AV204" s="166" t="n">
        <f aca="false">AT204/0.5*1.25-AT204</f>
        <v>2.37417608910797</v>
      </c>
      <c r="AW204" s="168" t="n">
        <f aca="false">IF(L204&lt;15,(15*L204+375)/100,(-4.71*L204+670.65)/100)*0.5</f>
        <v>2.6703</v>
      </c>
      <c r="AX204" s="166" t="n">
        <f aca="false">0.75*AW204-AW204</f>
        <v>-0.667575</v>
      </c>
      <c r="AY204" s="166" t="n">
        <f aca="false">AW204/0.5*1.25-AW204</f>
        <v>4.00545</v>
      </c>
      <c r="AZ204" s="167" t="n">
        <v>0.5</v>
      </c>
      <c r="BA204" s="74"/>
      <c r="BQ204" s="108" t="n">
        <v>36907.7428240741</v>
      </c>
      <c r="BR204" s="109" t="n">
        <v>36907.743287037</v>
      </c>
      <c r="BS204" s="110" t="n">
        <v>42036</v>
      </c>
      <c r="BT204" s="111" t="n">
        <v>68578.640625</v>
      </c>
      <c r="BU204" s="112" t="n">
        <v>50531.62890625</v>
      </c>
      <c r="BV204" s="112" t="n">
        <v>14437.6083984375</v>
      </c>
      <c r="BW204" s="112" t="n">
        <v>18047.009765625</v>
      </c>
      <c r="BX204" s="113" t="n">
        <v>0</v>
      </c>
      <c r="BZ204" s="110" t="n">
        <v>42095</v>
      </c>
      <c r="CA204" s="185" t="n">
        <v>29</v>
      </c>
      <c r="CB204" s="116" t="n">
        <v>29</v>
      </c>
      <c r="CC204" s="181" t="n">
        <v>29</v>
      </c>
      <c r="CD204" s="181" t="n">
        <v>29</v>
      </c>
      <c r="CE204" s="117" t="n">
        <v>1</v>
      </c>
    </row>
    <row r="205" customFormat="false" ht="12.75" hidden="false" customHeight="false" outlineLevel="0" collapsed="false">
      <c r="A205" s="0" t="n">
        <f aca="true">IF(ISERROR(MATCH(D205,iRefDt,0)),"",MATCH(D205,iRefDt,0))</f>
        <v>205</v>
      </c>
      <c r="B205" s="92" t="n">
        <f aca="false">MATCH(YEAR(D205),iSpreads)</f>
        <v>15</v>
      </c>
      <c r="C205" s="0" t="n">
        <f aca="false">MONTH(D205)</f>
        <v>5</v>
      </c>
      <c r="D205" s="93" t="n">
        <f aca="false">DATE(YEAR(D204),MONTH(D204)+1,1)</f>
        <v>42125</v>
      </c>
      <c r="E205" s="94" t="n">
        <f aca="false">VLOOKUP($D205,tblPriorPrice,2)</f>
        <v>32</v>
      </c>
      <c r="F205" s="190" t="n">
        <f aca="false">G205-E205</f>
        <v>0</v>
      </c>
      <c r="G205" s="190" t="n">
        <f aca="true">G193+OFFSET($CG$4,$B205,$C205)</f>
        <v>32</v>
      </c>
      <c r="H205" s="96" t="n">
        <f aca="true">G205+OFFSET($CU$4,$B205,$C205)</f>
        <v>27</v>
      </c>
      <c r="I205" s="96" t="n">
        <f aca="true">G205+OFFSET($DI$4,$B205,$C205)</f>
        <v>61</v>
      </c>
      <c r="J205" s="94" t="n">
        <f aca="false">VLOOKUP($D205,tblPriorPrice,3)</f>
        <v>32</v>
      </c>
      <c r="K205" s="190" t="n">
        <f aca="false">L205-J205</f>
        <v>0</v>
      </c>
      <c r="L205" s="190" t="n">
        <f aca="true">L193+OFFSET($CG$27,$B205,$C205)</f>
        <v>32</v>
      </c>
      <c r="M205" s="96" t="n">
        <f aca="true">$L205+OFFSET($CU$27,$B205,$C205)</f>
        <v>27</v>
      </c>
      <c r="N205" s="97" t="n">
        <f aca="true">$L205+OFFSET($DI$27,$B205,$C205)</f>
        <v>51</v>
      </c>
      <c r="O205" s="59" t="n">
        <f aca="true">IF($A205="",0,INDEX(tblPosn,$A205,2))</f>
        <v>70982.9375</v>
      </c>
      <c r="P205" s="59" t="n">
        <f aca="true">IF($A205="",0,INDEX(tblPosn,$A205,3))</f>
        <v>55011.78125</v>
      </c>
      <c r="Q205" s="59" t="n">
        <f aca="true">IF($A205="",0,INDEX(tblPosn,$A205,4))</f>
        <v>17745.734375</v>
      </c>
      <c r="R205" s="59" t="n">
        <f aca="true">IF($A205="",0,INDEX(tblPosn,$A205,5))</f>
        <v>21294.880859375</v>
      </c>
      <c r="S205" s="59" t="n">
        <f aca="true">IF($A205="",0,INDEX(tblPosn,$A205,6))</f>
        <v>0</v>
      </c>
      <c r="T205" s="98" t="n">
        <f aca="false">O205*F205+P205*K205+R205*AC205+S205*AH205/0.72+Q205*X205</f>
        <v>0</v>
      </c>
      <c r="V205" s="161" t="n">
        <f aca="false">D205</f>
        <v>42125</v>
      </c>
      <c r="W205" s="94" t="n">
        <f aca="false">VLOOKUP($D205,tblPriorPrice,4)</f>
        <v>32</v>
      </c>
      <c r="X205" s="95" t="n">
        <f aca="false">Y205-W205</f>
        <v>0</v>
      </c>
      <c r="Y205" s="191" t="n">
        <f aca="true">Y193+OFFSET($CG$50,$B205,$C205)</f>
        <v>32</v>
      </c>
      <c r="Z205" s="96" t="n">
        <f aca="true">Y205+OFFSET($CU$51,$B205,$C205)</f>
        <v>27</v>
      </c>
      <c r="AA205" s="177" t="n">
        <f aca="true">Y205+OFFSET($DI$51,$B205,$C205)</f>
        <v>62</v>
      </c>
      <c r="AB205" s="94" t="n">
        <f aca="false">VLOOKUP($D205,tblPriorPrice,5)</f>
        <v>32</v>
      </c>
      <c r="AC205" s="190" t="n">
        <f aca="false">AD205-AB205</f>
        <v>0</v>
      </c>
      <c r="AD205" s="191" t="n">
        <f aca="true">AD193+OFFSET($CG$73,$B205,$C205)</f>
        <v>32</v>
      </c>
      <c r="AE205" s="96" t="n">
        <f aca="true">AD205+OFFSET($CU$74,$B205,$C205)</f>
        <v>27</v>
      </c>
      <c r="AF205" s="177" t="n">
        <f aca="true">AD205+OFFSET($DI$74,$B205,$C205)</f>
        <v>62</v>
      </c>
      <c r="AG205" s="94" t="n">
        <f aca="false">VLOOKUP($D205,tblPriorPrice,6)</f>
        <v>1</v>
      </c>
      <c r="AH205" s="190" t="n">
        <f aca="false">AI205-AG205</f>
        <v>0</v>
      </c>
      <c r="AI205" s="191" t="n">
        <f aca="true">AI193+OFFSET($CG$96,$B205,$C205)</f>
        <v>1</v>
      </c>
      <c r="AJ205" s="96" t="n">
        <f aca="true">AI205+OFFSET($CU$96,$B205,$C205)</f>
        <v>1</v>
      </c>
      <c r="AK205" s="97" t="n">
        <f aca="true">AI205+OFFSET($DI$96,$B205,$C205)</f>
        <v>1</v>
      </c>
      <c r="AL205" s="178" t="n">
        <v>58</v>
      </c>
      <c r="AM205" s="165" t="n">
        <v>0.4</v>
      </c>
      <c r="AN205" s="167" t="n">
        <f aca="false">'[3]Pricing Summary'!$AM183</f>
        <v>0.17</v>
      </c>
      <c r="AO205" s="167" t="n">
        <f aca="false">0.9*AN205</f>
        <v>0.153</v>
      </c>
      <c r="AP205" s="166" t="n">
        <f aca="false">1.5*AN205</f>
        <v>0.255</v>
      </c>
      <c r="AQ205" s="167" t="n">
        <f aca="false">AN205</f>
        <v>0.17</v>
      </c>
      <c r="AR205" s="166" t="n">
        <f aca="false">0.8*AQ205</f>
        <v>0.136</v>
      </c>
      <c r="AS205" s="166" t="n">
        <f aca="false">1.2*AQ205</f>
        <v>0.204</v>
      </c>
      <c r="AT205" s="169" t="n">
        <f aca="false">IF(G205&lt;110,17.94063*(LN(G205/100))+6.727568*(LN(G205/100)^2)+15.06494,(-4.1*G205+2135)/100)*0.5</f>
        <v>1.67862159684781</v>
      </c>
      <c r="AU205" s="169" t="n">
        <f aca="false">(0.75*AT205-AT205)</f>
        <v>-0.419655399211954</v>
      </c>
      <c r="AV205" s="166" t="n">
        <f aca="false">AT205/0.5*1.25-AT205</f>
        <v>2.51793239527172</v>
      </c>
      <c r="AW205" s="168" t="n">
        <f aca="false">IF(L205&lt;15,(15*L205+375)/100,(-4.71*L205+670.65)/100)*0.5</f>
        <v>2.59965</v>
      </c>
      <c r="AX205" s="166" t="n">
        <f aca="false">0.75*AW205-AW205</f>
        <v>-0.6499125</v>
      </c>
      <c r="AY205" s="166" t="n">
        <f aca="false">AW205/0.5*1.25-AW205</f>
        <v>3.899475</v>
      </c>
      <c r="AZ205" s="167" t="n">
        <v>0.5</v>
      </c>
      <c r="BA205" s="74"/>
      <c r="BQ205" s="108" t="n">
        <v>36907.7428240741</v>
      </c>
      <c r="BR205" s="109" t="n">
        <v>36907.743287037</v>
      </c>
      <c r="BS205" s="110" t="n">
        <v>42064</v>
      </c>
      <c r="BT205" s="111" t="n">
        <v>78962.40625</v>
      </c>
      <c r="BU205" s="112" t="n">
        <v>55632.60546875</v>
      </c>
      <c r="BV205" s="112" t="n">
        <v>14356.80078125</v>
      </c>
      <c r="BW205" s="112" t="n">
        <v>17946</v>
      </c>
      <c r="BX205" s="113" t="n">
        <v>0</v>
      </c>
      <c r="BZ205" s="110" t="n">
        <v>42125</v>
      </c>
      <c r="CA205" s="185" t="n">
        <v>32</v>
      </c>
      <c r="CB205" s="116" t="n">
        <v>32</v>
      </c>
      <c r="CC205" s="181" t="n">
        <v>32</v>
      </c>
      <c r="CD205" s="181" t="n">
        <v>32</v>
      </c>
      <c r="CE205" s="117" t="n">
        <v>1</v>
      </c>
    </row>
    <row r="206" customFormat="false" ht="12.75" hidden="false" customHeight="false" outlineLevel="0" collapsed="false">
      <c r="A206" s="0" t="n">
        <f aca="true">IF(ISERROR(MATCH(D206,iRefDt,0)),"",MATCH(D206,iRefDt,0))</f>
        <v>206</v>
      </c>
      <c r="B206" s="92" t="n">
        <f aca="false">MATCH(YEAR(D206),iSpreads)</f>
        <v>15</v>
      </c>
      <c r="C206" s="0" t="n">
        <f aca="false">MONTH(D206)</f>
        <v>6</v>
      </c>
      <c r="D206" s="93" t="n">
        <f aca="false">DATE(YEAR(D205),MONTH(D205)+1,1)</f>
        <v>42156</v>
      </c>
      <c r="E206" s="94" t="n">
        <f aca="false">VLOOKUP($D206,tblPriorPrice,2)</f>
        <v>39</v>
      </c>
      <c r="F206" s="190" t="n">
        <f aca="false">G206-E206</f>
        <v>0</v>
      </c>
      <c r="G206" s="190" t="n">
        <f aca="true">G194+OFFSET($CG$4,$B206,$C206)</f>
        <v>39</v>
      </c>
      <c r="H206" s="96" t="n">
        <f aca="true">G206+OFFSET($CU$4,$B206,$C206)</f>
        <v>34</v>
      </c>
      <c r="I206" s="96" t="n">
        <f aca="true">G206+OFFSET($DI$4,$B206,$C206)</f>
        <v>68</v>
      </c>
      <c r="J206" s="94" t="n">
        <f aca="false">VLOOKUP($D206,tblPriorPrice,3)</f>
        <v>39</v>
      </c>
      <c r="K206" s="190" t="n">
        <f aca="false">L206-J206</f>
        <v>0</v>
      </c>
      <c r="L206" s="190" t="n">
        <f aca="true">L194+OFFSET($CG$27,$B206,$C206)</f>
        <v>39</v>
      </c>
      <c r="M206" s="96" t="n">
        <f aca="true">$L206+OFFSET($CU$27,$B206,$C206)</f>
        <v>34</v>
      </c>
      <c r="N206" s="97" t="n">
        <f aca="true">$L206+OFFSET($DI$27,$B206,$C206)</f>
        <v>58</v>
      </c>
      <c r="O206" s="59" t="n">
        <f aca="true">IF($A206="",0,INDEX(tblPosn,$A206,2))</f>
        <v>77658.9453125</v>
      </c>
      <c r="P206" s="59" t="n">
        <f aca="true">IF($A206="",0,INDEX(tblPosn,$A206,3))</f>
        <v>52949.27734375</v>
      </c>
      <c r="Q206" s="59" t="n">
        <f aca="true">IF($A206="",0,INDEX(tblPosn,$A206,4))</f>
        <v>14119.80859375</v>
      </c>
      <c r="R206" s="59" t="n">
        <f aca="true">IF($A206="",0,INDEX(tblPosn,$A206,5))</f>
        <v>14119.80859375</v>
      </c>
      <c r="S206" s="59" t="n">
        <f aca="true">IF($A206="",0,INDEX(tblPosn,$A206,6))</f>
        <v>0</v>
      </c>
      <c r="T206" s="98" t="n">
        <f aca="false">O206*F206+P206*K206+R206*AC206+S206*AH206/0.72+Q206*X206</f>
        <v>0</v>
      </c>
      <c r="V206" s="161" t="n">
        <f aca="false">D206</f>
        <v>42156</v>
      </c>
      <c r="W206" s="94" t="n">
        <f aca="false">VLOOKUP($D206,tblPriorPrice,4)</f>
        <v>39</v>
      </c>
      <c r="X206" s="95" t="n">
        <f aca="false">Y206-W206</f>
        <v>0</v>
      </c>
      <c r="Y206" s="191" t="n">
        <f aca="true">Y194+OFFSET($CG$50,$B206,$C206)</f>
        <v>39</v>
      </c>
      <c r="Z206" s="96" t="n">
        <f aca="true">Y206+OFFSET($CU$51,$B206,$C206)</f>
        <v>34</v>
      </c>
      <c r="AA206" s="177" t="n">
        <f aca="true">Y206+OFFSET($DI$51,$B206,$C206)</f>
        <v>69</v>
      </c>
      <c r="AB206" s="94" t="n">
        <f aca="false">VLOOKUP($D206,tblPriorPrice,5)</f>
        <v>39</v>
      </c>
      <c r="AC206" s="190" t="n">
        <f aca="false">AD206-AB206</f>
        <v>0</v>
      </c>
      <c r="AD206" s="191" t="n">
        <f aca="true">AD194+OFFSET($CG$73,$B206,$C206)</f>
        <v>39</v>
      </c>
      <c r="AE206" s="96" t="n">
        <f aca="true">AD206+OFFSET($CU$74,$B206,$C206)</f>
        <v>34</v>
      </c>
      <c r="AF206" s="177" t="n">
        <f aca="true">AD206+OFFSET($DI$74,$B206,$C206)</f>
        <v>69</v>
      </c>
      <c r="AG206" s="94" t="n">
        <f aca="false">VLOOKUP($D206,tblPriorPrice,6)</f>
        <v>1</v>
      </c>
      <c r="AH206" s="190" t="n">
        <f aca="false">AI206-AG206</f>
        <v>0</v>
      </c>
      <c r="AI206" s="191" t="n">
        <f aca="true">AI194+OFFSET($CG$96,$B206,$C206)</f>
        <v>1</v>
      </c>
      <c r="AJ206" s="96" t="n">
        <f aca="true">AI206+OFFSET($CU$96,$B206,$C206)</f>
        <v>1</v>
      </c>
      <c r="AK206" s="97" t="n">
        <f aca="true">AI206+OFFSET($DI$96,$B206,$C206)</f>
        <v>1</v>
      </c>
      <c r="AL206" s="178" t="n">
        <v>59</v>
      </c>
      <c r="AM206" s="165" t="n">
        <v>0.4</v>
      </c>
      <c r="AN206" s="167" t="n">
        <f aca="false">'[3]Pricing Summary'!$AM184</f>
        <v>0.17</v>
      </c>
      <c r="AO206" s="167" t="n">
        <f aca="false">0.9*AN206</f>
        <v>0.153</v>
      </c>
      <c r="AP206" s="166" t="n">
        <f aca="false">1.5*AN206</f>
        <v>0.255</v>
      </c>
      <c r="AQ206" s="167" t="n">
        <f aca="false">AN206</f>
        <v>0.17</v>
      </c>
      <c r="AR206" s="166" t="n">
        <f aca="false">0.8*AQ206</f>
        <v>0.136</v>
      </c>
      <c r="AS206" s="166" t="n">
        <f aca="false">1.2*AQ206</f>
        <v>0.204</v>
      </c>
      <c r="AT206" s="169" t="n">
        <f aca="false">IF(G206&lt;110,17.94063*(LN(G206/100))+6.727568*(LN(G206/100)^2)+15.06494,(-4.1*G206+2135)/100)*0.5</f>
        <v>2.06836530423771</v>
      </c>
      <c r="AU206" s="169" t="n">
        <f aca="false">(0.75*AT206-AT206)</f>
        <v>-0.517091326059428</v>
      </c>
      <c r="AV206" s="166" t="n">
        <f aca="false">AT206/0.5*1.25-AT206</f>
        <v>3.10254795635657</v>
      </c>
      <c r="AW206" s="168" t="n">
        <f aca="false">IF(L206&lt;15,(15*L206+375)/100,(-4.71*L206+670.65)/100)*0.5</f>
        <v>2.4348</v>
      </c>
      <c r="AX206" s="166" t="n">
        <f aca="false">0.75*AW206-AW206</f>
        <v>-0.6087</v>
      </c>
      <c r="AY206" s="166" t="n">
        <f aca="false">AW206/0.5*1.25-AW206</f>
        <v>3.6522</v>
      </c>
      <c r="AZ206" s="167" t="n">
        <v>0.5</v>
      </c>
      <c r="BA206" s="74"/>
      <c r="BQ206" s="108" t="n">
        <v>36907.7428240741</v>
      </c>
      <c r="BR206" s="109" t="n">
        <v>36907.743287037</v>
      </c>
      <c r="BS206" s="110" t="n">
        <v>42095</v>
      </c>
      <c r="BT206" s="111" t="n">
        <v>74959.3984375</v>
      </c>
      <c r="BU206" s="112" t="n">
        <v>53319.33203125</v>
      </c>
      <c r="BV206" s="112" t="n">
        <v>14277.98046875</v>
      </c>
      <c r="BW206" s="112" t="n">
        <v>17847.474609375</v>
      </c>
      <c r="BX206" s="113" t="n">
        <v>0</v>
      </c>
      <c r="BZ206" s="110" t="n">
        <v>42156</v>
      </c>
      <c r="CA206" s="185" t="n">
        <v>39</v>
      </c>
      <c r="CB206" s="116" t="n">
        <v>39</v>
      </c>
      <c r="CC206" s="181" t="n">
        <v>39</v>
      </c>
      <c r="CD206" s="181" t="n">
        <v>39</v>
      </c>
      <c r="CE206" s="117" t="n">
        <v>1</v>
      </c>
    </row>
    <row r="207" customFormat="false" ht="12.75" hidden="false" customHeight="false" outlineLevel="0" collapsed="false">
      <c r="A207" s="0" t="n">
        <f aca="true">IF(ISERROR(MATCH(D207,iRefDt,0)),"",MATCH(D207,iRefDt,0))</f>
        <v>207</v>
      </c>
      <c r="B207" s="92" t="n">
        <f aca="false">MATCH(YEAR(D207),iSpreads)</f>
        <v>15</v>
      </c>
      <c r="C207" s="0" t="n">
        <f aca="false">MONTH(D207)</f>
        <v>7</v>
      </c>
      <c r="D207" s="93" t="n">
        <f aca="false">DATE(YEAR(D206),MONTH(D206)+1,1)</f>
        <v>42186</v>
      </c>
      <c r="E207" s="94" t="n">
        <f aca="false">VLOOKUP($D207,tblPriorPrice,2)</f>
        <v>39</v>
      </c>
      <c r="F207" s="190" t="n">
        <f aca="false">G207-E207</f>
        <v>0</v>
      </c>
      <c r="G207" s="190" t="n">
        <f aca="true">G195+OFFSET($CG$4,$B207,$C207)</f>
        <v>39</v>
      </c>
      <c r="H207" s="96" t="n">
        <f aca="true">G207+OFFSET($CU$4,$B207,$C207)</f>
        <v>34</v>
      </c>
      <c r="I207" s="96" t="n">
        <f aca="true">G207+OFFSET($DI$4,$B207,$C207)</f>
        <v>68</v>
      </c>
      <c r="J207" s="94" t="n">
        <f aca="false">VLOOKUP($D207,tblPriorPrice,3)</f>
        <v>39</v>
      </c>
      <c r="K207" s="190" t="n">
        <f aca="false">L207-J207</f>
        <v>0</v>
      </c>
      <c r="L207" s="190" t="n">
        <f aca="true">L195+OFFSET($CG$27,$B207,$C207)</f>
        <v>39</v>
      </c>
      <c r="M207" s="96" t="n">
        <f aca="true">$L207+OFFSET($CU$27,$B207,$C207)</f>
        <v>34</v>
      </c>
      <c r="N207" s="97" t="n">
        <f aca="true">$L207+OFFSET($DI$27,$B207,$C207)</f>
        <v>58</v>
      </c>
      <c r="O207" s="59" t="n">
        <f aca="true">IF($A207="",0,INDEX(tblPosn,$A207,2))</f>
        <v>77217.1796875</v>
      </c>
      <c r="P207" s="59" t="n">
        <f aca="true">IF($A207="",0,INDEX(tblPosn,$A207,3))</f>
        <v>54403.01171875</v>
      </c>
      <c r="Q207" s="59" t="n">
        <f aca="true">IF($A207="",0,INDEX(tblPosn,$A207,4))</f>
        <v>14039.4873046875</v>
      </c>
      <c r="R207" s="59" t="n">
        <f aca="true">IF($A207="",0,INDEX(tblPosn,$A207,5))</f>
        <v>17549.359375</v>
      </c>
      <c r="S207" s="59" t="n">
        <f aca="true">IF($A207="",0,INDEX(tblPosn,$A207,6))</f>
        <v>0</v>
      </c>
      <c r="T207" s="98" t="n">
        <f aca="false">O207*F207+P207*K207+R207*AC207+S207*AH207/0.72+Q207*X207</f>
        <v>0</v>
      </c>
      <c r="V207" s="161" t="n">
        <f aca="false">D207</f>
        <v>42186</v>
      </c>
      <c r="W207" s="94" t="n">
        <f aca="false">VLOOKUP($D207,tblPriorPrice,4)</f>
        <v>39</v>
      </c>
      <c r="X207" s="95" t="n">
        <f aca="false">Y207-W207</f>
        <v>0</v>
      </c>
      <c r="Y207" s="191" t="n">
        <f aca="true">Y195+OFFSET($CG$50,$B207,$C207)</f>
        <v>39</v>
      </c>
      <c r="Z207" s="96" t="n">
        <f aca="true">Y207+OFFSET($CU$51,$B207,$C207)</f>
        <v>34</v>
      </c>
      <c r="AA207" s="177" t="n">
        <f aca="true">Y207+OFFSET($DI$51,$B207,$C207)</f>
        <v>69</v>
      </c>
      <c r="AB207" s="94" t="n">
        <f aca="false">VLOOKUP($D207,tblPriorPrice,5)</f>
        <v>39</v>
      </c>
      <c r="AC207" s="190" t="n">
        <f aca="false">AD207-AB207</f>
        <v>0</v>
      </c>
      <c r="AD207" s="191" t="n">
        <f aca="true">AD195+OFFSET($CG$73,$B207,$C207)</f>
        <v>39</v>
      </c>
      <c r="AE207" s="96" t="n">
        <f aca="true">AD207+OFFSET($CU$74,$B207,$C207)</f>
        <v>34</v>
      </c>
      <c r="AF207" s="177" t="n">
        <f aca="true">AD207+OFFSET($DI$74,$B207,$C207)</f>
        <v>69</v>
      </c>
      <c r="AG207" s="94" t="n">
        <f aca="false">VLOOKUP($D207,tblPriorPrice,6)</f>
        <v>1</v>
      </c>
      <c r="AH207" s="190" t="n">
        <f aca="false">AI207-AG207</f>
        <v>0</v>
      </c>
      <c r="AI207" s="191" t="n">
        <f aca="true">AI195+OFFSET($CG$96,$B207,$C207)</f>
        <v>1</v>
      </c>
      <c r="AJ207" s="96" t="n">
        <f aca="true">AI207+OFFSET($CU$96,$B207,$C207)</f>
        <v>1</v>
      </c>
      <c r="AK207" s="97" t="n">
        <f aca="true">AI207+OFFSET($DI$96,$B207,$C207)</f>
        <v>1</v>
      </c>
      <c r="AL207" s="178" t="n">
        <v>59</v>
      </c>
      <c r="AM207" s="165" t="n">
        <v>0.4</v>
      </c>
      <c r="AN207" s="167" t="n">
        <f aca="false">'[3]Pricing Summary'!$AM185</f>
        <v>0.17</v>
      </c>
      <c r="AO207" s="167" t="n">
        <f aca="false">0.9*AN207</f>
        <v>0.153</v>
      </c>
      <c r="AP207" s="166" t="n">
        <f aca="false">1.5*AN207</f>
        <v>0.255</v>
      </c>
      <c r="AQ207" s="167" t="n">
        <f aca="false">AN207</f>
        <v>0.17</v>
      </c>
      <c r="AR207" s="166" t="n">
        <f aca="false">0.8*AQ207</f>
        <v>0.136</v>
      </c>
      <c r="AS207" s="166" t="n">
        <f aca="false">1.2*AQ207</f>
        <v>0.204</v>
      </c>
      <c r="AT207" s="169" t="n">
        <f aca="false">IF(G207&lt;110,17.94063*(LN(G207/100))+6.727568*(LN(G207/100)^2)+15.06494,(-4.1*G207+2135)/100)*0.5</f>
        <v>2.06836530423771</v>
      </c>
      <c r="AU207" s="169" t="n">
        <f aca="false">(0.75*AT207-AT207)</f>
        <v>-0.517091326059428</v>
      </c>
      <c r="AV207" s="166" t="n">
        <f aca="false">AT207/0.5*1.25-AT207</f>
        <v>3.10254795635657</v>
      </c>
      <c r="AW207" s="168" t="n">
        <f aca="false">IF(L207&lt;15,(15*L207+375)/100,(-4.71*L207+670.65)/100)*0.5</f>
        <v>2.4348</v>
      </c>
      <c r="AX207" s="166" t="n">
        <f aca="false">0.75*AW207-AW207</f>
        <v>-0.6087</v>
      </c>
      <c r="AY207" s="166" t="n">
        <f aca="false">AW207/0.5*1.25-AW207</f>
        <v>3.6522</v>
      </c>
      <c r="AZ207" s="167" t="n">
        <v>0.5</v>
      </c>
      <c r="BA207" s="74"/>
      <c r="BQ207" s="108" t="n">
        <v>36907.7428240741</v>
      </c>
      <c r="BR207" s="109" t="n">
        <v>36907.743287037</v>
      </c>
      <c r="BS207" s="110" t="n">
        <v>42125</v>
      </c>
      <c r="BT207" s="111" t="n">
        <v>70982.9375</v>
      </c>
      <c r="BU207" s="112" t="n">
        <v>55011.78125</v>
      </c>
      <c r="BV207" s="112" t="n">
        <v>17745.734375</v>
      </c>
      <c r="BW207" s="112" t="n">
        <v>21294.880859375</v>
      </c>
      <c r="BX207" s="113" t="n">
        <v>0</v>
      </c>
      <c r="BZ207" s="110" t="n">
        <v>42186</v>
      </c>
      <c r="CA207" s="185" t="n">
        <v>39</v>
      </c>
      <c r="CB207" s="116" t="n">
        <v>39</v>
      </c>
      <c r="CC207" s="181" t="n">
        <v>39</v>
      </c>
      <c r="CD207" s="181" t="n">
        <v>39</v>
      </c>
      <c r="CE207" s="117" t="n">
        <v>1</v>
      </c>
    </row>
    <row r="208" customFormat="false" ht="12.75" hidden="false" customHeight="false" outlineLevel="0" collapsed="false">
      <c r="A208" s="0" t="n">
        <f aca="true">IF(ISERROR(MATCH(D208,iRefDt,0)),"",MATCH(D208,iRefDt,0))</f>
        <v>208</v>
      </c>
      <c r="B208" s="92" t="n">
        <f aca="false">MATCH(YEAR(D208),iSpreads)</f>
        <v>15</v>
      </c>
      <c r="C208" s="0" t="n">
        <f aca="false">MONTH(D208)</f>
        <v>8</v>
      </c>
      <c r="D208" s="93" t="n">
        <f aca="false">DATE(YEAR(D207),MONTH(D207)+1,1)</f>
        <v>42217</v>
      </c>
      <c r="E208" s="94" t="n">
        <f aca="false">VLOOKUP($D208,tblPriorPrice,2)</f>
        <v>41</v>
      </c>
      <c r="F208" s="190" t="n">
        <f aca="false">G208-E208</f>
        <v>0</v>
      </c>
      <c r="G208" s="190" t="n">
        <f aca="true">G196+OFFSET($CG$4,$B208,$C208)</f>
        <v>41</v>
      </c>
      <c r="H208" s="96" t="n">
        <f aca="true">G208+OFFSET($CU$4,$B208,$C208)</f>
        <v>36</v>
      </c>
      <c r="I208" s="96" t="n">
        <f aca="true">G208+OFFSET($DI$4,$B208,$C208)</f>
        <v>70</v>
      </c>
      <c r="J208" s="94" t="n">
        <f aca="false">VLOOKUP($D208,tblPriorPrice,3)</f>
        <v>41</v>
      </c>
      <c r="K208" s="190" t="n">
        <f aca="false">L208-J208</f>
        <v>0</v>
      </c>
      <c r="L208" s="190" t="n">
        <f aca="true">L196+OFFSET($CG$27,$B208,$C208)</f>
        <v>41</v>
      </c>
      <c r="M208" s="96" t="n">
        <f aca="true">$L208+OFFSET($CU$27,$B208,$C208)</f>
        <v>36</v>
      </c>
      <c r="N208" s="97" t="n">
        <f aca="true">$L208+OFFSET($DI$27,$B208,$C208)</f>
        <v>60</v>
      </c>
      <c r="O208" s="59" t="n">
        <f aca="true">IF($A208="",0,INDEX(tblPosn,$A208,2))</f>
        <v>73291.0234375</v>
      </c>
      <c r="P208" s="59" t="n">
        <f aca="true">IF($A208="",0,INDEX(tblPosn,$A208,3))</f>
        <v>54095.75</v>
      </c>
      <c r="Q208" s="59" t="n">
        <f aca="true">IF($A208="",0,INDEX(tblPosn,$A208,4))</f>
        <v>17450.2421875</v>
      </c>
      <c r="R208" s="59" t="n">
        <f aca="true">IF($A208="",0,INDEX(tblPosn,$A208,5))</f>
        <v>17450.2421875</v>
      </c>
      <c r="S208" s="59" t="n">
        <f aca="true">IF($A208="",0,INDEX(tblPosn,$A208,6))</f>
        <v>0</v>
      </c>
      <c r="T208" s="98" t="n">
        <f aca="false">O208*F208+P208*K208+R208*AC208+S208*AH208/0.72+Q208*X208</f>
        <v>0</v>
      </c>
      <c r="V208" s="161" t="n">
        <f aca="false">D208</f>
        <v>42217</v>
      </c>
      <c r="W208" s="94" t="n">
        <f aca="false">VLOOKUP($D208,tblPriorPrice,4)</f>
        <v>41</v>
      </c>
      <c r="X208" s="95" t="n">
        <f aca="false">Y208-W208</f>
        <v>0</v>
      </c>
      <c r="Y208" s="191" t="n">
        <f aca="true">Y196+OFFSET($CG$50,$B208,$C208)</f>
        <v>41</v>
      </c>
      <c r="Z208" s="96" t="n">
        <f aca="true">Y208+OFFSET($CU$51,$B208,$C208)</f>
        <v>36</v>
      </c>
      <c r="AA208" s="177" t="n">
        <f aca="true">Y208+OFFSET($DI$51,$B208,$C208)</f>
        <v>71</v>
      </c>
      <c r="AB208" s="94" t="n">
        <f aca="false">VLOOKUP($D208,tblPriorPrice,5)</f>
        <v>41</v>
      </c>
      <c r="AC208" s="190" t="n">
        <f aca="false">AD208-AB208</f>
        <v>0</v>
      </c>
      <c r="AD208" s="191" t="n">
        <f aca="true">AD196+OFFSET($CG$73,$B208,$C208)</f>
        <v>41</v>
      </c>
      <c r="AE208" s="96" t="n">
        <f aca="true">AD208+OFFSET($CU$74,$B208,$C208)</f>
        <v>36</v>
      </c>
      <c r="AF208" s="177" t="n">
        <f aca="true">AD208+OFFSET($DI$74,$B208,$C208)</f>
        <v>71</v>
      </c>
      <c r="AG208" s="94" t="n">
        <f aca="false">VLOOKUP($D208,tblPriorPrice,6)</f>
        <v>1</v>
      </c>
      <c r="AH208" s="190" t="n">
        <f aca="false">AI208-AG208</f>
        <v>0</v>
      </c>
      <c r="AI208" s="191" t="n">
        <f aca="true">AI196+OFFSET($CG$96,$B208,$C208)</f>
        <v>1</v>
      </c>
      <c r="AJ208" s="96" t="n">
        <f aca="true">AI208+OFFSET($CU$96,$B208,$C208)</f>
        <v>1</v>
      </c>
      <c r="AK208" s="97" t="n">
        <f aca="true">AI208+OFFSET($DI$96,$B208,$C208)</f>
        <v>1</v>
      </c>
      <c r="AL208" s="178" t="n">
        <v>59</v>
      </c>
      <c r="AM208" s="165" t="n">
        <v>0.4</v>
      </c>
      <c r="AN208" s="167" t="n">
        <f aca="false">'[3]Pricing Summary'!$AM186</f>
        <v>0.17</v>
      </c>
      <c r="AO208" s="167" t="n">
        <f aca="false">0.9*AN208</f>
        <v>0.153</v>
      </c>
      <c r="AP208" s="166" t="n">
        <f aca="false">1.5*AN208</f>
        <v>0.255</v>
      </c>
      <c r="AQ208" s="167" t="n">
        <f aca="false">AN208</f>
        <v>0.17</v>
      </c>
      <c r="AR208" s="166" t="n">
        <f aca="false">0.8*AQ208</f>
        <v>0.136</v>
      </c>
      <c r="AS208" s="166" t="n">
        <f aca="false">1.2*AQ208</f>
        <v>0.204</v>
      </c>
      <c r="AT208" s="169" t="n">
        <f aca="false">IF(G208&lt;110,17.94063*(LN(G208/100))+6.727568*(LN(G208/100)^2)+15.06494,(-4.1*G208+2135)/100)*0.5</f>
        <v>2.20858471004844</v>
      </c>
      <c r="AU208" s="169" t="n">
        <f aca="false">(0.75*AT208-AT208)</f>
        <v>-0.552146177512111</v>
      </c>
      <c r="AV208" s="166" t="n">
        <f aca="false">AT208/0.5*1.25-AT208</f>
        <v>3.31287706507267</v>
      </c>
      <c r="AW208" s="168" t="n">
        <f aca="false">IF(L208&lt;15,(15*L208+375)/100,(-4.71*L208+670.65)/100)*0.5</f>
        <v>2.3877</v>
      </c>
      <c r="AX208" s="166" t="n">
        <f aca="false">0.75*AW208-AW208</f>
        <v>-0.596925</v>
      </c>
      <c r="AY208" s="166" t="n">
        <f aca="false">AW208/0.5*1.25-AW208</f>
        <v>3.58155</v>
      </c>
      <c r="AZ208" s="167" t="n">
        <v>0.5</v>
      </c>
      <c r="BA208" s="74"/>
      <c r="BQ208" s="108" t="n">
        <v>36907.7428240741</v>
      </c>
      <c r="BR208" s="109" t="n">
        <v>36907.743287037</v>
      </c>
      <c r="BS208" s="110" t="n">
        <v>42156</v>
      </c>
      <c r="BT208" s="111" t="n">
        <v>77658.9453125</v>
      </c>
      <c r="BU208" s="112" t="n">
        <v>52949.27734375</v>
      </c>
      <c r="BV208" s="112" t="n">
        <v>14119.80859375</v>
      </c>
      <c r="BW208" s="112" t="n">
        <v>14119.80859375</v>
      </c>
      <c r="BX208" s="113" t="n">
        <v>0</v>
      </c>
      <c r="BZ208" s="110" t="n">
        <v>42217</v>
      </c>
      <c r="CA208" s="185" t="n">
        <v>41</v>
      </c>
      <c r="CB208" s="116" t="n">
        <v>41</v>
      </c>
      <c r="CC208" s="181" t="n">
        <v>41</v>
      </c>
      <c r="CD208" s="181" t="n">
        <v>41</v>
      </c>
      <c r="CE208" s="117" t="n">
        <v>1</v>
      </c>
    </row>
    <row r="209" customFormat="false" ht="12.75" hidden="false" customHeight="false" outlineLevel="0" collapsed="false">
      <c r="A209" s="0" t="n">
        <f aca="true">IF(ISERROR(MATCH(D209,iRefDt,0)),"",MATCH(D209,iRefDt,0))</f>
        <v>209</v>
      </c>
      <c r="B209" s="92" t="n">
        <f aca="false">MATCH(YEAR(D209),iSpreads)</f>
        <v>15</v>
      </c>
      <c r="C209" s="0" t="n">
        <f aca="false">MONTH(D209)</f>
        <v>9</v>
      </c>
      <c r="D209" s="93" t="n">
        <f aca="false">DATE(YEAR(D208),MONTH(D208)+1,1)</f>
        <v>42248</v>
      </c>
      <c r="E209" s="94" t="n">
        <f aca="false">VLOOKUP($D209,tblPriorPrice,2)</f>
        <v>35</v>
      </c>
      <c r="F209" s="190" t="n">
        <f aca="false">G209-E209</f>
        <v>0</v>
      </c>
      <c r="G209" s="190" t="n">
        <f aca="true">G197+OFFSET($CG$4,$B209,$C209)</f>
        <v>35</v>
      </c>
      <c r="H209" s="96" t="n">
        <f aca="true">G209+OFFSET($CU$4,$B209,$C209)</f>
        <v>30</v>
      </c>
      <c r="I209" s="96" t="n">
        <f aca="true">G209+OFFSET($DI$4,$B209,$C209)</f>
        <v>64</v>
      </c>
      <c r="J209" s="94" t="n">
        <f aca="false">VLOOKUP($D209,tblPriorPrice,3)</f>
        <v>35</v>
      </c>
      <c r="K209" s="190" t="n">
        <f aca="false">L209-J209</f>
        <v>0</v>
      </c>
      <c r="L209" s="190" t="n">
        <f aca="true">L197+OFFSET($CG$27,$B209,$C209)</f>
        <v>35</v>
      </c>
      <c r="M209" s="96" t="n">
        <f aca="true">$L209+OFFSET($CU$27,$B209,$C209)</f>
        <v>30</v>
      </c>
      <c r="N209" s="97" t="n">
        <f aca="true">$L209+OFFSET($DI$27,$B209,$C209)</f>
        <v>54</v>
      </c>
      <c r="O209" s="59" t="n">
        <f aca="true">IF($A209="",0,INDEX(tblPosn,$A209,2))</f>
        <v>72886.65625</v>
      </c>
      <c r="P209" s="59" t="n">
        <f aca="true">IF($A209="",0,INDEX(tblPosn,$A209,3))</f>
        <v>52061.8984375</v>
      </c>
      <c r="Q209" s="59" t="n">
        <f aca="true">IF($A209="",0,INDEX(tblPosn,$A209,4))</f>
        <v>13883.1728515625</v>
      </c>
      <c r="R209" s="59" t="n">
        <f aca="true">IF($A209="",0,INDEX(tblPosn,$A209,5))</f>
        <v>17353.966796875</v>
      </c>
      <c r="S209" s="59" t="n">
        <f aca="true">IF($A209="",0,INDEX(tblPosn,$A209,6))</f>
        <v>0</v>
      </c>
      <c r="T209" s="98" t="n">
        <f aca="false">O209*F209+P209*K209+R209*AC209+S209*AH209/0.72+Q209*X209</f>
        <v>0</v>
      </c>
      <c r="V209" s="161" t="n">
        <f aca="false">D209</f>
        <v>42248</v>
      </c>
      <c r="W209" s="94" t="n">
        <f aca="false">VLOOKUP($D209,tblPriorPrice,4)</f>
        <v>35</v>
      </c>
      <c r="X209" s="95" t="n">
        <f aca="false">Y209-W209</f>
        <v>0</v>
      </c>
      <c r="Y209" s="191" t="n">
        <f aca="true">Y197+OFFSET($CG$50,$B209,$C209)</f>
        <v>35</v>
      </c>
      <c r="Z209" s="96" t="n">
        <f aca="true">Y209+OFFSET($CU$51,$B209,$C209)</f>
        <v>30</v>
      </c>
      <c r="AA209" s="177" t="n">
        <f aca="true">Y209+OFFSET($DI$51,$B209,$C209)</f>
        <v>65</v>
      </c>
      <c r="AB209" s="94" t="n">
        <f aca="false">VLOOKUP($D209,tblPriorPrice,5)</f>
        <v>35</v>
      </c>
      <c r="AC209" s="190" t="n">
        <f aca="false">AD209-AB209</f>
        <v>0</v>
      </c>
      <c r="AD209" s="191" t="n">
        <f aca="true">AD197+OFFSET($CG$73,$B209,$C209)</f>
        <v>35</v>
      </c>
      <c r="AE209" s="96" t="n">
        <f aca="true">AD209+OFFSET($CU$74,$B209,$C209)</f>
        <v>30</v>
      </c>
      <c r="AF209" s="177" t="n">
        <f aca="true">AD209+OFFSET($DI$74,$B209,$C209)</f>
        <v>65</v>
      </c>
      <c r="AG209" s="94" t="n">
        <f aca="false">VLOOKUP($D209,tblPriorPrice,6)</f>
        <v>1</v>
      </c>
      <c r="AH209" s="190" t="n">
        <f aca="false">AI209-AG209</f>
        <v>0</v>
      </c>
      <c r="AI209" s="191" t="n">
        <f aca="true">AI197+OFFSET($CG$96,$B209,$C209)</f>
        <v>1</v>
      </c>
      <c r="AJ209" s="96" t="n">
        <f aca="true">AI209+OFFSET($CU$96,$B209,$C209)</f>
        <v>1</v>
      </c>
      <c r="AK209" s="97" t="n">
        <f aca="true">AI209+OFFSET($DI$96,$B209,$C209)</f>
        <v>1</v>
      </c>
      <c r="AL209" s="178" t="n">
        <v>60</v>
      </c>
      <c r="AM209" s="165" t="n">
        <v>0.4</v>
      </c>
      <c r="AN209" s="167" t="n">
        <f aca="false">'[3]Pricing Summary'!$AM187</f>
        <v>0.17</v>
      </c>
      <c r="AO209" s="167" t="n">
        <f aca="false">0.9*AN209</f>
        <v>0.153</v>
      </c>
      <c r="AP209" s="166" t="n">
        <f aca="false">1.5*AN209</f>
        <v>0.255</v>
      </c>
      <c r="AQ209" s="167" t="n">
        <f aca="false">AN209</f>
        <v>0.17</v>
      </c>
      <c r="AR209" s="166" t="n">
        <f aca="false">0.8*AQ209</f>
        <v>0.136</v>
      </c>
      <c r="AS209" s="166" t="n">
        <f aca="false">1.2*AQ209</f>
        <v>0.204</v>
      </c>
      <c r="AT209" s="169" t="n">
        <f aca="false">IF(G209&lt;110,17.94063*(LN(G209/100))+6.727568*(LN(G209/100)^2)+15.06494,(-4.1*G209+2135)/100)*0.5</f>
        <v>1.82255031269953</v>
      </c>
      <c r="AU209" s="169" t="n">
        <f aca="false">(0.75*AT209-AT209)</f>
        <v>-0.455637578174882</v>
      </c>
      <c r="AV209" s="166" t="n">
        <f aca="false">AT209/0.5*1.25-AT209</f>
        <v>2.73382546904929</v>
      </c>
      <c r="AW209" s="168" t="n">
        <f aca="false">IF(L209&lt;15,(15*L209+375)/100,(-4.71*L209+670.65)/100)*0.5</f>
        <v>2.529</v>
      </c>
      <c r="AX209" s="166" t="n">
        <f aca="false">0.75*AW209-AW209</f>
        <v>-0.63225</v>
      </c>
      <c r="AY209" s="166" t="n">
        <f aca="false">AW209/0.5*1.25-AW209</f>
        <v>3.7935</v>
      </c>
      <c r="AZ209" s="167" t="n">
        <v>0.5</v>
      </c>
      <c r="BA209" s="74"/>
      <c r="BQ209" s="108" t="n">
        <v>36907.7428240741</v>
      </c>
      <c r="BR209" s="109" t="n">
        <v>36907.743287037</v>
      </c>
      <c r="BS209" s="110" t="n">
        <v>42186</v>
      </c>
      <c r="BT209" s="111" t="n">
        <v>77217.1796875</v>
      </c>
      <c r="BU209" s="112" t="n">
        <v>54403.01171875</v>
      </c>
      <c r="BV209" s="112" t="n">
        <v>14039.4873046875</v>
      </c>
      <c r="BW209" s="112" t="n">
        <v>17549.359375</v>
      </c>
      <c r="BX209" s="113" t="n">
        <v>0</v>
      </c>
      <c r="BZ209" s="110" t="n">
        <v>42248</v>
      </c>
      <c r="CA209" s="185" t="n">
        <v>35</v>
      </c>
      <c r="CB209" s="116" t="n">
        <v>35</v>
      </c>
      <c r="CC209" s="181" t="n">
        <v>35</v>
      </c>
      <c r="CD209" s="181" t="n">
        <v>35</v>
      </c>
      <c r="CE209" s="117" t="n">
        <v>1</v>
      </c>
    </row>
    <row r="210" customFormat="false" ht="12.75" hidden="false" customHeight="false" outlineLevel="0" collapsed="false">
      <c r="A210" s="0" t="n">
        <f aca="true">IF(ISERROR(MATCH(D210,iRefDt,0)),"",MATCH(D210,iRefDt,0))</f>
        <v>210</v>
      </c>
      <c r="B210" s="92" t="n">
        <f aca="false">MATCH(YEAR(D210),iSpreads)</f>
        <v>15</v>
      </c>
      <c r="C210" s="0" t="n">
        <f aca="false">MONTH(D210)</f>
        <v>10</v>
      </c>
      <c r="D210" s="93" t="n">
        <f aca="false">DATE(YEAR(D209),MONTH(D209)+1,1)</f>
        <v>42278</v>
      </c>
      <c r="E210" s="94" t="n">
        <f aca="false">VLOOKUP($D210,tblPriorPrice,2)</f>
        <v>37</v>
      </c>
      <c r="F210" s="190" t="n">
        <f aca="false">G210-E210</f>
        <v>0</v>
      </c>
      <c r="G210" s="190" t="n">
        <f aca="true">G198+OFFSET($CG$4,$B210,$C210)</f>
        <v>37</v>
      </c>
      <c r="H210" s="96" t="n">
        <f aca="true">G210+OFFSET($CU$4,$B210,$C210)</f>
        <v>32</v>
      </c>
      <c r="I210" s="96" t="n">
        <f aca="true">G210+OFFSET($DI$4,$B210,$C210)</f>
        <v>66</v>
      </c>
      <c r="J210" s="94" t="n">
        <f aca="false">VLOOKUP($D210,tblPriorPrice,3)</f>
        <v>37</v>
      </c>
      <c r="K210" s="190" t="n">
        <f aca="false">L210-J210</f>
        <v>0</v>
      </c>
      <c r="L210" s="190" t="n">
        <f aca="true">L198+OFFSET($CG$27,$B210,$C210)</f>
        <v>37</v>
      </c>
      <c r="M210" s="96" t="n">
        <f aca="true">$L210+OFFSET($CU$27,$B210,$C210)</f>
        <v>32</v>
      </c>
      <c r="N210" s="97" t="n">
        <f aca="true">$L210+OFFSET($DI$27,$B210,$C210)</f>
        <v>56</v>
      </c>
      <c r="O210" s="59" t="n">
        <f aca="true">IF($A210="",0,INDEX(tblPosn,$A210,2))</f>
        <v>72470.8125</v>
      </c>
      <c r="P210" s="59" t="n">
        <f aca="true">IF($A210="",0,INDEX(tblPosn,$A210,3))</f>
        <v>53706.046875</v>
      </c>
      <c r="Q210" s="59" t="n">
        <f aca="true">IF($A210="",0,INDEX(tblPosn,$A210,4))</f>
        <v>17254.955078125</v>
      </c>
      <c r="R210" s="59" t="n">
        <f aca="true">IF($A210="",0,INDEX(tblPosn,$A210,5))</f>
        <v>17254.955078125</v>
      </c>
      <c r="S210" s="59" t="n">
        <f aca="true">IF($A210="",0,INDEX(tblPosn,$A210,6))</f>
        <v>0</v>
      </c>
      <c r="T210" s="98" t="n">
        <f aca="false">O210*F210+P210*K210+R210*AC210+S210*AH210/0.72+Q210*X210</f>
        <v>0</v>
      </c>
      <c r="V210" s="161" t="n">
        <f aca="false">D210</f>
        <v>42278</v>
      </c>
      <c r="W210" s="94" t="n">
        <f aca="false">VLOOKUP($D210,tblPriorPrice,4)</f>
        <v>37</v>
      </c>
      <c r="X210" s="95" t="n">
        <f aca="false">Y210-W210</f>
        <v>0</v>
      </c>
      <c r="Y210" s="191" t="n">
        <f aca="true">Y198+OFFSET($CG$50,$B210,$C210)</f>
        <v>37</v>
      </c>
      <c r="Z210" s="96" t="n">
        <f aca="true">Y210+OFFSET($CU$51,$B210,$C210)</f>
        <v>32</v>
      </c>
      <c r="AA210" s="177" t="n">
        <f aca="true">Y210+OFFSET($DI$51,$B210,$C210)</f>
        <v>67</v>
      </c>
      <c r="AB210" s="94" t="n">
        <f aca="false">VLOOKUP($D210,tblPriorPrice,5)</f>
        <v>37</v>
      </c>
      <c r="AC210" s="190" t="n">
        <f aca="false">AD210-AB210</f>
        <v>0</v>
      </c>
      <c r="AD210" s="191" t="n">
        <f aca="true">AD198+OFFSET($CG$73,$B210,$C210)</f>
        <v>37</v>
      </c>
      <c r="AE210" s="96" t="n">
        <f aca="true">AD210+OFFSET($CU$74,$B210,$C210)</f>
        <v>32</v>
      </c>
      <c r="AF210" s="177" t="n">
        <f aca="true">AD210+OFFSET($DI$74,$B210,$C210)</f>
        <v>67</v>
      </c>
      <c r="AG210" s="94" t="n">
        <f aca="false">VLOOKUP($D210,tblPriorPrice,6)</f>
        <v>1</v>
      </c>
      <c r="AH210" s="190" t="n">
        <f aca="false">AI210-AG210</f>
        <v>0</v>
      </c>
      <c r="AI210" s="191" t="n">
        <f aca="true">AI198+OFFSET($CG$96,$B210,$C210)</f>
        <v>1</v>
      </c>
      <c r="AJ210" s="96" t="n">
        <f aca="true">AI210+OFFSET($CU$96,$B210,$C210)</f>
        <v>1</v>
      </c>
      <c r="AK210" s="97" t="n">
        <f aca="true">AI210+OFFSET($DI$96,$B210,$C210)</f>
        <v>1</v>
      </c>
      <c r="AL210" s="178" t="n">
        <v>60</v>
      </c>
      <c r="AM210" s="165" t="n">
        <v>0.4</v>
      </c>
      <c r="AN210" s="167" t="n">
        <f aca="false">'[3]Pricing Summary'!$AM188</f>
        <v>0.17</v>
      </c>
      <c r="AO210" s="167" t="n">
        <f aca="false">0.9*AN210</f>
        <v>0.153</v>
      </c>
      <c r="AP210" s="166" t="n">
        <f aca="false">1.5*AN210</f>
        <v>0.255</v>
      </c>
      <c r="AQ210" s="167" t="n">
        <f aca="false">AN210</f>
        <v>0.17</v>
      </c>
      <c r="AR210" s="166" t="n">
        <f aca="false">0.8*AQ210</f>
        <v>0.136</v>
      </c>
      <c r="AS210" s="166" t="n">
        <f aca="false">1.2*AQ210</f>
        <v>0.204</v>
      </c>
      <c r="AT210" s="169" t="n">
        <f aca="false">IF(G210&lt;110,17.94063*(LN(G210/100))+6.727568*(LN(G210/100)^2)+15.06494,(-4.1*G210+2135)/100)*0.5</f>
        <v>1.93894082389981</v>
      </c>
      <c r="AU210" s="169" t="n">
        <f aca="false">(0.75*AT210-AT210)</f>
        <v>-0.484735205974953</v>
      </c>
      <c r="AV210" s="166" t="n">
        <f aca="false">AT210/0.5*1.25-AT210</f>
        <v>2.90841123584972</v>
      </c>
      <c r="AW210" s="168" t="n">
        <f aca="false">IF(L210&lt;15,(15*L210+375)/100,(-4.71*L210+670.65)/100)*0.5</f>
        <v>2.4819</v>
      </c>
      <c r="AX210" s="166" t="n">
        <f aca="false">0.75*AW210-AW210</f>
        <v>-0.620475</v>
      </c>
      <c r="AY210" s="166" t="n">
        <f aca="false">AW210/0.5*1.25-AW210</f>
        <v>3.72285</v>
      </c>
      <c r="AZ210" s="167" t="n">
        <v>0.5</v>
      </c>
      <c r="BA210" s="74"/>
      <c r="BQ210" s="108" t="n">
        <v>36907.7428240741</v>
      </c>
      <c r="BR210" s="109" t="n">
        <v>36907.743287037</v>
      </c>
      <c r="BS210" s="110" t="n">
        <v>42217</v>
      </c>
      <c r="BT210" s="111" t="n">
        <v>73291.0234375</v>
      </c>
      <c r="BU210" s="112" t="n">
        <v>54095.75</v>
      </c>
      <c r="BV210" s="112" t="n">
        <v>17450.2421875</v>
      </c>
      <c r="BW210" s="112" t="n">
        <v>17450.2421875</v>
      </c>
      <c r="BX210" s="113" t="n">
        <v>0</v>
      </c>
      <c r="BZ210" s="110" t="n">
        <v>42278</v>
      </c>
      <c r="CA210" s="185" t="n">
        <v>37</v>
      </c>
      <c r="CB210" s="116" t="n">
        <v>37</v>
      </c>
      <c r="CC210" s="181" t="n">
        <v>37</v>
      </c>
      <c r="CD210" s="181" t="n">
        <v>37</v>
      </c>
      <c r="CE210" s="117" t="n">
        <v>1</v>
      </c>
    </row>
    <row r="211" customFormat="false" ht="12.75" hidden="false" customHeight="false" outlineLevel="0" collapsed="false">
      <c r="A211" s="0" t="n">
        <f aca="true">IF(ISERROR(MATCH(D211,iRefDt,0)),"",MATCH(D211,iRefDt,0))</f>
        <v>211</v>
      </c>
      <c r="B211" s="92" t="n">
        <f aca="false">MATCH(YEAR(D211),iSpreads)</f>
        <v>15</v>
      </c>
      <c r="C211" s="0" t="n">
        <f aca="false">MONTH(D211)</f>
        <v>11</v>
      </c>
      <c r="D211" s="93" t="n">
        <f aca="false">DATE(YEAR(D210),MONTH(D210)+1,1)</f>
        <v>42309</v>
      </c>
      <c r="E211" s="94" t="n">
        <f aca="false">VLOOKUP($D211,tblPriorPrice,2)</f>
        <v>31</v>
      </c>
      <c r="F211" s="190" t="n">
        <f aca="false">G211-E211</f>
        <v>0</v>
      </c>
      <c r="G211" s="190" t="n">
        <f aca="true">G199+OFFSET($CG$4,$B211,$C211)</f>
        <v>31</v>
      </c>
      <c r="H211" s="96" t="n">
        <f aca="true">G211+OFFSET($CU$4,$B211,$C211)</f>
        <v>26</v>
      </c>
      <c r="I211" s="96" t="n">
        <f aca="true">G211+OFFSET($DI$4,$B211,$C211)</f>
        <v>60</v>
      </c>
      <c r="J211" s="94" t="n">
        <f aca="false">VLOOKUP($D211,tblPriorPrice,3)</f>
        <v>31</v>
      </c>
      <c r="K211" s="190" t="n">
        <f aca="false">L211-J211</f>
        <v>0</v>
      </c>
      <c r="L211" s="190" t="n">
        <f aca="true">L199+OFFSET($CG$27,$B211,$C211)</f>
        <v>31</v>
      </c>
      <c r="M211" s="96" t="n">
        <f aca="true">$L211+OFFSET($CU$27,$B211,$C211)</f>
        <v>26</v>
      </c>
      <c r="N211" s="97" t="n">
        <f aca="true">$L211+OFFSET($DI$27,$B211,$C211)</f>
        <v>50</v>
      </c>
      <c r="O211" s="59" t="n">
        <f aca="true">IF($A211="",0,INDEX(tblPosn,$A211,2))</f>
        <v>65209.4140625</v>
      </c>
      <c r="P211" s="59" t="n">
        <f aca="true">IF($A211="",0,INDEX(tblPosn,$A211,3))</f>
        <v>51481.1171875</v>
      </c>
      <c r="Q211" s="59" t="n">
        <f aca="true">IF($A211="",0,INDEX(tblPosn,$A211,4))</f>
        <v>13728.2978515625</v>
      </c>
      <c r="R211" s="59" t="n">
        <f aca="true">IF($A211="",0,INDEX(tblPosn,$A211,5))</f>
        <v>24024.521484375</v>
      </c>
      <c r="S211" s="59" t="n">
        <f aca="true">IF($A211="",0,INDEX(tblPosn,$A211,6))</f>
        <v>0</v>
      </c>
      <c r="T211" s="98" t="n">
        <f aca="false">O211*F211+P211*K211+R211*AC211+S211*AH211/0.72+Q211*X211</f>
        <v>0</v>
      </c>
      <c r="V211" s="161" t="n">
        <f aca="false">D211</f>
        <v>42309</v>
      </c>
      <c r="W211" s="94" t="n">
        <f aca="false">VLOOKUP($D211,tblPriorPrice,4)</f>
        <v>31</v>
      </c>
      <c r="X211" s="95" t="n">
        <f aca="false">Y211-W211</f>
        <v>0</v>
      </c>
      <c r="Y211" s="191" t="n">
        <f aca="true">Y199+OFFSET($CG$50,$B211,$C211)</f>
        <v>31</v>
      </c>
      <c r="Z211" s="96" t="n">
        <f aca="true">Y211+OFFSET($CU$51,$B211,$C211)</f>
        <v>26</v>
      </c>
      <c r="AA211" s="177" t="n">
        <f aca="true">Y211+OFFSET($DI$51,$B211,$C211)</f>
        <v>61</v>
      </c>
      <c r="AB211" s="94" t="n">
        <f aca="false">VLOOKUP($D211,tblPriorPrice,5)</f>
        <v>31</v>
      </c>
      <c r="AC211" s="190" t="n">
        <f aca="false">AD211-AB211</f>
        <v>0</v>
      </c>
      <c r="AD211" s="191" t="n">
        <f aca="true">AD199+OFFSET($CG$73,$B211,$C211)</f>
        <v>31</v>
      </c>
      <c r="AE211" s="96" t="n">
        <f aca="true">AD211+OFFSET($CU$74,$B211,$C211)</f>
        <v>26</v>
      </c>
      <c r="AF211" s="177" t="n">
        <f aca="true">AD211+OFFSET($DI$74,$B211,$C211)</f>
        <v>61</v>
      </c>
      <c r="AG211" s="94" t="n">
        <f aca="false">VLOOKUP($D211,tblPriorPrice,6)</f>
        <v>1</v>
      </c>
      <c r="AH211" s="190" t="n">
        <f aca="false">AI211-AG211</f>
        <v>0</v>
      </c>
      <c r="AI211" s="191" t="n">
        <f aca="true">AI199+OFFSET($CG$96,$B211,$C211)</f>
        <v>1</v>
      </c>
      <c r="AJ211" s="96" t="n">
        <f aca="true">AI211+OFFSET($CU$96,$B211,$C211)</f>
        <v>1</v>
      </c>
      <c r="AK211" s="97" t="n">
        <f aca="true">AI211+OFFSET($DI$96,$B211,$C211)</f>
        <v>1</v>
      </c>
      <c r="AL211" s="178" t="n">
        <v>60</v>
      </c>
      <c r="AM211" s="165" t="n">
        <v>0.4</v>
      </c>
      <c r="AN211" s="167" t="n">
        <f aca="false">'[3]Pricing Summary'!$AM189</f>
        <v>0.17</v>
      </c>
      <c r="AO211" s="167" t="n">
        <f aca="false">0.9*AN211</f>
        <v>0.153</v>
      </c>
      <c r="AP211" s="166" t="n">
        <f aca="false">1.5*AN211</f>
        <v>0.255</v>
      </c>
      <c r="AQ211" s="167" t="n">
        <f aca="false">AN211</f>
        <v>0.17</v>
      </c>
      <c r="AR211" s="166" t="n">
        <f aca="false">0.8*AQ211</f>
        <v>0.136</v>
      </c>
      <c r="AS211" s="166" t="n">
        <f aca="false">1.2*AQ211</f>
        <v>0.204</v>
      </c>
      <c r="AT211" s="169" t="n">
        <f aca="false">IF(G211&lt;110,17.94063*(LN(G211/100))+6.727568*(LN(G211/100)^2)+15.06494,(-4.1*G211+2135)/100)*0.5</f>
        <v>1.64058990686036</v>
      </c>
      <c r="AU211" s="169" t="n">
        <f aca="false">(0.75*AT211-AT211)</f>
        <v>-0.410147476715089</v>
      </c>
      <c r="AV211" s="166" t="n">
        <f aca="false">AT211/0.5*1.25-AT211</f>
        <v>2.46088486029054</v>
      </c>
      <c r="AW211" s="168" t="n">
        <f aca="false">IF(L211&lt;15,(15*L211+375)/100,(-4.71*L211+670.65)/100)*0.5</f>
        <v>2.6232</v>
      </c>
      <c r="AX211" s="166" t="n">
        <f aca="false">0.75*AW211-AW211</f>
        <v>-0.6558</v>
      </c>
      <c r="AY211" s="166" t="n">
        <f aca="false">AW211/0.5*1.25-AW211</f>
        <v>3.9348</v>
      </c>
      <c r="AZ211" s="167" t="n">
        <v>0.5</v>
      </c>
      <c r="BA211" s="74"/>
      <c r="BQ211" s="108" t="n">
        <v>36907.7428240741</v>
      </c>
      <c r="BR211" s="109" t="n">
        <v>36907.743287037</v>
      </c>
      <c r="BS211" s="110" t="n">
        <v>42248</v>
      </c>
      <c r="BT211" s="111" t="n">
        <v>72886.65625</v>
      </c>
      <c r="BU211" s="112" t="n">
        <v>52061.8984375</v>
      </c>
      <c r="BV211" s="112" t="n">
        <v>13883.1728515625</v>
      </c>
      <c r="BW211" s="112" t="n">
        <v>17353.966796875</v>
      </c>
      <c r="BX211" s="113" t="n">
        <v>0</v>
      </c>
      <c r="BZ211" s="110" t="n">
        <v>42309</v>
      </c>
      <c r="CA211" s="185" t="n">
        <v>31</v>
      </c>
      <c r="CB211" s="116" t="n">
        <v>31</v>
      </c>
      <c r="CC211" s="181" t="n">
        <v>31</v>
      </c>
      <c r="CD211" s="181" t="n">
        <v>31</v>
      </c>
      <c r="CE211" s="117" t="n">
        <v>1</v>
      </c>
    </row>
    <row r="212" customFormat="false" ht="12.75" hidden="false" customHeight="false" outlineLevel="0" collapsed="false">
      <c r="A212" s="0" t="n">
        <f aca="true">IF(ISERROR(MATCH(D212,iRefDt,0)),"",MATCH(D212,iRefDt,0))</f>
        <v>212</v>
      </c>
      <c r="B212" s="92" t="n">
        <f aca="false">MATCH(YEAR(D212),iSpreads)</f>
        <v>15</v>
      </c>
      <c r="C212" s="0" t="n">
        <f aca="false">MONTH(D212)</f>
        <v>12</v>
      </c>
      <c r="D212" s="93" t="n">
        <f aca="false">DATE(YEAR(D211),MONTH(D211)+1,1)</f>
        <v>42339</v>
      </c>
      <c r="E212" s="94" t="n">
        <f aca="false">VLOOKUP($D212,tblPriorPrice,2)</f>
        <v>32</v>
      </c>
      <c r="F212" s="190" t="n">
        <f aca="false">G212-E212</f>
        <v>0</v>
      </c>
      <c r="G212" s="190" t="n">
        <f aca="true">G200+OFFSET($CG$4,$B212,$C212)</f>
        <v>32</v>
      </c>
      <c r="H212" s="96" t="n">
        <f aca="true">G212+OFFSET($CU$4,$B212,$C212)</f>
        <v>27</v>
      </c>
      <c r="I212" s="96" t="n">
        <f aca="true">G212+OFFSET($DI$4,$B212,$C212)</f>
        <v>61</v>
      </c>
      <c r="J212" s="94" t="n">
        <f aca="false">VLOOKUP($D212,tblPriorPrice,3)</f>
        <v>29</v>
      </c>
      <c r="K212" s="190" t="n">
        <f aca="false">L212-J212</f>
        <v>0</v>
      </c>
      <c r="L212" s="190" t="n">
        <f aca="true">L200+OFFSET($CG$27,$B212,$C212)</f>
        <v>29</v>
      </c>
      <c r="M212" s="96" t="n">
        <f aca="true">$L212+OFFSET($CU$27,$B212,$C212)</f>
        <v>24</v>
      </c>
      <c r="N212" s="97" t="n">
        <f aca="true">$L212+OFFSET($DI$27,$B212,$C212)</f>
        <v>48</v>
      </c>
      <c r="O212" s="59" t="n">
        <f aca="true">IF($A212="",0,INDEX(tblPosn,$A212,2))</f>
        <v>75084.4921875</v>
      </c>
      <c r="P212" s="59" t="n">
        <f aca="true">IF($A212="",0,INDEX(tblPosn,$A212,3))</f>
        <v>52900.4375</v>
      </c>
      <c r="Q212" s="59" t="n">
        <f aca="true">IF($A212="",0,INDEX(tblPosn,$A212,4))</f>
        <v>13651.7265625</v>
      </c>
      <c r="R212" s="59" t="n">
        <f aca="true">IF($A212="",0,INDEX(tblPosn,$A212,5))</f>
        <v>17064.658203125</v>
      </c>
      <c r="S212" s="59" t="n">
        <f aca="true">IF($A212="",0,INDEX(tblPosn,$A212,6))</f>
        <v>0</v>
      </c>
      <c r="T212" s="98" t="n">
        <f aca="false">O212*F212+P212*K212+R212*AC212+S212*AH212/0.72+Q212*X212</f>
        <v>0</v>
      </c>
      <c r="V212" s="161" t="n">
        <f aca="false">D212</f>
        <v>42339</v>
      </c>
      <c r="W212" s="94" t="n">
        <f aca="false">VLOOKUP($D212,tblPriorPrice,4)</f>
        <v>29</v>
      </c>
      <c r="X212" s="95" t="n">
        <f aca="false">Y212-W212</f>
        <v>0</v>
      </c>
      <c r="Y212" s="191" t="n">
        <f aca="true">Y200+OFFSET($CG$50,$B212,$C212)</f>
        <v>29</v>
      </c>
      <c r="Z212" s="96" t="n">
        <f aca="true">Y212+OFFSET($CU$51,$B212,$C212)</f>
        <v>24</v>
      </c>
      <c r="AA212" s="177" t="n">
        <f aca="true">Y212+OFFSET($DI$51,$B212,$C212)</f>
        <v>59</v>
      </c>
      <c r="AB212" s="94" t="n">
        <f aca="false">VLOOKUP($D212,tblPriorPrice,5)</f>
        <v>29</v>
      </c>
      <c r="AC212" s="190" t="n">
        <f aca="false">AD212-AB212</f>
        <v>0</v>
      </c>
      <c r="AD212" s="191" t="n">
        <f aca="true">AD200+OFFSET($CG$73,$B212,$C212)</f>
        <v>29</v>
      </c>
      <c r="AE212" s="96" t="n">
        <f aca="true">AD212+OFFSET($CU$74,$B212,$C212)</f>
        <v>24</v>
      </c>
      <c r="AF212" s="177" t="n">
        <f aca="true">AD212+OFFSET($DI$74,$B212,$C212)</f>
        <v>59</v>
      </c>
      <c r="AG212" s="94" t="n">
        <f aca="false">VLOOKUP($D212,tblPriorPrice,6)</f>
        <v>1</v>
      </c>
      <c r="AH212" s="190" t="n">
        <f aca="false">AI212-AG212</f>
        <v>0</v>
      </c>
      <c r="AI212" s="191" t="n">
        <f aca="true">AI200+OFFSET($CG$96,$B212,$C212)</f>
        <v>1</v>
      </c>
      <c r="AJ212" s="96" t="n">
        <f aca="true">AI212+OFFSET($CU$96,$B212,$C212)</f>
        <v>1</v>
      </c>
      <c r="AK212" s="97" t="n">
        <f aca="true">AI212+OFFSET($DI$96,$B212,$C212)</f>
        <v>1</v>
      </c>
      <c r="AL212" s="178" t="n">
        <v>61</v>
      </c>
      <c r="AM212" s="165" t="n">
        <v>0.4</v>
      </c>
      <c r="AN212" s="167" t="n">
        <f aca="false">'[3]Pricing Summary'!$AM190</f>
        <v>0.17</v>
      </c>
      <c r="AO212" s="167" t="n">
        <f aca="false">0.9*AN212</f>
        <v>0.153</v>
      </c>
      <c r="AP212" s="166" t="n">
        <f aca="false">1.5*AN212</f>
        <v>0.255</v>
      </c>
      <c r="AQ212" s="167" t="n">
        <f aca="false">AN212</f>
        <v>0.17</v>
      </c>
      <c r="AR212" s="166" t="n">
        <f aca="false">0.8*AQ212</f>
        <v>0.136</v>
      </c>
      <c r="AS212" s="166" t="n">
        <f aca="false">1.2*AQ212</f>
        <v>0.204</v>
      </c>
      <c r="AT212" s="169" t="n">
        <f aca="false">IF(G212&lt;110,17.94063*(LN(G212/100))+6.727568*(LN(G212/100)^2)+15.06494,(-4.1*G212+2135)/100)*0.5</f>
        <v>1.67862159684781</v>
      </c>
      <c r="AU212" s="169" t="n">
        <f aca="false">(0.75*AT212-AT212)</f>
        <v>-0.419655399211954</v>
      </c>
      <c r="AV212" s="166" t="n">
        <f aca="false">AT212/0.5*1.25-AT212</f>
        <v>2.51793239527172</v>
      </c>
      <c r="AW212" s="168" t="n">
        <f aca="false">IF(L212&lt;15,(15*L212+375)/100,(-4.71*L212+670.65)/100)*0.5</f>
        <v>2.6703</v>
      </c>
      <c r="AX212" s="166" t="n">
        <f aca="false">0.75*AW212-AW212</f>
        <v>-0.667575</v>
      </c>
      <c r="AY212" s="166" t="n">
        <f aca="false">AW212/0.5*1.25-AW212</f>
        <v>4.00545</v>
      </c>
      <c r="AZ212" s="167" t="n">
        <v>0.5</v>
      </c>
      <c r="BA212" s="74"/>
      <c r="BQ212" s="108" t="n">
        <v>36907.7428240741</v>
      </c>
      <c r="BR212" s="109" t="n">
        <v>36907.743287037</v>
      </c>
      <c r="BS212" s="110" t="n">
        <v>42278</v>
      </c>
      <c r="BT212" s="111" t="n">
        <v>72470.8125</v>
      </c>
      <c r="BU212" s="112" t="n">
        <v>53706.046875</v>
      </c>
      <c r="BV212" s="112" t="n">
        <v>17254.955078125</v>
      </c>
      <c r="BW212" s="112" t="n">
        <v>17254.955078125</v>
      </c>
      <c r="BX212" s="113" t="n">
        <v>0</v>
      </c>
      <c r="BZ212" s="110" t="n">
        <v>42339</v>
      </c>
      <c r="CA212" s="185" t="n">
        <v>32</v>
      </c>
      <c r="CB212" s="116" t="n">
        <v>29</v>
      </c>
      <c r="CC212" s="181" t="n">
        <v>29</v>
      </c>
      <c r="CD212" s="181" t="n">
        <v>29</v>
      </c>
      <c r="CE212" s="117" t="n">
        <v>1</v>
      </c>
    </row>
    <row r="213" customFormat="false" ht="12.75" hidden="false" customHeight="false" outlineLevel="0" collapsed="false">
      <c r="A213" s="0" t="n">
        <f aca="true">IF(ISERROR(MATCH(D213,iRefDt,0)),"",MATCH(D213,iRefDt,0))</f>
        <v>213</v>
      </c>
      <c r="B213" s="92" t="n">
        <f aca="false">MATCH(YEAR(D213),iSpreads)</f>
        <v>16</v>
      </c>
      <c r="C213" s="0" t="n">
        <f aca="false">MONTH(D213)</f>
        <v>1</v>
      </c>
      <c r="D213" s="93" t="n">
        <f aca="false">DATE(YEAR(D212),MONTH(D212)+1,1)</f>
        <v>42370</v>
      </c>
      <c r="E213" s="94" t="n">
        <f aca="false">VLOOKUP($D213,tblPriorPrice,2)</f>
        <v>33</v>
      </c>
      <c r="F213" s="190" t="n">
        <f aca="false">G213-E213</f>
        <v>0</v>
      </c>
      <c r="G213" s="190" t="n">
        <f aca="true">G201+OFFSET($CG$4,$B213,$C213)</f>
        <v>33</v>
      </c>
      <c r="H213" s="96" t="n">
        <f aca="true">G213+OFFSET($CU$4,$B213,$C213)</f>
        <v>28</v>
      </c>
      <c r="I213" s="96" t="n">
        <f aca="true">G213+OFFSET($DI$4,$B213,$C213)</f>
        <v>63</v>
      </c>
      <c r="J213" s="94" t="n">
        <f aca="false">VLOOKUP($D213,tblPriorPrice,3)</f>
        <v>31</v>
      </c>
      <c r="K213" s="190" t="n">
        <f aca="false">L213-J213</f>
        <v>0</v>
      </c>
      <c r="L213" s="190" t="n">
        <f aca="true">L201+OFFSET($CG$27,$B213,$C213)</f>
        <v>31</v>
      </c>
      <c r="M213" s="96" t="n">
        <f aca="true">$L213+OFFSET($CU$27,$B213,$C213)</f>
        <v>26</v>
      </c>
      <c r="N213" s="97" t="n">
        <f aca="true">$L213+OFFSET($DI$27,$B213,$C213)</f>
        <v>51</v>
      </c>
      <c r="O213" s="59" t="n">
        <f aca="true">IF($A213="",0,INDEX(tblPosn,$A213,2))</f>
        <v>64247.59765625</v>
      </c>
      <c r="P213" s="59" t="n">
        <f aca="true">IF($A213="",0,INDEX(tblPosn,$A213,3))</f>
        <v>52412.51171875</v>
      </c>
      <c r="Q213" s="59" t="n">
        <f aca="true">IF($A213="",0,INDEX(tblPosn,$A213,4))</f>
        <v>16907.26171875</v>
      </c>
      <c r="R213" s="59" t="n">
        <f aca="true">IF($A213="",0,INDEX(tblPosn,$A213,5))</f>
        <v>23670.16796875</v>
      </c>
      <c r="S213" s="59" t="n">
        <f aca="true">IF($A213="",0,INDEX(tblPosn,$A213,6))</f>
        <v>0</v>
      </c>
      <c r="T213" s="98" t="n">
        <f aca="false">O213*F213+P213*K213+R213*AC213+S213*AH213/0.72+Q213*X213</f>
        <v>0</v>
      </c>
      <c r="V213" s="161" t="n">
        <f aca="false">D213</f>
        <v>42370</v>
      </c>
      <c r="W213" s="94" t="n">
        <f aca="false">VLOOKUP($D213,tblPriorPrice,4)</f>
        <v>31</v>
      </c>
      <c r="X213" s="95" t="n">
        <f aca="false">Y213-W213</f>
        <v>0</v>
      </c>
      <c r="Y213" s="191" t="n">
        <f aca="true">Y201+OFFSET($CG$50,$B213,$C213)</f>
        <v>31</v>
      </c>
      <c r="Z213" s="96" t="n">
        <f aca="true">Y213+OFFSET($CU$51,$B213,$C213)</f>
        <v>26</v>
      </c>
      <c r="AA213" s="177" t="n">
        <f aca="true">Y213+OFFSET($DI$51,$B213,$C213)</f>
        <v>62</v>
      </c>
      <c r="AB213" s="94" t="n">
        <f aca="false">VLOOKUP($D213,tblPriorPrice,5)</f>
        <v>31</v>
      </c>
      <c r="AC213" s="190" t="n">
        <f aca="false">AD213-AB213</f>
        <v>0</v>
      </c>
      <c r="AD213" s="191" t="n">
        <f aca="true">AD201+OFFSET($CG$73,$B213,$C213)</f>
        <v>31</v>
      </c>
      <c r="AE213" s="96" t="n">
        <f aca="true">AD213+OFFSET($CU$74,$B213,$C213)</f>
        <v>26</v>
      </c>
      <c r="AF213" s="177" t="n">
        <f aca="true">AD213+OFFSET($DI$74,$B213,$C213)</f>
        <v>62</v>
      </c>
      <c r="AG213" s="94" t="n">
        <f aca="false">VLOOKUP($D213,tblPriorPrice,6)</f>
        <v>1</v>
      </c>
      <c r="AH213" s="190" t="n">
        <f aca="false">AI213-AG213</f>
        <v>0</v>
      </c>
      <c r="AI213" s="191" t="n">
        <f aca="true">AI201+OFFSET($CG$96,$B213,$C213)</f>
        <v>1</v>
      </c>
      <c r="AJ213" s="96" t="n">
        <f aca="true">AI213+OFFSET($CU$96,$B213,$C213)</f>
        <v>1</v>
      </c>
      <c r="AK213" s="97" t="n">
        <f aca="true">AI213+OFFSET($DI$96,$B213,$C213)</f>
        <v>1</v>
      </c>
      <c r="AL213" s="178" t="n">
        <v>61</v>
      </c>
      <c r="AM213" s="165" t="n">
        <v>0.4</v>
      </c>
      <c r="AN213" s="167" t="n">
        <f aca="false">'[3]Pricing Summary'!$AM191</f>
        <v>0.17</v>
      </c>
      <c r="AO213" s="167" t="n">
        <f aca="false">0.9*AN213</f>
        <v>0.153</v>
      </c>
      <c r="AP213" s="166" t="n">
        <f aca="false">1.5*AN213</f>
        <v>0.255</v>
      </c>
      <c r="AQ213" s="167" t="n">
        <f aca="false">AN213</f>
        <v>0.17</v>
      </c>
      <c r="AR213" s="166" t="n">
        <f aca="false">0.8*AQ213</f>
        <v>0.136</v>
      </c>
      <c r="AS213" s="166" t="n">
        <f aca="false">1.2*AQ213</f>
        <v>0.204</v>
      </c>
      <c r="AT213" s="169" t="n">
        <f aca="false">IF(G213&lt;110,17.94063*(LN(G213/100))+6.727568*(LN(G213/100)^2)+15.06494,(-4.1*G213+2135)/100)*0.5</f>
        <v>1.72195432632388</v>
      </c>
      <c r="AU213" s="169" t="n">
        <f aca="false">(0.75*AT213-AT213)</f>
        <v>-0.43048858158097</v>
      </c>
      <c r="AV213" s="166" t="n">
        <f aca="false">AT213/0.5*1.25-AT213</f>
        <v>2.58293148948582</v>
      </c>
      <c r="AW213" s="168" t="n">
        <f aca="false">IF(L213&lt;15,(15*L213+375)/100,(-4.71*L213+670.65)/100)*0.5</f>
        <v>2.6232</v>
      </c>
      <c r="AX213" s="166" t="n">
        <f aca="false">0.75*AW213-AW213</f>
        <v>-0.6558</v>
      </c>
      <c r="AY213" s="166" t="n">
        <f aca="false">AW213/0.5*1.25-AW213</f>
        <v>3.9348</v>
      </c>
      <c r="AZ213" s="167" t="n">
        <v>0.5</v>
      </c>
      <c r="BA213" s="74"/>
      <c r="BQ213" s="108" t="n">
        <v>36907.7428240741</v>
      </c>
      <c r="BR213" s="109" t="n">
        <v>36907.743287037</v>
      </c>
      <c r="BS213" s="110" t="n">
        <v>42309</v>
      </c>
      <c r="BT213" s="111" t="n">
        <v>65209.4140625</v>
      </c>
      <c r="BU213" s="112" t="n">
        <v>51481.1171875</v>
      </c>
      <c r="BV213" s="112" t="n">
        <v>13728.2978515625</v>
      </c>
      <c r="BW213" s="112" t="n">
        <v>24024.521484375</v>
      </c>
      <c r="BX213" s="113" t="n">
        <v>0</v>
      </c>
      <c r="BZ213" s="110" t="n">
        <v>42370</v>
      </c>
      <c r="CA213" s="185" t="n">
        <v>33</v>
      </c>
      <c r="CB213" s="116" t="n">
        <v>31</v>
      </c>
      <c r="CC213" s="181" t="n">
        <v>31</v>
      </c>
      <c r="CD213" s="181" t="n">
        <v>31</v>
      </c>
      <c r="CE213" s="117" t="n">
        <v>1</v>
      </c>
    </row>
    <row r="214" customFormat="false" ht="12.75" hidden="false" customHeight="false" outlineLevel="0" collapsed="false">
      <c r="A214" s="0" t="n">
        <f aca="true">IF(ISERROR(MATCH(D214,iRefDt,0)),"",MATCH(D214,iRefDt,0))</f>
        <v>214</v>
      </c>
      <c r="B214" s="92" t="n">
        <f aca="false">MATCH(YEAR(D214),iSpreads)</f>
        <v>16</v>
      </c>
      <c r="C214" s="0" t="n">
        <f aca="false">MONTH(D214)</f>
        <v>2</v>
      </c>
      <c r="D214" s="93" t="n">
        <f aca="false">DATE(YEAR(D213),MONTH(D213)+1,1)</f>
        <v>42401</v>
      </c>
      <c r="E214" s="94" t="n">
        <f aca="false">VLOOKUP($D214,tblPriorPrice,2)</f>
        <v>30</v>
      </c>
      <c r="F214" s="190" t="n">
        <f aca="false">G214-E214</f>
        <v>0</v>
      </c>
      <c r="G214" s="190" t="n">
        <f aca="true">G202+OFFSET($CG$4,$B214,$C214)</f>
        <v>30</v>
      </c>
      <c r="H214" s="96" t="n">
        <f aca="true">G214+OFFSET($CU$4,$B214,$C214)</f>
        <v>25</v>
      </c>
      <c r="I214" s="96" t="n">
        <f aca="true">G214+OFFSET($DI$4,$B214,$C214)</f>
        <v>60</v>
      </c>
      <c r="J214" s="94" t="n">
        <f aca="false">VLOOKUP($D214,tblPriorPrice,3)</f>
        <v>30</v>
      </c>
      <c r="K214" s="190" t="n">
        <f aca="false">L214-J214</f>
        <v>0</v>
      </c>
      <c r="L214" s="190" t="n">
        <f aca="true">L202+OFFSET($CG$27,$B214,$C214)</f>
        <v>30</v>
      </c>
      <c r="M214" s="96" t="n">
        <f aca="true">$L214+OFFSET($CU$27,$B214,$C214)</f>
        <v>25</v>
      </c>
      <c r="N214" s="97" t="n">
        <f aca="true">$L214+OFFSET($DI$27,$B214,$C214)</f>
        <v>50</v>
      </c>
      <c r="O214" s="59" t="n">
        <f aca="true">IF($A214="",0,INDEX(tblPosn,$A214,2))</f>
        <v>69438.671875</v>
      </c>
      <c r="P214" s="59" t="n">
        <f aca="true">IF($A214="",0,INDEX(tblPosn,$A214,3))</f>
        <v>50289.34375</v>
      </c>
      <c r="Q214" s="59" t="n">
        <f aca="true">IF($A214="",0,INDEX(tblPosn,$A214,4))</f>
        <v>13887.734375</v>
      </c>
      <c r="R214" s="59" t="n">
        <f aca="true">IF($A214="",0,INDEX(tblPosn,$A214,5))</f>
        <v>17252.283203125</v>
      </c>
      <c r="S214" s="59" t="n">
        <f aca="true">IF($A214="",0,INDEX(tblPosn,$A214,6))</f>
        <v>0</v>
      </c>
      <c r="T214" s="98" t="n">
        <f aca="false">O214*F214+P214*K214+R214*AC214+S214*AH214/0.72+Q214*X214</f>
        <v>0</v>
      </c>
      <c r="V214" s="161" t="n">
        <f aca="false">D214</f>
        <v>42401</v>
      </c>
      <c r="W214" s="94" t="n">
        <f aca="false">VLOOKUP($D214,tblPriorPrice,4)</f>
        <v>30</v>
      </c>
      <c r="X214" s="95" t="n">
        <f aca="false">Y214-W214</f>
        <v>0</v>
      </c>
      <c r="Y214" s="191" t="n">
        <f aca="true">Y202+OFFSET($CG$50,$B214,$C214)</f>
        <v>30</v>
      </c>
      <c r="Z214" s="96" t="n">
        <f aca="true">Y214+OFFSET($CU$51,$B214,$C214)</f>
        <v>25</v>
      </c>
      <c r="AA214" s="177" t="n">
        <f aca="true">Y214+OFFSET($DI$51,$B214,$C214)</f>
        <v>61</v>
      </c>
      <c r="AB214" s="94" t="n">
        <f aca="false">VLOOKUP($D214,tblPriorPrice,5)</f>
        <v>30</v>
      </c>
      <c r="AC214" s="190" t="n">
        <f aca="false">AD214-AB214</f>
        <v>0</v>
      </c>
      <c r="AD214" s="191" t="n">
        <f aca="true">AD202+OFFSET($CG$73,$B214,$C214)</f>
        <v>30</v>
      </c>
      <c r="AE214" s="96" t="n">
        <f aca="true">AD214+OFFSET($CU$74,$B214,$C214)</f>
        <v>25</v>
      </c>
      <c r="AF214" s="177" t="n">
        <f aca="true">AD214+OFFSET($DI$74,$B214,$C214)</f>
        <v>61</v>
      </c>
      <c r="AG214" s="94" t="n">
        <f aca="false">VLOOKUP($D214,tblPriorPrice,6)</f>
        <v>1</v>
      </c>
      <c r="AH214" s="190" t="n">
        <f aca="false">AI214-AG214</f>
        <v>0</v>
      </c>
      <c r="AI214" s="191" t="n">
        <f aca="true">AI202+OFFSET($CG$96,$B214,$C214)</f>
        <v>1</v>
      </c>
      <c r="AJ214" s="96" t="n">
        <f aca="true">AI214+OFFSET($CU$96,$B214,$C214)</f>
        <v>1</v>
      </c>
      <c r="AK214" s="97" t="n">
        <f aca="true">AI214+OFFSET($DI$96,$B214,$C214)</f>
        <v>1</v>
      </c>
      <c r="AL214" s="178" t="n">
        <v>61</v>
      </c>
      <c r="AM214" s="165" t="n">
        <v>0.4</v>
      </c>
      <c r="AN214" s="167" t="n">
        <f aca="false">'[3]Pricing Summary'!$AM192</f>
        <v>0.17</v>
      </c>
      <c r="AO214" s="167" t="n">
        <f aca="false">0.9*AN214</f>
        <v>0.153</v>
      </c>
      <c r="AP214" s="166" t="n">
        <f aca="false">1.5*AN214</f>
        <v>0.255</v>
      </c>
      <c r="AQ214" s="167" t="n">
        <f aca="false">AN214</f>
        <v>0.17</v>
      </c>
      <c r="AR214" s="166" t="n">
        <f aca="false">0.8*AQ214</f>
        <v>0.136</v>
      </c>
      <c r="AS214" s="166" t="n">
        <f aca="false">1.2*AQ214</f>
        <v>0.204</v>
      </c>
      <c r="AT214" s="169" t="n">
        <f aca="false">IF(G214&lt;110,17.94063*(LN(G214/100))+6.727568*(LN(G214/100)^2)+15.06494,(-4.1*G214+2135)/100)*0.5</f>
        <v>1.60842951845599</v>
      </c>
      <c r="AU214" s="169" t="n">
        <f aca="false">(0.75*AT214-AT214)</f>
        <v>-0.402107379613998</v>
      </c>
      <c r="AV214" s="166" t="n">
        <f aca="false">AT214/0.5*1.25-AT214</f>
        <v>2.41264427768399</v>
      </c>
      <c r="AW214" s="168" t="n">
        <f aca="false">IF(L214&lt;15,(15*L214+375)/100,(-4.71*L214+670.65)/100)*0.5</f>
        <v>2.64675</v>
      </c>
      <c r="AX214" s="166" t="n">
        <f aca="false">0.75*AW214-AW214</f>
        <v>-0.6616875</v>
      </c>
      <c r="AY214" s="166" t="n">
        <f aca="false">AW214/0.5*1.25-AW214</f>
        <v>3.970125</v>
      </c>
      <c r="AZ214" s="167" t="n">
        <v>0.5</v>
      </c>
      <c r="BA214" s="74"/>
      <c r="BQ214" s="108" t="n">
        <v>36907.7428240741</v>
      </c>
      <c r="BR214" s="109" t="n">
        <v>36907.743287037</v>
      </c>
      <c r="BS214" s="110" t="n">
        <v>42339</v>
      </c>
      <c r="BT214" s="111" t="n">
        <v>75084.4921875</v>
      </c>
      <c r="BU214" s="112" t="n">
        <v>52900.4375</v>
      </c>
      <c r="BV214" s="112" t="n">
        <v>13651.7265625</v>
      </c>
      <c r="BW214" s="112" t="n">
        <v>17064.658203125</v>
      </c>
      <c r="BX214" s="113" t="n">
        <v>0</v>
      </c>
      <c r="BZ214" s="110" t="n">
        <v>42401</v>
      </c>
      <c r="CA214" s="185" t="n">
        <v>30</v>
      </c>
      <c r="CB214" s="116" t="n">
        <v>30</v>
      </c>
      <c r="CC214" s="181" t="n">
        <v>30</v>
      </c>
      <c r="CD214" s="181" t="n">
        <v>30</v>
      </c>
      <c r="CE214" s="117" t="n">
        <v>1</v>
      </c>
    </row>
    <row r="215" customFormat="false" ht="12.75" hidden="false" customHeight="false" outlineLevel="0" collapsed="false">
      <c r="A215" s="0" t="n">
        <f aca="true">IF(ISERROR(MATCH(D215,iRefDt,0)),"",MATCH(D215,iRefDt,0))</f>
        <v>215</v>
      </c>
      <c r="B215" s="92" t="n">
        <f aca="false">MATCH(YEAR(D215),iSpreads)</f>
        <v>16</v>
      </c>
      <c r="C215" s="0" t="n">
        <f aca="false">MONTH(D215)</f>
        <v>3</v>
      </c>
      <c r="D215" s="93" t="n">
        <f aca="false">DATE(YEAR(D214),MONTH(D214)+1,1)</f>
        <v>42430</v>
      </c>
      <c r="E215" s="94" t="n">
        <f aca="false">VLOOKUP($D215,tblPriorPrice,2)</f>
        <v>29</v>
      </c>
      <c r="F215" s="190" t="n">
        <f aca="false">G215-E215</f>
        <v>0</v>
      </c>
      <c r="G215" s="190" t="n">
        <f aca="true">G203+OFFSET($CG$4,$B215,$C215)</f>
        <v>29</v>
      </c>
      <c r="H215" s="96" t="n">
        <f aca="true">G215+OFFSET($CU$4,$B215,$C215)</f>
        <v>24</v>
      </c>
      <c r="I215" s="96" t="n">
        <f aca="true">G215+OFFSET($DI$4,$B215,$C215)</f>
        <v>59</v>
      </c>
      <c r="J215" s="94" t="n">
        <f aca="false">VLOOKUP($D215,tblPriorPrice,3)</f>
        <v>29</v>
      </c>
      <c r="K215" s="190" t="n">
        <f aca="false">L215-J215</f>
        <v>0</v>
      </c>
      <c r="L215" s="190" t="n">
        <f aca="true">L203+OFFSET($CG$27,$B215,$C215)</f>
        <v>29</v>
      </c>
      <c r="M215" s="96" t="n">
        <f aca="true">$L215+OFFSET($CU$27,$B215,$C215)</f>
        <v>24</v>
      </c>
      <c r="N215" s="97" t="n">
        <f aca="true">$L215+OFFSET($DI$27,$B215,$C215)</f>
        <v>49</v>
      </c>
      <c r="O215" s="59" t="n">
        <f aca="true">IF($A215="",0,INDEX(tblPosn,$A215,2))</f>
        <v>73620.9296875</v>
      </c>
      <c r="P215" s="59" t="n">
        <f aca="true">IF($A215="",0,INDEX(tblPosn,$A215,3))</f>
        <v>51869.2890625</v>
      </c>
      <c r="Q215" s="59" t="n">
        <f aca="true">IF($A215="",0,INDEX(tblPosn,$A215,4))</f>
        <v>13385.623046875</v>
      </c>
      <c r="R215" s="59" t="n">
        <f aca="true">IF($A215="",0,INDEX(tblPosn,$A215,5))</f>
        <v>16732.029296875</v>
      </c>
      <c r="S215" s="59" t="n">
        <f aca="true">IF($A215="",0,INDEX(tblPosn,$A215,6))</f>
        <v>0</v>
      </c>
      <c r="T215" s="98" t="n">
        <f aca="false">O215*F215+P215*K215+R215*AC215+S215*AH215/0.72+Q215*X215</f>
        <v>0</v>
      </c>
      <c r="V215" s="161" t="n">
        <f aca="false">D215</f>
        <v>42430</v>
      </c>
      <c r="W215" s="94" t="n">
        <f aca="false">VLOOKUP($D215,tblPriorPrice,4)</f>
        <v>29</v>
      </c>
      <c r="X215" s="95" t="n">
        <f aca="false">Y215-W215</f>
        <v>0</v>
      </c>
      <c r="Y215" s="191" t="n">
        <f aca="true">Y203+OFFSET($CG$50,$B215,$C215)</f>
        <v>29</v>
      </c>
      <c r="Z215" s="96" t="n">
        <f aca="true">Y215+OFFSET($CU$51,$B215,$C215)</f>
        <v>24</v>
      </c>
      <c r="AA215" s="177" t="n">
        <f aca="true">Y215+OFFSET($DI$51,$B215,$C215)</f>
        <v>60</v>
      </c>
      <c r="AB215" s="94" t="n">
        <f aca="false">VLOOKUP($D215,tblPriorPrice,5)</f>
        <v>29</v>
      </c>
      <c r="AC215" s="190" t="n">
        <f aca="false">AD215-AB215</f>
        <v>0</v>
      </c>
      <c r="AD215" s="191" t="n">
        <f aca="true">AD203+OFFSET($CG$73,$B215,$C215)</f>
        <v>29</v>
      </c>
      <c r="AE215" s="96" t="n">
        <f aca="true">AD215+OFFSET($CU$74,$B215,$C215)</f>
        <v>24</v>
      </c>
      <c r="AF215" s="177" t="n">
        <f aca="true">AD215+OFFSET($DI$74,$B215,$C215)</f>
        <v>60</v>
      </c>
      <c r="AG215" s="94" t="n">
        <f aca="false">VLOOKUP($D215,tblPriorPrice,6)</f>
        <v>1</v>
      </c>
      <c r="AH215" s="190" t="n">
        <f aca="false">AI215-AG215</f>
        <v>0</v>
      </c>
      <c r="AI215" s="191" t="n">
        <f aca="true">AI203+OFFSET($CG$96,$B215,$C215)</f>
        <v>1</v>
      </c>
      <c r="AJ215" s="96" t="n">
        <f aca="true">AI215+OFFSET($CU$96,$B215,$C215)</f>
        <v>1</v>
      </c>
      <c r="AK215" s="97" t="n">
        <f aca="true">AI215+OFFSET($DI$96,$B215,$C215)</f>
        <v>1</v>
      </c>
      <c r="AL215" s="178" t="n">
        <v>62</v>
      </c>
      <c r="AM215" s="165" t="n">
        <v>0.4</v>
      </c>
      <c r="AN215" s="167" t="n">
        <f aca="false">'[3]Pricing Summary'!$AM193</f>
        <v>0.17</v>
      </c>
      <c r="AO215" s="167" t="n">
        <f aca="false">0.9*AN215</f>
        <v>0.153</v>
      </c>
      <c r="AP215" s="166" t="n">
        <f aca="false">1.5*AN215</f>
        <v>0.255</v>
      </c>
      <c r="AQ215" s="167" t="n">
        <f aca="false">AN215</f>
        <v>0.17</v>
      </c>
      <c r="AR215" s="166" t="n">
        <f aca="false">0.8*AQ215</f>
        <v>0.136</v>
      </c>
      <c r="AS215" s="166" t="n">
        <f aca="false">1.2*AQ215</f>
        <v>0.204</v>
      </c>
      <c r="AT215" s="169" t="n">
        <f aca="false">IF(G215&lt;110,17.94063*(LN(G215/100))+6.727568*(LN(G215/100)^2)+15.06494,(-4.1*G215+2135)/100)*0.5</f>
        <v>1.58278405940532</v>
      </c>
      <c r="AU215" s="169" t="n">
        <f aca="false">(0.75*AT215-AT215)</f>
        <v>-0.395696014851329</v>
      </c>
      <c r="AV215" s="166" t="n">
        <f aca="false">AT215/0.5*1.25-AT215</f>
        <v>2.37417608910797</v>
      </c>
      <c r="AW215" s="168" t="n">
        <f aca="false">IF(L215&lt;15,(15*L215+375)/100,(-4.71*L215+670.65)/100)*0.5</f>
        <v>2.6703</v>
      </c>
      <c r="AX215" s="166" t="n">
        <f aca="false">0.75*AW215-AW215</f>
        <v>-0.667575</v>
      </c>
      <c r="AY215" s="166" t="n">
        <f aca="false">AW215/0.5*1.25-AW215</f>
        <v>4.00545</v>
      </c>
      <c r="AZ215" s="167" t="n">
        <v>0.5</v>
      </c>
      <c r="BA215" s="74"/>
      <c r="BQ215" s="108" t="n">
        <v>36907.7428240741</v>
      </c>
      <c r="BR215" s="109" t="n">
        <v>36907.743287037</v>
      </c>
      <c r="BS215" s="110" t="n">
        <v>42370</v>
      </c>
      <c r="BT215" s="111" t="n">
        <v>64247.59765625</v>
      </c>
      <c r="BU215" s="112" t="n">
        <v>52412.51171875</v>
      </c>
      <c r="BV215" s="112" t="n">
        <v>16907.26171875</v>
      </c>
      <c r="BW215" s="112" t="n">
        <v>23670.16796875</v>
      </c>
      <c r="BX215" s="113" t="n">
        <v>0</v>
      </c>
      <c r="BZ215" s="110" t="n">
        <v>42430</v>
      </c>
      <c r="CA215" s="185" t="n">
        <v>29</v>
      </c>
      <c r="CB215" s="116" t="n">
        <v>29</v>
      </c>
      <c r="CC215" s="181" t="n">
        <v>29</v>
      </c>
      <c r="CD215" s="181" t="n">
        <v>29</v>
      </c>
      <c r="CE215" s="117" t="n">
        <v>1</v>
      </c>
    </row>
    <row r="216" customFormat="false" ht="12.75" hidden="false" customHeight="false" outlineLevel="0" collapsed="false">
      <c r="A216" s="0" t="n">
        <f aca="true">IF(ISERROR(MATCH(D216,iRefDt,0)),"",MATCH(D216,iRefDt,0))</f>
        <v>216</v>
      </c>
      <c r="B216" s="92" t="n">
        <f aca="false">MATCH(YEAR(D216),iSpreads)</f>
        <v>16</v>
      </c>
      <c r="C216" s="0" t="n">
        <f aca="false">MONTH(D216)</f>
        <v>4</v>
      </c>
      <c r="D216" s="93" t="n">
        <f aca="false">DATE(YEAR(D215),MONTH(D215)+1,1)</f>
        <v>42461</v>
      </c>
      <c r="E216" s="94" t="n">
        <f aca="false">VLOOKUP($D216,tblPriorPrice,2)</f>
        <v>29</v>
      </c>
      <c r="F216" s="190" t="n">
        <f aca="false">G216-E216</f>
        <v>0</v>
      </c>
      <c r="G216" s="190" t="n">
        <f aca="true">G204+OFFSET($CG$4,$B216,$C216)</f>
        <v>29</v>
      </c>
      <c r="H216" s="96" t="n">
        <f aca="true">G216+OFFSET($CU$4,$B216,$C216)</f>
        <v>24</v>
      </c>
      <c r="I216" s="96" t="n">
        <f aca="true">G216+OFFSET($DI$4,$B216,$C216)</f>
        <v>59</v>
      </c>
      <c r="J216" s="94" t="n">
        <f aca="false">VLOOKUP($D216,tblPriorPrice,3)</f>
        <v>29</v>
      </c>
      <c r="K216" s="190" t="n">
        <f aca="false">L216-J216</f>
        <v>0</v>
      </c>
      <c r="L216" s="190" t="n">
        <f aca="true">L204+OFFSET($CG$27,$B216,$C216)</f>
        <v>29</v>
      </c>
      <c r="M216" s="96" t="n">
        <f aca="true">$L216+OFFSET($CU$27,$B216,$C216)</f>
        <v>24</v>
      </c>
      <c r="N216" s="97" t="n">
        <f aca="true">$L216+OFFSET($DI$27,$B216,$C216)</f>
        <v>49</v>
      </c>
      <c r="O216" s="59" t="n">
        <f aca="true">IF($A216="",0,INDEX(tblPosn,$A216,2))</f>
        <v>69906.0703125</v>
      </c>
      <c r="P216" s="59" t="n">
        <f aca="true">IF($A216="",0,INDEX(tblPosn,$A216,3))</f>
        <v>49724.8515625</v>
      </c>
      <c r="Q216" s="59" t="n">
        <f aca="true">IF($A216="",0,INDEX(tblPosn,$A216,4))</f>
        <v>16644.302734375</v>
      </c>
      <c r="R216" s="59" t="n">
        <f aca="true">IF($A216="",0,INDEX(tblPosn,$A216,5))</f>
        <v>13315.4423828125</v>
      </c>
      <c r="S216" s="59" t="n">
        <f aca="true">IF($A216="",0,INDEX(tblPosn,$A216,6))</f>
        <v>0</v>
      </c>
      <c r="T216" s="98" t="n">
        <f aca="false">O216*F216+P216*K216+R216*AC216+S216*AH216/0.72+Q216*X216</f>
        <v>0</v>
      </c>
      <c r="V216" s="161" t="n">
        <f aca="false">D216</f>
        <v>42461</v>
      </c>
      <c r="W216" s="94" t="n">
        <f aca="false">VLOOKUP($D216,tblPriorPrice,4)</f>
        <v>29</v>
      </c>
      <c r="X216" s="95" t="n">
        <f aca="false">Y216-W216</f>
        <v>0</v>
      </c>
      <c r="Y216" s="191" t="n">
        <f aca="true">Y204+OFFSET($CG$50,$B216,$C216)</f>
        <v>29</v>
      </c>
      <c r="Z216" s="96" t="n">
        <f aca="true">Y216+OFFSET($CU$51,$B216,$C216)</f>
        <v>24</v>
      </c>
      <c r="AA216" s="177" t="n">
        <f aca="true">Y216+OFFSET($DI$51,$B216,$C216)</f>
        <v>60</v>
      </c>
      <c r="AB216" s="94" t="n">
        <f aca="false">VLOOKUP($D216,tblPriorPrice,5)</f>
        <v>29</v>
      </c>
      <c r="AC216" s="190" t="n">
        <f aca="false">AD216-AB216</f>
        <v>0</v>
      </c>
      <c r="AD216" s="191" t="n">
        <f aca="true">AD204+OFFSET($CG$73,$B216,$C216)</f>
        <v>29</v>
      </c>
      <c r="AE216" s="96" t="n">
        <f aca="true">AD216+OFFSET($CU$74,$B216,$C216)</f>
        <v>24</v>
      </c>
      <c r="AF216" s="177" t="n">
        <f aca="true">AD216+OFFSET($DI$74,$B216,$C216)</f>
        <v>60</v>
      </c>
      <c r="AG216" s="94" t="n">
        <f aca="false">VLOOKUP($D216,tblPriorPrice,6)</f>
        <v>1</v>
      </c>
      <c r="AH216" s="190" t="n">
        <f aca="false">AI216-AG216</f>
        <v>0</v>
      </c>
      <c r="AI216" s="191" t="n">
        <f aca="true">AI204+OFFSET($CG$96,$B216,$C216)</f>
        <v>1</v>
      </c>
      <c r="AJ216" s="96" t="n">
        <f aca="true">AI216+OFFSET($CU$96,$B216,$C216)</f>
        <v>1</v>
      </c>
      <c r="AK216" s="97" t="n">
        <f aca="true">AI216+OFFSET($DI$96,$B216,$C216)</f>
        <v>1</v>
      </c>
      <c r="AL216" s="178" t="n">
        <v>62</v>
      </c>
      <c r="AM216" s="165" t="n">
        <v>0.4</v>
      </c>
      <c r="AN216" s="167" t="n">
        <f aca="false">'[3]Pricing Summary'!$AM194</f>
        <v>0.17</v>
      </c>
      <c r="AO216" s="167" t="n">
        <f aca="false">0.9*AN216</f>
        <v>0.153</v>
      </c>
      <c r="AP216" s="166" t="n">
        <f aca="false">1.5*AN216</f>
        <v>0.255</v>
      </c>
      <c r="AQ216" s="167" t="n">
        <f aca="false">AN216</f>
        <v>0.17</v>
      </c>
      <c r="AR216" s="166" t="n">
        <f aca="false">0.8*AQ216</f>
        <v>0.136</v>
      </c>
      <c r="AS216" s="166" t="n">
        <f aca="false">1.2*AQ216</f>
        <v>0.204</v>
      </c>
      <c r="AT216" s="169" t="n">
        <f aca="false">IF(G216&lt;110,17.94063*(LN(G216/100))+6.727568*(LN(G216/100)^2)+15.06494,(-4.1*G216+2135)/100)*0.5</f>
        <v>1.58278405940532</v>
      </c>
      <c r="AU216" s="169" t="n">
        <f aca="false">(0.75*AT216-AT216)</f>
        <v>-0.395696014851329</v>
      </c>
      <c r="AV216" s="166" t="n">
        <f aca="false">AT216/0.5*1.25-AT216</f>
        <v>2.37417608910797</v>
      </c>
      <c r="AW216" s="168" t="n">
        <f aca="false">IF(L216&lt;15,(15*L216+375)/100,(-4.71*L216+670.65)/100)*0.5</f>
        <v>2.6703</v>
      </c>
      <c r="AX216" s="166" t="n">
        <f aca="false">0.75*AW216-AW216</f>
        <v>-0.667575</v>
      </c>
      <c r="AY216" s="166" t="n">
        <f aca="false">AW216/0.5*1.25-AW216</f>
        <v>4.00545</v>
      </c>
      <c r="AZ216" s="167" t="n">
        <v>0.5</v>
      </c>
      <c r="BA216" s="74"/>
      <c r="BQ216" s="108" t="n">
        <v>36907.7428240741</v>
      </c>
      <c r="BR216" s="109" t="n">
        <v>36907.743287037</v>
      </c>
      <c r="BS216" s="110" t="n">
        <v>42401</v>
      </c>
      <c r="BT216" s="111" t="n">
        <v>69438.671875</v>
      </c>
      <c r="BU216" s="112" t="n">
        <v>50289.34375</v>
      </c>
      <c r="BV216" s="112" t="n">
        <v>13887.734375</v>
      </c>
      <c r="BW216" s="112" t="n">
        <v>17252.283203125</v>
      </c>
      <c r="BX216" s="113" t="n">
        <v>0</v>
      </c>
      <c r="BZ216" s="110" t="n">
        <v>42461</v>
      </c>
      <c r="CA216" s="185" t="n">
        <v>29</v>
      </c>
      <c r="CB216" s="116" t="n">
        <v>29</v>
      </c>
      <c r="CC216" s="181" t="n">
        <v>29</v>
      </c>
      <c r="CD216" s="181" t="n">
        <v>29</v>
      </c>
      <c r="CE216" s="117" t="n">
        <v>1</v>
      </c>
    </row>
    <row r="217" customFormat="false" ht="12.75" hidden="false" customHeight="false" outlineLevel="0" collapsed="false">
      <c r="A217" s="0" t="n">
        <f aca="true">IF(ISERROR(MATCH(D217,iRefDt,0)),"",MATCH(D217,iRefDt,0))</f>
        <v>217</v>
      </c>
      <c r="B217" s="92" t="n">
        <f aca="false">MATCH(YEAR(D217),iSpreads)</f>
        <v>16</v>
      </c>
      <c r="C217" s="0" t="n">
        <f aca="false">MONTH(D217)</f>
        <v>5</v>
      </c>
      <c r="D217" s="93" t="n">
        <f aca="false">DATE(YEAR(D216),MONTH(D216)+1,1)</f>
        <v>42491</v>
      </c>
      <c r="E217" s="94" t="n">
        <f aca="false">VLOOKUP($D217,tblPriorPrice,2)</f>
        <v>32</v>
      </c>
      <c r="F217" s="190" t="n">
        <f aca="false">G217-E217</f>
        <v>0</v>
      </c>
      <c r="G217" s="190" t="n">
        <f aca="true">G205+OFFSET($CG$4,$B217,$C217)</f>
        <v>32</v>
      </c>
      <c r="H217" s="96" t="n">
        <f aca="true">G217+OFFSET($CU$4,$B217,$C217)</f>
        <v>27</v>
      </c>
      <c r="I217" s="96" t="n">
        <f aca="true">G217+OFFSET($DI$4,$B217,$C217)</f>
        <v>62</v>
      </c>
      <c r="J217" s="94" t="n">
        <f aca="false">VLOOKUP($D217,tblPriorPrice,3)</f>
        <v>32</v>
      </c>
      <c r="K217" s="190" t="n">
        <f aca="false">L217-J217</f>
        <v>0</v>
      </c>
      <c r="L217" s="190" t="n">
        <f aca="true">L205+OFFSET($CG$27,$B217,$C217)</f>
        <v>32</v>
      </c>
      <c r="M217" s="96" t="n">
        <f aca="true">$L217+OFFSET($CU$27,$B217,$C217)</f>
        <v>27</v>
      </c>
      <c r="N217" s="97" t="n">
        <f aca="true">$L217+OFFSET($DI$27,$B217,$C217)</f>
        <v>52</v>
      </c>
      <c r="O217" s="59" t="n">
        <f aca="true">IF($A217="",0,INDEX(tblPosn,$A217,2))</f>
        <v>69530.3671875</v>
      </c>
      <c r="P217" s="59" t="n">
        <f aca="true">IF($A217="",0,INDEX(tblPosn,$A217,3))</f>
        <v>51320.03515625</v>
      </c>
      <c r="Q217" s="59" t="n">
        <f aca="true">IF($A217="",0,INDEX(tblPosn,$A217,4))</f>
        <v>13243.8798828125</v>
      </c>
      <c r="R217" s="59" t="n">
        <f aca="true">IF($A217="",0,INDEX(tblPosn,$A217,5))</f>
        <v>19865.8203125</v>
      </c>
      <c r="S217" s="59" t="n">
        <f aca="true">IF($A217="",0,INDEX(tblPosn,$A217,6))</f>
        <v>0</v>
      </c>
      <c r="T217" s="98" t="n">
        <f aca="false">O217*F217+P217*K217+R217*AC217+S217*AH217/0.72+Q217*X217</f>
        <v>0</v>
      </c>
      <c r="V217" s="161" t="n">
        <f aca="false">D217</f>
        <v>42491</v>
      </c>
      <c r="W217" s="94" t="n">
        <f aca="false">VLOOKUP($D217,tblPriorPrice,4)</f>
        <v>32</v>
      </c>
      <c r="X217" s="95" t="n">
        <f aca="false">Y217-W217</f>
        <v>0</v>
      </c>
      <c r="Y217" s="191" t="n">
        <f aca="true">Y205+OFFSET($CG$50,$B217,$C217)</f>
        <v>32</v>
      </c>
      <c r="Z217" s="96" t="n">
        <f aca="true">Y217+OFFSET($CU$51,$B217,$C217)</f>
        <v>27</v>
      </c>
      <c r="AA217" s="177" t="n">
        <f aca="true">Y217+OFFSET($DI$51,$B217,$C217)</f>
        <v>63</v>
      </c>
      <c r="AB217" s="94" t="n">
        <f aca="false">VLOOKUP($D217,tblPriorPrice,5)</f>
        <v>32</v>
      </c>
      <c r="AC217" s="190" t="n">
        <f aca="false">AD217-AB217</f>
        <v>0</v>
      </c>
      <c r="AD217" s="191" t="n">
        <f aca="true">AD205+OFFSET($CG$73,$B217,$C217)</f>
        <v>32</v>
      </c>
      <c r="AE217" s="96" t="n">
        <f aca="true">AD217+OFFSET($CU$74,$B217,$C217)</f>
        <v>27</v>
      </c>
      <c r="AF217" s="177" t="n">
        <f aca="true">AD217+OFFSET($DI$74,$B217,$C217)</f>
        <v>63</v>
      </c>
      <c r="AG217" s="94" t="n">
        <f aca="false">VLOOKUP($D217,tblPriorPrice,6)</f>
        <v>1</v>
      </c>
      <c r="AH217" s="190" t="n">
        <f aca="false">AI217-AG217</f>
        <v>0</v>
      </c>
      <c r="AI217" s="191" t="n">
        <f aca="true">AI205+OFFSET($CG$96,$B217,$C217)</f>
        <v>1</v>
      </c>
      <c r="AJ217" s="96" t="n">
        <f aca="true">AI217+OFFSET($CU$96,$B217,$C217)</f>
        <v>1</v>
      </c>
      <c r="AK217" s="97" t="n">
        <f aca="true">AI217+OFFSET($DI$96,$B217,$C217)</f>
        <v>1</v>
      </c>
      <c r="AL217" s="178" t="n">
        <v>62</v>
      </c>
      <c r="AM217" s="165" t="n">
        <v>0.4</v>
      </c>
      <c r="AN217" s="167" t="n">
        <f aca="false">'[3]Pricing Summary'!$AM195</f>
        <v>0.17</v>
      </c>
      <c r="AO217" s="167" t="n">
        <f aca="false">0.9*AN217</f>
        <v>0.153</v>
      </c>
      <c r="AP217" s="166" t="n">
        <f aca="false">1.5*AN217</f>
        <v>0.255</v>
      </c>
      <c r="AQ217" s="167" t="n">
        <f aca="false">AN217</f>
        <v>0.17</v>
      </c>
      <c r="AR217" s="166" t="n">
        <f aca="false">0.8*AQ217</f>
        <v>0.136</v>
      </c>
      <c r="AS217" s="166" t="n">
        <f aca="false">1.2*AQ217</f>
        <v>0.204</v>
      </c>
      <c r="AT217" s="169" t="n">
        <f aca="false">IF(G217&lt;110,17.94063*(LN(G217/100))+6.727568*(LN(G217/100)^2)+15.06494,(-4.1*G217+2135)/100)*0.5</f>
        <v>1.67862159684781</v>
      </c>
      <c r="AU217" s="169" t="n">
        <f aca="false">(0.75*AT217-AT217)</f>
        <v>-0.419655399211954</v>
      </c>
      <c r="AV217" s="166" t="n">
        <f aca="false">AT217/0.5*1.25-AT217</f>
        <v>2.51793239527172</v>
      </c>
      <c r="AW217" s="168" t="n">
        <f aca="false">IF(L217&lt;15,(15*L217+375)/100,(-4.71*L217+670.65)/100)*0.5</f>
        <v>2.59965</v>
      </c>
      <c r="AX217" s="166" t="n">
        <f aca="false">0.75*AW217-AW217</f>
        <v>-0.6499125</v>
      </c>
      <c r="AY217" s="166" t="n">
        <f aca="false">AW217/0.5*1.25-AW217</f>
        <v>3.899475</v>
      </c>
      <c r="AZ217" s="167" t="n">
        <v>0.5</v>
      </c>
      <c r="BA217" s="74"/>
      <c r="BQ217" s="108" t="n">
        <v>36907.7428240741</v>
      </c>
      <c r="BR217" s="109" t="n">
        <v>36907.743287037</v>
      </c>
      <c r="BS217" s="110" t="n">
        <v>42430</v>
      </c>
      <c r="BT217" s="111" t="n">
        <v>73620.9296875</v>
      </c>
      <c r="BU217" s="112" t="n">
        <v>51869.2890625</v>
      </c>
      <c r="BV217" s="112" t="n">
        <v>13385.623046875</v>
      </c>
      <c r="BW217" s="112" t="n">
        <v>16732.029296875</v>
      </c>
      <c r="BX217" s="113" t="n">
        <v>0</v>
      </c>
      <c r="BZ217" s="110" t="n">
        <v>42491</v>
      </c>
      <c r="CA217" s="185" t="n">
        <v>32</v>
      </c>
      <c r="CB217" s="116" t="n">
        <v>32</v>
      </c>
      <c r="CC217" s="181" t="n">
        <v>32</v>
      </c>
      <c r="CD217" s="181" t="n">
        <v>32</v>
      </c>
      <c r="CE217" s="117" t="n">
        <v>1</v>
      </c>
    </row>
    <row r="218" customFormat="false" ht="12.75" hidden="false" customHeight="false" outlineLevel="0" collapsed="false">
      <c r="A218" s="0" t="n">
        <f aca="true">IF(ISERROR(MATCH(D218,iRefDt,0)),"",MATCH(D218,iRefDt,0))</f>
        <v>218</v>
      </c>
      <c r="B218" s="92" t="n">
        <f aca="false">MATCH(YEAR(D218),iSpreads)</f>
        <v>16</v>
      </c>
      <c r="C218" s="0" t="n">
        <f aca="false">MONTH(D218)</f>
        <v>6</v>
      </c>
      <c r="D218" s="93" t="n">
        <f aca="false">DATE(YEAR(D217),MONTH(D217)+1,1)</f>
        <v>42522</v>
      </c>
      <c r="E218" s="94" t="n">
        <f aca="false">VLOOKUP($D218,tblPriorPrice,2)</f>
        <v>39</v>
      </c>
      <c r="F218" s="190" t="n">
        <f aca="false">G218-E218</f>
        <v>0</v>
      </c>
      <c r="G218" s="190" t="n">
        <f aca="true">G206+OFFSET($CG$4,$B218,$C218)</f>
        <v>39</v>
      </c>
      <c r="H218" s="96" t="n">
        <f aca="true">G218+OFFSET($CU$4,$B218,$C218)</f>
        <v>34</v>
      </c>
      <c r="I218" s="96" t="n">
        <f aca="true">G218+OFFSET($DI$4,$B218,$C218)</f>
        <v>69</v>
      </c>
      <c r="J218" s="94" t="n">
        <f aca="false">VLOOKUP($D218,tblPriorPrice,3)</f>
        <v>39</v>
      </c>
      <c r="K218" s="190" t="n">
        <f aca="false">L218-J218</f>
        <v>0</v>
      </c>
      <c r="L218" s="190" t="n">
        <f aca="true">L206+OFFSET($CG$27,$B218,$C218)</f>
        <v>39</v>
      </c>
      <c r="M218" s="96" t="n">
        <f aca="true">$L218+OFFSET($CU$27,$B218,$C218)</f>
        <v>34</v>
      </c>
      <c r="N218" s="97" t="n">
        <f aca="true">$L218+OFFSET($DI$27,$B218,$C218)</f>
        <v>59</v>
      </c>
      <c r="O218" s="59" t="n">
        <f aca="true">IF($A218="",0,INDEX(tblPosn,$A218,2))</f>
        <v>72462.359375</v>
      </c>
      <c r="P218" s="59" t="n">
        <f aca="true">IF($A218="",0,INDEX(tblPosn,$A218,3))</f>
        <v>49406.15625</v>
      </c>
      <c r="Q218" s="59" t="n">
        <f aca="true">IF($A218="",0,INDEX(tblPosn,$A218,4))</f>
        <v>13174.974609375</v>
      </c>
      <c r="R218" s="59" t="n">
        <f aca="true">IF($A218="",0,INDEX(tblPosn,$A218,5))</f>
        <v>13174.974609375</v>
      </c>
      <c r="S218" s="59" t="n">
        <f aca="true">IF($A218="",0,INDEX(tblPosn,$A218,6))</f>
        <v>0</v>
      </c>
      <c r="T218" s="98" t="n">
        <f aca="false">O218*F218+P218*K218+R218*AC218+S218*AH218/0.72+Q218*X218</f>
        <v>0</v>
      </c>
      <c r="V218" s="161" t="n">
        <f aca="false">D218</f>
        <v>42522</v>
      </c>
      <c r="W218" s="94" t="n">
        <f aca="false">VLOOKUP($D218,tblPriorPrice,4)</f>
        <v>39</v>
      </c>
      <c r="X218" s="95" t="n">
        <f aca="false">Y218-W218</f>
        <v>0</v>
      </c>
      <c r="Y218" s="191" t="n">
        <f aca="true">Y206+OFFSET($CG$50,$B218,$C218)</f>
        <v>39</v>
      </c>
      <c r="Z218" s="96" t="n">
        <f aca="true">Y218+OFFSET($CU$51,$B218,$C218)</f>
        <v>34</v>
      </c>
      <c r="AA218" s="177" t="n">
        <f aca="true">Y218+OFFSET($DI$51,$B218,$C218)</f>
        <v>70</v>
      </c>
      <c r="AB218" s="94" t="n">
        <f aca="false">VLOOKUP($D218,tblPriorPrice,5)</f>
        <v>39</v>
      </c>
      <c r="AC218" s="190" t="n">
        <f aca="false">AD218-AB218</f>
        <v>0</v>
      </c>
      <c r="AD218" s="191" t="n">
        <f aca="true">AD206+OFFSET($CG$73,$B218,$C218)</f>
        <v>39</v>
      </c>
      <c r="AE218" s="96" t="n">
        <f aca="true">AD218+OFFSET($CU$74,$B218,$C218)</f>
        <v>34</v>
      </c>
      <c r="AF218" s="177" t="n">
        <f aca="true">AD218+OFFSET($DI$74,$B218,$C218)</f>
        <v>70</v>
      </c>
      <c r="AG218" s="94" t="n">
        <f aca="false">VLOOKUP($D218,tblPriorPrice,6)</f>
        <v>1</v>
      </c>
      <c r="AH218" s="190" t="n">
        <f aca="false">AI218-AG218</f>
        <v>0</v>
      </c>
      <c r="AI218" s="191" t="n">
        <f aca="true">AI206+OFFSET($CG$96,$B218,$C218)</f>
        <v>1</v>
      </c>
      <c r="AJ218" s="96" t="n">
        <f aca="true">AI218+OFFSET($CU$96,$B218,$C218)</f>
        <v>1</v>
      </c>
      <c r="AK218" s="97" t="n">
        <f aca="true">AI218+OFFSET($DI$96,$B218,$C218)</f>
        <v>1</v>
      </c>
      <c r="AL218" s="178" t="n">
        <v>63</v>
      </c>
      <c r="AM218" s="165" t="n">
        <v>0.4</v>
      </c>
      <c r="AN218" s="167" t="n">
        <f aca="false">'[3]Pricing Summary'!$AM196</f>
        <v>0.17</v>
      </c>
      <c r="AO218" s="167" t="n">
        <f aca="false">0.9*AN218</f>
        <v>0.153</v>
      </c>
      <c r="AP218" s="166" t="n">
        <f aca="false">1.5*AN218</f>
        <v>0.255</v>
      </c>
      <c r="AQ218" s="167" t="n">
        <f aca="false">AN218</f>
        <v>0.17</v>
      </c>
      <c r="AR218" s="166" t="n">
        <f aca="false">0.8*AQ218</f>
        <v>0.136</v>
      </c>
      <c r="AS218" s="166" t="n">
        <f aca="false">1.2*AQ218</f>
        <v>0.204</v>
      </c>
      <c r="AT218" s="169" t="n">
        <f aca="false">IF(G218&lt;110,17.94063*(LN(G218/100))+6.727568*(LN(G218/100)^2)+15.06494,(-4.1*G218+2135)/100)*0.5</f>
        <v>2.06836530423771</v>
      </c>
      <c r="AU218" s="169" t="n">
        <f aca="false">(0.75*AT218-AT218)</f>
        <v>-0.517091326059428</v>
      </c>
      <c r="AV218" s="166" t="n">
        <f aca="false">AT218/0.5*1.25-AT218</f>
        <v>3.10254795635657</v>
      </c>
      <c r="AW218" s="168" t="n">
        <f aca="false">IF(L218&lt;15,(15*L218+375)/100,(-4.71*L218+670.65)/100)*0.5</f>
        <v>2.4348</v>
      </c>
      <c r="AX218" s="166" t="n">
        <f aca="false">0.75*AW218-AW218</f>
        <v>-0.6087</v>
      </c>
      <c r="AY218" s="166" t="n">
        <f aca="false">AW218/0.5*1.25-AW218</f>
        <v>3.6522</v>
      </c>
      <c r="AZ218" s="167" t="n">
        <v>0.5</v>
      </c>
      <c r="BA218" s="74"/>
      <c r="BQ218" s="108" t="n">
        <v>36907.7428240741</v>
      </c>
      <c r="BR218" s="109" t="n">
        <v>36907.743287037</v>
      </c>
      <c r="BS218" s="110" t="n">
        <v>42461</v>
      </c>
      <c r="BT218" s="111" t="n">
        <v>69906.0703125</v>
      </c>
      <c r="BU218" s="112" t="n">
        <v>49724.8515625</v>
      </c>
      <c r="BV218" s="112" t="n">
        <v>16644.302734375</v>
      </c>
      <c r="BW218" s="112" t="n">
        <v>13315.4423828125</v>
      </c>
      <c r="BX218" s="113" t="n">
        <v>0</v>
      </c>
      <c r="BZ218" s="110" t="n">
        <v>42522</v>
      </c>
      <c r="CA218" s="185" t="n">
        <v>39</v>
      </c>
      <c r="CB218" s="116" t="n">
        <v>39</v>
      </c>
      <c r="CC218" s="181" t="n">
        <v>39</v>
      </c>
      <c r="CD218" s="181" t="n">
        <v>39</v>
      </c>
      <c r="CE218" s="117" t="n">
        <v>1</v>
      </c>
    </row>
    <row r="219" customFormat="false" ht="12.75" hidden="false" customHeight="false" outlineLevel="0" collapsed="false">
      <c r="A219" s="0" t="n">
        <f aca="true">IF(ISERROR(MATCH(D219,iRefDt,0)),"",MATCH(D219,iRefDt,0))</f>
        <v>219</v>
      </c>
      <c r="B219" s="92" t="n">
        <f aca="false">MATCH(YEAR(D219),iSpreads)</f>
        <v>16</v>
      </c>
      <c r="C219" s="0" t="n">
        <f aca="false">MONTH(D219)</f>
        <v>7</v>
      </c>
      <c r="D219" s="93" t="n">
        <f aca="false">DATE(YEAR(D218),MONTH(D218)+1,1)</f>
        <v>42552</v>
      </c>
      <c r="E219" s="94" t="n">
        <f aca="false">VLOOKUP($D219,tblPriorPrice,2)</f>
        <v>39</v>
      </c>
      <c r="F219" s="190" t="n">
        <f aca="false">G219-E219</f>
        <v>0</v>
      </c>
      <c r="G219" s="190" t="n">
        <f aca="true">G207+OFFSET($CG$4,$B219,$C219)</f>
        <v>39</v>
      </c>
      <c r="H219" s="96" t="n">
        <f aca="true">G219+OFFSET($CU$4,$B219,$C219)</f>
        <v>34</v>
      </c>
      <c r="I219" s="96" t="n">
        <f aca="true">G219+OFFSET($DI$4,$B219,$C219)</f>
        <v>69</v>
      </c>
      <c r="J219" s="94" t="n">
        <f aca="false">VLOOKUP($D219,tblPriorPrice,3)</f>
        <v>39</v>
      </c>
      <c r="K219" s="190" t="n">
        <f aca="false">L219-J219</f>
        <v>0</v>
      </c>
      <c r="L219" s="190" t="n">
        <f aca="true">L207+OFFSET($CG$27,$B219,$C219)</f>
        <v>39</v>
      </c>
      <c r="M219" s="96" t="n">
        <f aca="true">$L219+OFFSET($CU$27,$B219,$C219)</f>
        <v>34</v>
      </c>
      <c r="N219" s="97" t="n">
        <f aca="true">$L219+OFFSET($DI$27,$B219,$C219)</f>
        <v>59</v>
      </c>
      <c r="O219" s="59" t="n">
        <f aca="true">IF($A219="",0,INDEX(tblPosn,$A219,2))</f>
        <v>65514.7109375</v>
      </c>
      <c r="P219" s="59" t="n">
        <f aca="true">IF($A219="",0,INDEX(tblPosn,$A219,3))</f>
        <v>50773.8984375</v>
      </c>
      <c r="Q219" s="59" t="n">
        <f aca="true">IF($A219="",0,INDEX(tblPosn,$A219,4))</f>
        <v>16378.677734375</v>
      </c>
      <c r="R219" s="59" t="n">
        <f aca="true">IF($A219="",0,INDEX(tblPosn,$A219,5))</f>
        <v>19654.4140625</v>
      </c>
      <c r="S219" s="59" t="n">
        <f aca="true">IF($A219="",0,INDEX(tblPosn,$A219,6))</f>
        <v>0</v>
      </c>
      <c r="T219" s="98" t="n">
        <f aca="false">O219*F219+P219*K219+R219*AC219+S219*AH219/0.72+Q219*X219</f>
        <v>0</v>
      </c>
      <c r="V219" s="161" t="n">
        <f aca="false">D219</f>
        <v>42552</v>
      </c>
      <c r="W219" s="94" t="n">
        <f aca="false">VLOOKUP($D219,tblPriorPrice,4)</f>
        <v>39</v>
      </c>
      <c r="X219" s="95" t="n">
        <f aca="false">Y219-W219</f>
        <v>0</v>
      </c>
      <c r="Y219" s="191" t="n">
        <f aca="true">Y207+OFFSET($CG$50,$B219,$C219)</f>
        <v>39</v>
      </c>
      <c r="Z219" s="96" t="n">
        <f aca="true">Y219+OFFSET($CU$51,$B219,$C219)</f>
        <v>34</v>
      </c>
      <c r="AA219" s="177" t="n">
        <f aca="true">Y219+OFFSET($DI$51,$B219,$C219)</f>
        <v>70</v>
      </c>
      <c r="AB219" s="94" t="n">
        <f aca="false">VLOOKUP($D219,tblPriorPrice,5)</f>
        <v>39</v>
      </c>
      <c r="AC219" s="190" t="n">
        <f aca="false">AD219-AB219</f>
        <v>0</v>
      </c>
      <c r="AD219" s="191" t="n">
        <f aca="true">AD207+OFFSET($CG$73,$B219,$C219)</f>
        <v>39</v>
      </c>
      <c r="AE219" s="96" t="n">
        <f aca="true">AD219+OFFSET($CU$74,$B219,$C219)</f>
        <v>34</v>
      </c>
      <c r="AF219" s="177" t="n">
        <f aca="true">AD219+OFFSET($DI$74,$B219,$C219)</f>
        <v>70</v>
      </c>
      <c r="AG219" s="94" t="n">
        <f aca="false">VLOOKUP($D219,tblPriorPrice,6)</f>
        <v>1</v>
      </c>
      <c r="AH219" s="190" t="n">
        <f aca="false">AI219-AG219</f>
        <v>0</v>
      </c>
      <c r="AI219" s="191" t="n">
        <f aca="true">AI207+OFFSET($CG$96,$B219,$C219)</f>
        <v>1</v>
      </c>
      <c r="AJ219" s="96" t="n">
        <f aca="true">AI219+OFFSET($CU$96,$B219,$C219)</f>
        <v>1</v>
      </c>
      <c r="AK219" s="97" t="n">
        <f aca="true">AI219+OFFSET($DI$96,$B219,$C219)</f>
        <v>1</v>
      </c>
      <c r="AL219" s="178" t="n">
        <v>63</v>
      </c>
      <c r="AM219" s="165" t="n">
        <v>0.4</v>
      </c>
      <c r="AN219" s="167" t="n">
        <f aca="false">'[3]Pricing Summary'!$AM197</f>
        <v>0.17</v>
      </c>
      <c r="AO219" s="167" t="n">
        <f aca="false">0.9*AN219</f>
        <v>0.153</v>
      </c>
      <c r="AP219" s="166" t="n">
        <f aca="false">1.5*AN219</f>
        <v>0.255</v>
      </c>
      <c r="AQ219" s="167" t="n">
        <f aca="false">AN219</f>
        <v>0.17</v>
      </c>
      <c r="AR219" s="166" t="n">
        <f aca="false">0.8*AQ219</f>
        <v>0.136</v>
      </c>
      <c r="AS219" s="166" t="n">
        <f aca="false">1.2*AQ219</f>
        <v>0.204</v>
      </c>
      <c r="AT219" s="169" t="n">
        <f aca="false">IF(G219&lt;110,17.94063*(LN(G219/100))+6.727568*(LN(G219/100)^2)+15.06494,(-4.1*G219+2135)/100)*0.5</f>
        <v>2.06836530423771</v>
      </c>
      <c r="AU219" s="169" t="n">
        <f aca="false">(0.75*AT219-AT219)</f>
        <v>-0.517091326059428</v>
      </c>
      <c r="AV219" s="166" t="n">
        <f aca="false">AT219/0.5*1.25-AT219</f>
        <v>3.10254795635657</v>
      </c>
      <c r="AW219" s="168" t="n">
        <f aca="false">IF(L219&lt;15,(15*L219+375)/100,(-4.71*L219+670.65)/100)*0.5</f>
        <v>2.4348</v>
      </c>
      <c r="AX219" s="166" t="n">
        <f aca="false">0.75*AW219-AW219</f>
        <v>-0.6087</v>
      </c>
      <c r="AY219" s="166" t="n">
        <f aca="false">AW219/0.5*1.25-AW219</f>
        <v>3.6522</v>
      </c>
      <c r="AZ219" s="167" t="n">
        <v>0.5</v>
      </c>
      <c r="BA219" s="74"/>
      <c r="BQ219" s="108" t="n">
        <v>36907.7428240741</v>
      </c>
      <c r="BR219" s="109" t="n">
        <v>36907.743287037</v>
      </c>
      <c r="BS219" s="110" t="n">
        <v>42491</v>
      </c>
      <c r="BT219" s="111" t="n">
        <v>69530.3671875</v>
      </c>
      <c r="BU219" s="112" t="n">
        <v>51320.03515625</v>
      </c>
      <c r="BV219" s="112" t="n">
        <v>13243.8798828125</v>
      </c>
      <c r="BW219" s="112" t="n">
        <v>19865.8203125</v>
      </c>
      <c r="BX219" s="113" t="n">
        <v>0</v>
      </c>
      <c r="BZ219" s="110" t="n">
        <v>42552</v>
      </c>
      <c r="CA219" s="185" t="n">
        <v>39</v>
      </c>
      <c r="CB219" s="116" t="n">
        <v>39</v>
      </c>
      <c r="CC219" s="181" t="n">
        <v>39</v>
      </c>
      <c r="CD219" s="181" t="n">
        <v>39</v>
      </c>
      <c r="CE219" s="117" t="n">
        <v>1</v>
      </c>
    </row>
    <row r="220" customFormat="false" ht="12.75" hidden="false" customHeight="false" outlineLevel="0" collapsed="false">
      <c r="A220" s="0" t="n">
        <f aca="true">IF(ISERROR(MATCH(D220,iRefDt,0)),"",MATCH(D220,iRefDt,0))</f>
        <v>220</v>
      </c>
      <c r="B220" s="92" t="n">
        <f aca="false">MATCH(YEAR(D220),iSpreads)</f>
        <v>16</v>
      </c>
      <c r="C220" s="0" t="n">
        <f aca="false">MONTH(D220)</f>
        <v>8</v>
      </c>
      <c r="D220" s="93" t="n">
        <f aca="false">DATE(YEAR(D219),MONTH(D219)+1,1)</f>
        <v>42583</v>
      </c>
      <c r="E220" s="94" t="n">
        <f aca="false">VLOOKUP($D220,tblPriorPrice,2)</f>
        <v>41</v>
      </c>
      <c r="F220" s="190" t="n">
        <f aca="false">G220-E220</f>
        <v>0</v>
      </c>
      <c r="G220" s="190" t="n">
        <f aca="true">G208+OFFSET($CG$4,$B220,$C220)</f>
        <v>41</v>
      </c>
      <c r="H220" s="96" t="n">
        <f aca="true">G220+OFFSET($CU$4,$B220,$C220)</f>
        <v>36</v>
      </c>
      <c r="I220" s="96" t="n">
        <f aca="true">G220+OFFSET($DI$4,$B220,$C220)</f>
        <v>71</v>
      </c>
      <c r="J220" s="94" t="n">
        <f aca="false">VLOOKUP($D220,tblPriorPrice,3)</f>
        <v>41</v>
      </c>
      <c r="K220" s="190" t="n">
        <f aca="false">L220-J220</f>
        <v>0</v>
      </c>
      <c r="L220" s="190" t="n">
        <f aca="true">L208+OFFSET($CG$27,$B220,$C220)</f>
        <v>41</v>
      </c>
      <c r="M220" s="96" t="n">
        <f aca="true">$L220+OFFSET($CU$27,$B220,$C220)</f>
        <v>36</v>
      </c>
      <c r="N220" s="97" t="n">
        <f aca="true">$L220+OFFSET($DI$27,$B220,$C220)</f>
        <v>61</v>
      </c>
      <c r="O220" s="59" t="n">
        <f aca="true">IF($A220="",0,INDEX(tblPosn,$A220,2))</f>
        <v>74939.8671875</v>
      </c>
      <c r="P220" s="59" t="n">
        <f aca="true">IF($A220="",0,INDEX(tblPosn,$A220,3))</f>
        <v>50502.953125</v>
      </c>
      <c r="Q220" s="59" t="n">
        <f aca="true">IF($A220="",0,INDEX(tblPosn,$A220,4))</f>
        <v>13033.01953125</v>
      </c>
      <c r="R220" s="59" t="n">
        <f aca="true">IF($A220="",0,INDEX(tblPosn,$A220,5))</f>
        <v>13033.01953125</v>
      </c>
      <c r="S220" s="59" t="n">
        <f aca="true">IF($A220="",0,INDEX(tblPosn,$A220,6))</f>
        <v>0</v>
      </c>
      <c r="T220" s="98" t="n">
        <f aca="false">O220*F220+P220*K220+R220*AC220+S220*AH220/0.72+Q220*X220</f>
        <v>0</v>
      </c>
      <c r="V220" s="161" t="n">
        <f aca="false">D220</f>
        <v>42583</v>
      </c>
      <c r="W220" s="94" t="n">
        <f aca="false">VLOOKUP($D220,tblPriorPrice,4)</f>
        <v>41</v>
      </c>
      <c r="X220" s="95" t="n">
        <f aca="false">Y220-W220</f>
        <v>0</v>
      </c>
      <c r="Y220" s="191" t="n">
        <f aca="true">Y208+OFFSET($CG$50,$B220,$C220)</f>
        <v>41</v>
      </c>
      <c r="Z220" s="96" t="n">
        <f aca="true">Y220+OFFSET($CU$51,$B220,$C220)</f>
        <v>36</v>
      </c>
      <c r="AA220" s="177" t="n">
        <f aca="true">Y220+OFFSET($DI$51,$B220,$C220)</f>
        <v>72</v>
      </c>
      <c r="AB220" s="94" t="n">
        <f aca="false">VLOOKUP($D220,tblPriorPrice,5)</f>
        <v>41</v>
      </c>
      <c r="AC220" s="190" t="n">
        <f aca="false">AD220-AB220</f>
        <v>0</v>
      </c>
      <c r="AD220" s="191" t="n">
        <f aca="true">AD208+OFFSET($CG$73,$B220,$C220)</f>
        <v>41</v>
      </c>
      <c r="AE220" s="96" t="n">
        <f aca="true">AD220+OFFSET($CU$74,$B220,$C220)</f>
        <v>36</v>
      </c>
      <c r="AF220" s="177" t="n">
        <f aca="true">AD220+OFFSET($DI$74,$B220,$C220)</f>
        <v>72</v>
      </c>
      <c r="AG220" s="94" t="n">
        <f aca="false">VLOOKUP($D220,tblPriorPrice,6)</f>
        <v>1</v>
      </c>
      <c r="AH220" s="190" t="n">
        <f aca="false">AI220-AG220</f>
        <v>0</v>
      </c>
      <c r="AI220" s="191" t="n">
        <f aca="true">AI208+OFFSET($CG$96,$B220,$C220)</f>
        <v>1</v>
      </c>
      <c r="AJ220" s="96" t="n">
        <f aca="true">AI220+OFFSET($CU$96,$B220,$C220)</f>
        <v>1</v>
      </c>
      <c r="AK220" s="97" t="n">
        <f aca="true">AI220+OFFSET($DI$96,$B220,$C220)</f>
        <v>1</v>
      </c>
      <c r="AL220" s="178" t="n">
        <v>63</v>
      </c>
      <c r="AM220" s="165" t="n">
        <v>0.4</v>
      </c>
      <c r="AN220" s="167" t="n">
        <f aca="false">'[3]Pricing Summary'!$AM198</f>
        <v>0.17</v>
      </c>
      <c r="AO220" s="167" t="n">
        <f aca="false">0.9*AN220</f>
        <v>0.153</v>
      </c>
      <c r="AP220" s="166" t="n">
        <f aca="false">1.5*AN220</f>
        <v>0.255</v>
      </c>
      <c r="AQ220" s="167" t="n">
        <f aca="false">AN220</f>
        <v>0.17</v>
      </c>
      <c r="AR220" s="166" t="n">
        <f aca="false">0.8*AQ220</f>
        <v>0.136</v>
      </c>
      <c r="AS220" s="166" t="n">
        <f aca="false">1.2*AQ220</f>
        <v>0.204</v>
      </c>
      <c r="AT220" s="169" t="n">
        <f aca="false">IF(G220&lt;110,17.94063*(LN(G220/100))+6.727568*(LN(G220/100)^2)+15.06494,(-4.1*G220+2135)/100)*0.5</f>
        <v>2.20858471004844</v>
      </c>
      <c r="AU220" s="169" t="n">
        <f aca="false">(0.75*AT220-AT220)</f>
        <v>-0.552146177512111</v>
      </c>
      <c r="AV220" s="166" t="n">
        <f aca="false">AT220/0.5*1.25-AT220</f>
        <v>3.31287706507267</v>
      </c>
      <c r="AW220" s="168" t="n">
        <f aca="false">IF(L220&lt;15,(15*L220+375)/100,(-4.71*L220+670.65)/100)*0.5</f>
        <v>2.3877</v>
      </c>
      <c r="AX220" s="166" t="n">
        <f aca="false">0.75*AW220-AW220</f>
        <v>-0.596925</v>
      </c>
      <c r="AY220" s="166" t="n">
        <f aca="false">AW220/0.5*1.25-AW220</f>
        <v>3.58155</v>
      </c>
      <c r="AZ220" s="167" t="n">
        <v>0.5</v>
      </c>
      <c r="BA220" s="74"/>
      <c r="BQ220" s="108" t="n">
        <v>36907.7428240741</v>
      </c>
      <c r="BR220" s="109" t="n">
        <v>36907.743287037</v>
      </c>
      <c r="BS220" s="110" t="n">
        <v>42522</v>
      </c>
      <c r="BT220" s="111" t="n">
        <v>72462.359375</v>
      </c>
      <c r="BU220" s="112" t="n">
        <v>49406.15625</v>
      </c>
      <c r="BV220" s="112" t="n">
        <v>13174.974609375</v>
      </c>
      <c r="BW220" s="112" t="n">
        <v>13174.974609375</v>
      </c>
      <c r="BX220" s="113" t="n">
        <v>0</v>
      </c>
      <c r="BZ220" s="110" t="n">
        <v>42583</v>
      </c>
      <c r="CA220" s="185" t="n">
        <v>41</v>
      </c>
      <c r="CB220" s="116" t="n">
        <v>41</v>
      </c>
      <c r="CC220" s="181" t="n">
        <v>41</v>
      </c>
      <c r="CD220" s="181" t="n">
        <v>41</v>
      </c>
      <c r="CE220" s="117" t="n">
        <v>1</v>
      </c>
    </row>
    <row r="221" customFormat="false" ht="12.75" hidden="false" customHeight="false" outlineLevel="0" collapsed="false">
      <c r="A221" s="0" t="n">
        <f aca="true">IF(ISERROR(MATCH(D221,iRefDt,0)),"",MATCH(D221,iRefDt,0))</f>
        <v>221</v>
      </c>
      <c r="B221" s="92" t="n">
        <f aca="false">MATCH(YEAR(D221),iSpreads)</f>
        <v>16</v>
      </c>
      <c r="C221" s="0" t="n">
        <f aca="false">MONTH(D221)</f>
        <v>9</v>
      </c>
      <c r="D221" s="93" t="n">
        <f aca="false">DATE(YEAR(D220),MONTH(D220)+1,1)</f>
        <v>42614</v>
      </c>
      <c r="E221" s="94" t="n">
        <f aca="false">VLOOKUP($D221,tblPriorPrice,2)</f>
        <v>35</v>
      </c>
      <c r="F221" s="190" t="n">
        <f aca="false">G221-E221</f>
        <v>0</v>
      </c>
      <c r="G221" s="190" t="n">
        <f aca="true">G209+OFFSET($CG$4,$B221,$C221)</f>
        <v>35</v>
      </c>
      <c r="H221" s="96" t="n">
        <f aca="true">G221+OFFSET($CU$4,$B221,$C221)</f>
        <v>30</v>
      </c>
      <c r="I221" s="96" t="n">
        <f aca="true">G221+OFFSET($DI$4,$B221,$C221)</f>
        <v>65</v>
      </c>
      <c r="J221" s="94" t="n">
        <f aca="false">VLOOKUP($D221,tblPriorPrice,3)</f>
        <v>35</v>
      </c>
      <c r="K221" s="190" t="n">
        <f aca="false">L221-J221</f>
        <v>0</v>
      </c>
      <c r="L221" s="190" t="n">
        <f aca="true">L209+OFFSET($CG$27,$B221,$C221)</f>
        <v>35</v>
      </c>
      <c r="M221" s="96" t="n">
        <f aca="true">$L221+OFFSET($CU$27,$B221,$C221)</f>
        <v>30</v>
      </c>
      <c r="N221" s="97" t="n">
        <f aca="true">$L221+OFFSET($DI$27,$B221,$C221)</f>
        <v>55</v>
      </c>
      <c r="O221" s="59" t="n">
        <f aca="true">IF($A221="",0,INDEX(tblPosn,$A221,2))</f>
        <v>68063.8984375</v>
      </c>
      <c r="P221" s="59" t="n">
        <f aca="true">IF($A221="",0,INDEX(tblPosn,$A221,3))</f>
        <v>48617.0703125</v>
      </c>
      <c r="Q221" s="59" t="n">
        <f aca="true">IF($A221="",0,INDEX(tblPosn,$A221,4))</f>
        <v>12964.552734375</v>
      </c>
      <c r="R221" s="59" t="n">
        <f aca="true">IF($A221="",0,INDEX(tblPosn,$A221,5))</f>
        <v>16205.6904296875</v>
      </c>
      <c r="S221" s="59" t="n">
        <f aca="true">IF($A221="",0,INDEX(tblPosn,$A221,6))</f>
        <v>0</v>
      </c>
      <c r="T221" s="98" t="n">
        <f aca="false">O221*F221+P221*K221+R221*AC221+S221*AH221/0.72+Q221*X221</f>
        <v>0</v>
      </c>
      <c r="V221" s="161" t="n">
        <f aca="false">D221</f>
        <v>42614</v>
      </c>
      <c r="W221" s="94" t="n">
        <f aca="false">VLOOKUP($D221,tblPriorPrice,4)</f>
        <v>35</v>
      </c>
      <c r="X221" s="95" t="n">
        <f aca="false">Y221-W221</f>
        <v>0</v>
      </c>
      <c r="Y221" s="191" t="n">
        <f aca="true">Y209+OFFSET($CG$50,$B221,$C221)</f>
        <v>35</v>
      </c>
      <c r="Z221" s="96" t="n">
        <f aca="true">Y221+OFFSET($CU$51,$B221,$C221)</f>
        <v>30</v>
      </c>
      <c r="AA221" s="177" t="n">
        <f aca="true">Y221+OFFSET($DI$51,$B221,$C221)</f>
        <v>66</v>
      </c>
      <c r="AB221" s="94" t="n">
        <f aca="false">VLOOKUP($D221,tblPriorPrice,5)</f>
        <v>35</v>
      </c>
      <c r="AC221" s="190" t="n">
        <f aca="false">AD221-AB221</f>
        <v>0</v>
      </c>
      <c r="AD221" s="191" t="n">
        <f aca="true">AD209+OFFSET($CG$73,$B221,$C221)</f>
        <v>35</v>
      </c>
      <c r="AE221" s="96" t="n">
        <f aca="true">AD221+OFFSET($CU$74,$B221,$C221)</f>
        <v>30</v>
      </c>
      <c r="AF221" s="177" t="n">
        <f aca="true">AD221+OFFSET($DI$74,$B221,$C221)</f>
        <v>66</v>
      </c>
      <c r="AG221" s="94" t="n">
        <f aca="false">VLOOKUP($D221,tblPriorPrice,6)</f>
        <v>1</v>
      </c>
      <c r="AH221" s="190" t="n">
        <f aca="false">AI221-AG221</f>
        <v>0</v>
      </c>
      <c r="AI221" s="191" t="n">
        <f aca="true">AI209+OFFSET($CG$96,$B221,$C221)</f>
        <v>1</v>
      </c>
      <c r="AJ221" s="96" t="n">
        <f aca="true">AI221+OFFSET($CU$96,$B221,$C221)</f>
        <v>1</v>
      </c>
      <c r="AK221" s="97" t="n">
        <f aca="true">AI221+OFFSET($DI$96,$B221,$C221)</f>
        <v>1</v>
      </c>
      <c r="AL221" s="178" t="n">
        <v>64</v>
      </c>
      <c r="AM221" s="165" t="n">
        <v>0.4</v>
      </c>
      <c r="AN221" s="167" t="n">
        <f aca="false">'[3]Pricing Summary'!$AM199</f>
        <v>0.17</v>
      </c>
      <c r="AO221" s="167" t="n">
        <f aca="false">0.9*AN221</f>
        <v>0.153</v>
      </c>
      <c r="AP221" s="166" t="n">
        <f aca="false">1.5*AN221</f>
        <v>0.255</v>
      </c>
      <c r="AQ221" s="167" t="n">
        <f aca="false">AN221</f>
        <v>0.17</v>
      </c>
      <c r="AR221" s="166" t="n">
        <f aca="false">0.8*AQ221</f>
        <v>0.136</v>
      </c>
      <c r="AS221" s="166" t="n">
        <f aca="false">1.2*AQ221</f>
        <v>0.204</v>
      </c>
      <c r="AT221" s="169" t="n">
        <f aca="false">IF(G221&lt;110,17.94063*(LN(G221/100))+6.727568*(LN(G221/100)^2)+15.06494,(-4.1*G221+2135)/100)*0.5</f>
        <v>1.82255031269953</v>
      </c>
      <c r="AU221" s="169" t="n">
        <f aca="false">(0.75*AT221-AT221)</f>
        <v>-0.455637578174882</v>
      </c>
      <c r="AV221" s="166" t="n">
        <f aca="false">AT221/0.5*1.25-AT221</f>
        <v>2.73382546904929</v>
      </c>
      <c r="AW221" s="168" t="n">
        <f aca="false">IF(L221&lt;15,(15*L221+375)/100,(-4.71*L221+670.65)/100)*0.5</f>
        <v>2.529</v>
      </c>
      <c r="AX221" s="166" t="n">
        <f aca="false">0.75*AW221-AW221</f>
        <v>-0.63225</v>
      </c>
      <c r="AY221" s="166" t="n">
        <f aca="false">AW221/0.5*1.25-AW221</f>
        <v>3.7935</v>
      </c>
      <c r="AZ221" s="167" t="n">
        <v>0.5</v>
      </c>
      <c r="BA221" s="74"/>
      <c r="BQ221" s="108" t="n">
        <v>36907.7428240741</v>
      </c>
      <c r="BR221" s="109" t="n">
        <v>36907.743287037</v>
      </c>
      <c r="BS221" s="110" t="n">
        <v>42552</v>
      </c>
      <c r="BT221" s="111" t="n">
        <v>65514.7109375</v>
      </c>
      <c r="BU221" s="112" t="n">
        <v>50773.8984375</v>
      </c>
      <c r="BV221" s="112" t="n">
        <v>16378.677734375</v>
      </c>
      <c r="BW221" s="112" t="n">
        <v>19654.4140625</v>
      </c>
      <c r="BX221" s="113" t="n">
        <v>0</v>
      </c>
      <c r="BZ221" s="110" t="n">
        <v>42614</v>
      </c>
      <c r="CA221" s="185" t="n">
        <v>35</v>
      </c>
      <c r="CB221" s="116" t="n">
        <v>35</v>
      </c>
      <c r="CC221" s="181" t="n">
        <v>35</v>
      </c>
      <c r="CD221" s="181" t="n">
        <v>35</v>
      </c>
      <c r="CE221" s="117" t="n">
        <v>1</v>
      </c>
    </row>
    <row r="222" customFormat="false" ht="12.75" hidden="false" customHeight="false" outlineLevel="0" collapsed="false">
      <c r="A222" s="0" t="n">
        <f aca="true">IF(ISERROR(MATCH(D222,iRefDt,0)),"",MATCH(D222,iRefDt,0))</f>
        <v>222</v>
      </c>
      <c r="B222" s="92" t="n">
        <f aca="false">MATCH(YEAR(D222),iSpreads)</f>
        <v>16</v>
      </c>
      <c r="C222" s="0" t="n">
        <f aca="false">MONTH(D222)</f>
        <v>10</v>
      </c>
      <c r="D222" s="93" t="n">
        <f aca="false">DATE(YEAR(D221),MONTH(D221)+1,1)</f>
        <v>42644</v>
      </c>
      <c r="E222" s="94" t="n">
        <f aca="false">VLOOKUP($D222,tblPriorPrice,2)</f>
        <v>37</v>
      </c>
      <c r="F222" s="190" t="n">
        <f aca="false">G222-E222</f>
        <v>0</v>
      </c>
      <c r="G222" s="190" t="n">
        <f aca="true">G210+OFFSET($CG$4,$B222,$C222)</f>
        <v>37</v>
      </c>
      <c r="H222" s="96" t="n">
        <f aca="true">G222+OFFSET($CU$4,$B222,$C222)</f>
        <v>32</v>
      </c>
      <c r="I222" s="96" t="n">
        <f aca="true">G222+OFFSET($DI$4,$B222,$C222)</f>
        <v>67</v>
      </c>
      <c r="J222" s="94" t="n">
        <f aca="false">VLOOKUP($D222,tblPriorPrice,3)</f>
        <v>37</v>
      </c>
      <c r="K222" s="190" t="n">
        <f aca="false">L222-J222</f>
        <v>0</v>
      </c>
      <c r="L222" s="190" t="n">
        <f aca="true">L210+OFFSET($CG$27,$B222,$C222)</f>
        <v>37</v>
      </c>
      <c r="M222" s="96" t="n">
        <f aca="true">$L222+OFFSET($CU$27,$B222,$C222)</f>
        <v>32</v>
      </c>
      <c r="N222" s="97" t="n">
        <f aca="true">$L222+OFFSET($DI$27,$B222,$C222)</f>
        <v>57</v>
      </c>
      <c r="O222" s="59" t="n">
        <f aca="true">IF($A222="",0,INDEX(tblPosn,$A222,2))</f>
        <v>64472.25390625</v>
      </c>
      <c r="P222" s="59" t="n">
        <f aca="true">IF($A222="",0,INDEX(tblPosn,$A222,3))</f>
        <v>50167.46875</v>
      </c>
      <c r="Q222" s="59" t="n">
        <f aca="true">IF($A222="",0,INDEX(tblPosn,$A222,4))</f>
        <v>16118.0634765625</v>
      </c>
      <c r="R222" s="59" t="n">
        <f aca="true">IF($A222="",0,INDEX(tblPosn,$A222,5))</f>
        <v>19341.67578125</v>
      </c>
      <c r="S222" s="59" t="n">
        <f aca="true">IF($A222="",0,INDEX(tblPosn,$A222,6))</f>
        <v>0</v>
      </c>
      <c r="T222" s="98" t="n">
        <f aca="false">O222*F222+P222*K222+R222*AC222+S222*AH222/0.72+Q222*X222</f>
        <v>0</v>
      </c>
      <c r="V222" s="161" t="n">
        <f aca="false">D222</f>
        <v>42644</v>
      </c>
      <c r="W222" s="94" t="n">
        <f aca="false">VLOOKUP($D222,tblPriorPrice,4)</f>
        <v>37</v>
      </c>
      <c r="X222" s="95" t="n">
        <f aca="false">Y222-W222</f>
        <v>0</v>
      </c>
      <c r="Y222" s="191" t="n">
        <f aca="true">Y210+OFFSET($CG$50,$B222,$C222)</f>
        <v>37</v>
      </c>
      <c r="Z222" s="96" t="n">
        <f aca="true">Y222+OFFSET($CU$51,$B222,$C222)</f>
        <v>32</v>
      </c>
      <c r="AA222" s="177" t="n">
        <f aca="true">Y222+OFFSET($DI$51,$B222,$C222)</f>
        <v>68</v>
      </c>
      <c r="AB222" s="94" t="n">
        <f aca="false">VLOOKUP($D222,tblPriorPrice,5)</f>
        <v>37</v>
      </c>
      <c r="AC222" s="190" t="n">
        <f aca="false">AD222-AB222</f>
        <v>0</v>
      </c>
      <c r="AD222" s="191" t="n">
        <f aca="true">AD210+OFFSET($CG$73,$B222,$C222)</f>
        <v>37</v>
      </c>
      <c r="AE222" s="96" t="n">
        <f aca="true">AD222+OFFSET($CU$74,$B222,$C222)</f>
        <v>32</v>
      </c>
      <c r="AF222" s="177" t="n">
        <f aca="true">AD222+OFFSET($DI$74,$B222,$C222)</f>
        <v>68</v>
      </c>
      <c r="AG222" s="94" t="n">
        <f aca="false">VLOOKUP($D222,tblPriorPrice,6)</f>
        <v>1</v>
      </c>
      <c r="AH222" s="190" t="n">
        <f aca="false">AI222-AG222</f>
        <v>0</v>
      </c>
      <c r="AI222" s="191" t="n">
        <f aca="true">AI210+OFFSET($CG$96,$B222,$C222)</f>
        <v>1</v>
      </c>
      <c r="AJ222" s="96" t="n">
        <f aca="true">AI222+OFFSET($CU$96,$B222,$C222)</f>
        <v>1</v>
      </c>
      <c r="AK222" s="97" t="n">
        <f aca="true">AI222+OFFSET($DI$96,$B222,$C222)</f>
        <v>1</v>
      </c>
      <c r="AL222" s="178" t="n">
        <v>64</v>
      </c>
      <c r="AM222" s="165" t="n">
        <v>0.4</v>
      </c>
      <c r="AN222" s="167" t="n">
        <f aca="false">'[3]Pricing Summary'!$AM200</f>
        <v>0.17</v>
      </c>
      <c r="AO222" s="167" t="n">
        <f aca="false">0.9*AN222</f>
        <v>0.153</v>
      </c>
      <c r="AP222" s="166" t="n">
        <f aca="false">1.5*AN222</f>
        <v>0.255</v>
      </c>
      <c r="AQ222" s="167" t="n">
        <f aca="false">AN222</f>
        <v>0.17</v>
      </c>
      <c r="AR222" s="166" t="n">
        <f aca="false">0.8*AQ222</f>
        <v>0.136</v>
      </c>
      <c r="AS222" s="166" t="n">
        <f aca="false">1.2*AQ222</f>
        <v>0.204</v>
      </c>
      <c r="AT222" s="169" t="n">
        <f aca="false">IF(G222&lt;110,17.94063*(LN(G222/100))+6.727568*(LN(G222/100)^2)+15.06494,(-4.1*G222+2135)/100)*0.5</f>
        <v>1.93894082389981</v>
      </c>
      <c r="AU222" s="169" t="n">
        <f aca="false">(0.75*AT222-AT222)</f>
        <v>-0.484735205974953</v>
      </c>
      <c r="AV222" s="166" t="n">
        <f aca="false">AT222/0.5*1.25-AT222</f>
        <v>2.90841123584972</v>
      </c>
      <c r="AW222" s="168" t="n">
        <f aca="false">IF(L222&lt;15,(15*L222+375)/100,(-4.71*L222+670.65)/100)*0.5</f>
        <v>2.4819</v>
      </c>
      <c r="AX222" s="166" t="n">
        <f aca="false">0.75*AW222-AW222</f>
        <v>-0.620475</v>
      </c>
      <c r="AY222" s="166" t="n">
        <f aca="false">AW222/0.5*1.25-AW222</f>
        <v>3.72285</v>
      </c>
      <c r="AZ222" s="167" t="n">
        <v>0.5</v>
      </c>
      <c r="BA222" s="74"/>
      <c r="BQ222" s="108" t="n">
        <v>36907.7428240741</v>
      </c>
      <c r="BR222" s="109" t="n">
        <v>36907.743287037</v>
      </c>
      <c r="BS222" s="110" t="n">
        <v>42583</v>
      </c>
      <c r="BT222" s="111" t="n">
        <v>74939.8671875</v>
      </c>
      <c r="BU222" s="112" t="n">
        <v>50502.953125</v>
      </c>
      <c r="BV222" s="112" t="n">
        <v>13033.01953125</v>
      </c>
      <c r="BW222" s="112" t="n">
        <v>13033.01953125</v>
      </c>
      <c r="BX222" s="113" t="n">
        <v>0</v>
      </c>
      <c r="BZ222" s="110" t="n">
        <v>42644</v>
      </c>
      <c r="CA222" s="185" t="n">
        <v>37</v>
      </c>
      <c r="CB222" s="116" t="n">
        <v>37</v>
      </c>
      <c r="CC222" s="181" t="n">
        <v>37</v>
      </c>
      <c r="CD222" s="181" t="n">
        <v>37</v>
      </c>
      <c r="CE222" s="117" t="n">
        <v>1</v>
      </c>
    </row>
    <row r="223" customFormat="false" ht="12.75" hidden="false" customHeight="false" outlineLevel="0" collapsed="false">
      <c r="A223" s="0" t="n">
        <f aca="true">IF(ISERROR(MATCH(D223,iRefDt,0)),"",MATCH(D223,iRefDt,0))</f>
        <v>223</v>
      </c>
      <c r="B223" s="92" t="n">
        <f aca="false">MATCH(YEAR(D223),iSpreads)</f>
        <v>16</v>
      </c>
      <c r="C223" s="0" t="n">
        <f aca="false">MONTH(D223)</f>
        <v>11</v>
      </c>
      <c r="D223" s="93" t="n">
        <f aca="false">DATE(YEAR(D222),MONTH(D222)+1,1)</f>
        <v>42675</v>
      </c>
      <c r="E223" s="94" t="n">
        <f aca="false">VLOOKUP($D223,tblPriorPrice,2)</f>
        <v>31</v>
      </c>
      <c r="F223" s="190" t="n">
        <f aca="false">G223-E223</f>
        <v>0</v>
      </c>
      <c r="G223" s="190" t="n">
        <f aca="true">G211+OFFSET($CG$4,$B223,$C223)</f>
        <v>31</v>
      </c>
      <c r="H223" s="96" t="n">
        <f aca="true">G223+OFFSET($CU$4,$B223,$C223)</f>
        <v>26</v>
      </c>
      <c r="I223" s="96" t="n">
        <f aca="true">G223+OFFSET($DI$4,$B223,$C223)</f>
        <v>61</v>
      </c>
      <c r="J223" s="94" t="n">
        <f aca="false">VLOOKUP($D223,tblPriorPrice,3)</f>
        <v>31</v>
      </c>
      <c r="K223" s="190" t="n">
        <f aca="false">L223-J223</f>
        <v>0</v>
      </c>
      <c r="L223" s="190" t="n">
        <f aca="true">L211+OFFSET($CG$27,$B223,$C223)</f>
        <v>31</v>
      </c>
      <c r="M223" s="96" t="n">
        <f aca="true">$L223+OFFSET($CU$27,$B223,$C223)</f>
        <v>26</v>
      </c>
      <c r="N223" s="97" t="n">
        <f aca="true">$L223+OFFSET($DI$27,$B223,$C223)</f>
        <v>51</v>
      </c>
      <c r="O223" s="59" t="n">
        <f aca="true">IF($A223="",0,INDEX(tblPosn,$A223,2))</f>
        <v>64134.72265625</v>
      </c>
      <c r="P223" s="59" t="n">
        <f aca="true">IF($A223="",0,INDEX(tblPosn,$A223,3))</f>
        <v>48101.0390625</v>
      </c>
      <c r="Q223" s="59" t="n">
        <f aca="true">IF($A223="",0,INDEX(tblPosn,$A223,4))</f>
        <v>12826.9443359375</v>
      </c>
      <c r="R223" s="59" t="n">
        <f aca="true">IF($A223="",0,INDEX(tblPosn,$A223,5))</f>
        <v>19240.416015625</v>
      </c>
      <c r="S223" s="59" t="n">
        <f aca="true">IF($A223="",0,INDEX(tblPosn,$A223,6))</f>
        <v>0</v>
      </c>
      <c r="T223" s="98" t="n">
        <f aca="false">O223*F223+P223*K223+R223*AC223+S223*AH223/0.72+Q223*X223</f>
        <v>0</v>
      </c>
      <c r="V223" s="161" t="n">
        <f aca="false">D223</f>
        <v>42675</v>
      </c>
      <c r="W223" s="94" t="n">
        <f aca="false">VLOOKUP($D223,tblPriorPrice,4)</f>
        <v>31</v>
      </c>
      <c r="X223" s="95" t="n">
        <f aca="false">Y223-W223</f>
        <v>0</v>
      </c>
      <c r="Y223" s="191" t="n">
        <f aca="true">Y211+OFFSET($CG$50,$B223,$C223)</f>
        <v>31</v>
      </c>
      <c r="Z223" s="96" t="n">
        <f aca="true">Y223+OFFSET($CU$51,$B223,$C223)</f>
        <v>26</v>
      </c>
      <c r="AA223" s="177" t="n">
        <f aca="true">Y223+OFFSET($DI$51,$B223,$C223)</f>
        <v>62</v>
      </c>
      <c r="AB223" s="94" t="n">
        <f aca="false">VLOOKUP($D223,tblPriorPrice,5)</f>
        <v>31</v>
      </c>
      <c r="AC223" s="190" t="n">
        <f aca="false">AD223-AB223</f>
        <v>0</v>
      </c>
      <c r="AD223" s="191" t="n">
        <f aca="true">AD211+OFFSET($CG$73,$B223,$C223)</f>
        <v>31</v>
      </c>
      <c r="AE223" s="96" t="n">
        <f aca="true">AD223+OFFSET($CU$74,$B223,$C223)</f>
        <v>26</v>
      </c>
      <c r="AF223" s="177" t="n">
        <f aca="true">AD223+OFFSET($DI$74,$B223,$C223)</f>
        <v>62</v>
      </c>
      <c r="AG223" s="94" t="n">
        <f aca="false">VLOOKUP($D223,tblPriorPrice,6)</f>
        <v>1</v>
      </c>
      <c r="AH223" s="190" t="n">
        <f aca="false">AI223-AG223</f>
        <v>0</v>
      </c>
      <c r="AI223" s="191" t="n">
        <f aca="true">AI211+OFFSET($CG$96,$B223,$C223)</f>
        <v>1</v>
      </c>
      <c r="AJ223" s="96" t="n">
        <f aca="true">AI223+OFFSET($CU$96,$B223,$C223)</f>
        <v>1</v>
      </c>
      <c r="AK223" s="97" t="n">
        <f aca="true">AI223+OFFSET($DI$96,$B223,$C223)</f>
        <v>1</v>
      </c>
      <c r="AL223" s="178" t="n">
        <v>64</v>
      </c>
      <c r="AM223" s="165" t="n">
        <v>0.4</v>
      </c>
      <c r="AN223" s="167" t="n">
        <f aca="false">'[3]Pricing Summary'!$AM201</f>
        <v>0.17</v>
      </c>
      <c r="AO223" s="167" t="n">
        <f aca="false">0.9*AN223</f>
        <v>0.153</v>
      </c>
      <c r="AP223" s="166" t="n">
        <f aca="false">1.5*AN223</f>
        <v>0.255</v>
      </c>
      <c r="AQ223" s="167" t="n">
        <f aca="false">AN223</f>
        <v>0.17</v>
      </c>
      <c r="AR223" s="166" t="n">
        <f aca="false">0.8*AQ223</f>
        <v>0.136</v>
      </c>
      <c r="AS223" s="166" t="n">
        <f aca="false">1.2*AQ223</f>
        <v>0.204</v>
      </c>
      <c r="AT223" s="169" t="n">
        <f aca="false">IF(G223&lt;110,17.94063*(LN(G223/100))+6.727568*(LN(G223/100)^2)+15.06494,(-4.1*G223+2135)/100)*0.5</f>
        <v>1.64058990686036</v>
      </c>
      <c r="AU223" s="169" t="n">
        <f aca="false">(0.75*AT223-AT223)</f>
        <v>-0.410147476715089</v>
      </c>
      <c r="AV223" s="166" t="n">
        <f aca="false">AT223/0.5*1.25-AT223</f>
        <v>2.46088486029054</v>
      </c>
      <c r="AW223" s="168" t="n">
        <f aca="false">IF(L223&lt;15,(15*L223+375)/100,(-4.71*L223+670.65)/100)*0.5</f>
        <v>2.6232</v>
      </c>
      <c r="AX223" s="166" t="n">
        <f aca="false">0.75*AW223-AW223</f>
        <v>-0.6558</v>
      </c>
      <c r="AY223" s="166" t="n">
        <f aca="false">AW223/0.5*1.25-AW223</f>
        <v>3.9348</v>
      </c>
      <c r="AZ223" s="167" t="n">
        <v>0.5</v>
      </c>
      <c r="BA223" s="74"/>
      <c r="BQ223" s="108" t="n">
        <v>36907.7428240741</v>
      </c>
      <c r="BR223" s="109" t="n">
        <v>36907.743287037</v>
      </c>
      <c r="BS223" s="110" t="n">
        <v>42614</v>
      </c>
      <c r="BT223" s="111" t="n">
        <v>68063.8984375</v>
      </c>
      <c r="BU223" s="112" t="n">
        <v>48617.0703125</v>
      </c>
      <c r="BV223" s="112" t="n">
        <v>12964.552734375</v>
      </c>
      <c r="BW223" s="112" t="n">
        <v>16205.6904296875</v>
      </c>
      <c r="BX223" s="113" t="n">
        <v>0</v>
      </c>
      <c r="BZ223" s="110" t="n">
        <v>42675</v>
      </c>
      <c r="CA223" s="185" t="n">
        <v>31</v>
      </c>
      <c r="CB223" s="116" t="n">
        <v>31</v>
      </c>
      <c r="CC223" s="181" t="n">
        <v>31</v>
      </c>
      <c r="CD223" s="181" t="n">
        <v>31</v>
      </c>
      <c r="CE223" s="117" t="n">
        <v>1</v>
      </c>
    </row>
    <row r="224" customFormat="false" ht="12.75" hidden="false" customHeight="false" outlineLevel="0" collapsed="false">
      <c r="A224" s="0" t="n">
        <f aca="true">IF(ISERROR(MATCH(D224,iRefDt,0)),"",MATCH(D224,iRefDt,0))</f>
        <v>224</v>
      </c>
      <c r="B224" s="92" t="n">
        <f aca="false">MATCH(YEAR(D224),iSpreads)</f>
        <v>16</v>
      </c>
      <c r="C224" s="0" t="n">
        <f aca="false">MONTH(D224)</f>
        <v>12</v>
      </c>
      <c r="D224" s="93" t="n">
        <f aca="false">DATE(YEAR(D223),MONTH(D223)+1,1)</f>
        <v>42705</v>
      </c>
      <c r="E224" s="94" t="n">
        <f aca="false">VLOOKUP($D224,tblPriorPrice,2)</f>
        <v>32</v>
      </c>
      <c r="F224" s="190" t="n">
        <f aca="false">G224-E224</f>
        <v>0</v>
      </c>
      <c r="G224" s="190" t="n">
        <f aca="true">G212+OFFSET($CG$4,$B224,$C224)</f>
        <v>32</v>
      </c>
      <c r="H224" s="96" t="n">
        <f aca="true">G224+OFFSET($CU$4,$B224,$C224)</f>
        <v>27</v>
      </c>
      <c r="I224" s="96" t="n">
        <f aca="true">G224+OFFSET($DI$4,$B224,$C224)</f>
        <v>62</v>
      </c>
      <c r="J224" s="94" t="n">
        <f aca="false">VLOOKUP($D224,tblPriorPrice,3)</f>
        <v>29</v>
      </c>
      <c r="K224" s="190" t="n">
        <f aca="false">L224-J224</f>
        <v>0</v>
      </c>
      <c r="L224" s="190" t="n">
        <f aca="true">L212+OFFSET($CG$27,$B224,$C224)</f>
        <v>29</v>
      </c>
      <c r="M224" s="96" t="n">
        <f aca="true">$L224+OFFSET($CU$27,$B224,$C224)</f>
        <v>24</v>
      </c>
      <c r="N224" s="97" t="n">
        <f aca="true">$L224+OFFSET($DI$27,$B224,$C224)</f>
        <v>49</v>
      </c>
      <c r="O224" s="59" t="n">
        <f aca="true">IF($A224="",0,INDEX(tblPosn,$A224,2))</f>
        <v>66980.03125</v>
      </c>
      <c r="P224" s="59" t="n">
        <f aca="true">IF($A224="",0,INDEX(tblPosn,$A224,3))</f>
        <v>49437.640625</v>
      </c>
      <c r="Q224" s="59" t="n">
        <f aca="true">IF($A224="",0,INDEX(tblPosn,$A224,4))</f>
        <v>15947.626953125</v>
      </c>
      <c r="R224" s="59" t="n">
        <f aca="true">IF($A224="",0,INDEX(tblPosn,$A224,5))</f>
        <v>15947.626953125</v>
      </c>
      <c r="S224" s="59" t="n">
        <f aca="true">IF($A224="",0,INDEX(tblPosn,$A224,6))</f>
        <v>0</v>
      </c>
      <c r="T224" s="98" t="n">
        <f aca="false">O224*F224+P224*K224+R224*AC224+S224*AH224/0.72+Q224*X224</f>
        <v>0</v>
      </c>
      <c r="V224" s="161" t="n">
        <f aca="false">D224</f>
        <v>42705</v>
      </c>
      <c r="W224" s="94" t="n">
        <f aca="false">VLOOKUP($D224,tblPriorPrice,4)</f>
        <v>29</v>
      </c>
      <c r="X224" s="95" t="n">
        <f aca="false">Y224-W224</f>
        <v>0</v>
      </c>
      <c r="Y224" s="191" t="n">
        <f aca="true">Y212+OFFSET($CG$50,$B224,$C224)</f>
        <v>29</v>
      </c>
      <c r="Z224" s="96" t="n">
        <f aca="true">Y224+OFFSET($CU$51,$B224,$C224)</f>
        <v>24</v>
      </c>
      <c r="AA224" s="177" t="n">
        <f aca="true">Y224+OFFSET($DI$51,$B224,$C224)</f>
        <v>60</v>
      </c>
      <c r="AB224" s="94" t="n">
        <f aca="false">VLOOKUP($D224,tblPriorPrice,5)</f>
        <v>29</v>
      </c>
      <c r="AC224" s="190" t="n">
        <f aca="false">AD224-AB224</f>
        <v>0</v>
      </c>
      <c r="AD224" s="191" t="n">
        <f aca="true">AD212+OFFSET($CG$73,$B224,$C224)</f>
        <v>29</v>
      </c>
      <c r="AE224" s="96" t="n">
        <f aca="true">AD224+OFFSET($CU$74,$B224,$C224)</f>
        <v>24</v>
      </c>
      <c r="AF224" s="177" t="n">
        <f aca="true">AD224+OFFSET($DI$74,$B224,$C224)</f>
        <v>60</v>
      </c>
      <c r="AG224" s="94" t="n">
        <f aca="false">VLOOKUP($D224,tblPriorPrice,6)</f>
        <v>1</v>
      </c>
      <c r="AH224" s="190" t="n">
        <f aca="false">AI224-AG224</f>
        <v>0</v>
      </c>
      <c r="AI224" s="191" t="n">
        <f aca="true">AI212+OFFSET($CG$96,$B224,$C224)</f>
        <v>1</v>
      </c>
      <c r="AJ224" s="96" t="n">
        <f aca="true">AI224+OFFSET($CU$96,$B224,$C224)</f>
        <v>1</v>
      </c>
      <c r="AK224" s="97" t="n">
        <f aca="true">AI224+OFFSET($DI$96,$B224,$C224)</f>
        <v>1</v>
      </c>
      <c r="AL224" s="178" t="n">
        <v>65</v>
      </c>
      <c r="AM224" s="165" t="n">
        <v>0.4</v>
      </c>
      <c r="AN224" s="167" t="n">
        <f aca="false">'[3]Pricing Summary'!$AM202</f>
        <v>0.17</v>
      </c>
      <c r="AO224" s="167" t="n">
        <f aca="false">0.9*AN224</f>
        <v>0.153</v>
      </c>
      <c r="AP224" s="166" t="n">
        <f aca="false">1.5*AN224</f>
        <v>0.255</v>
      </c>
      <c r="AQ224" s="167" t="n">
        <f aca="false">AN224</f>
        <v>0.17</v>
      </c>
      <c r="AR224" s="166" t="n">
        <f aca="false">0.8*AQ224</f>
        <v>0.136</v>
      </c>
      <c r="AS224" s="166" t="n">
        <f aca="false">1.2*AQ224</f>
        <v>0.204</v>
      </c>
      <c r="AT224" s="169" t="n">
        <f aca="false">IF(G224&lt;110,17.94063*(LN(G224/100))+6.727568*(LN(G224/100)^2)+15.06494,(-4.1*G224+2135)/100)*0.5</f>
        <v>1.67862159684781</v>
      </c>
      <c r="AU224" s="169" t="n">
        <f aca="false">(0.75*AT224-AT224)</f>
        <v>-0.419655399211954</v>
      </c>
      <c r="AV224" s="166" t="n">
        <f aca="false">AT224/0.5*1.25-AT224</f>
        <v>2.51793239527172</v>
      </c>
      <c r="AW224" s="168" t="n">
        <f aca="false">IF(L224&lt;15,(15*L224+375)/100,(-4.71*L224+670.65)/100)*0.5</f>
        <v>2.6703</v>
      </c>
      <c r="AX224" s="166" t="n">
        <f aca="false">0.75*AW224-AW224</f>
        <v>-0.667575</v>
      </c>
      <c r="AY224" s="166" t="n">
        <f aca="false">AW224/0.5*1.25-AW224</f>
        <v>4.00545</v>
      </c>
      <c r="AZ224" s="167" t="n">
        <v>0.5</v>
      </c>
      <c r="BA224" s="74"/>
      <c r="BQ224" s="108" t="n">
        <v>36907.7428240741</v>
      </c>
      <c r="BR224" s="109" t="n">
        <v>36907.743287037</v>
      </c>
      <c r="BS224" s="110" t="n">
        <v>42644</v>
      </c>
      <c r="BT224" s="111" t="n">
        <v>64472.25390625</v>
      </c>
      <c r="BU224" s="112" t="n">
        <v>50167.46875</v>
      </c>
      <c r="BV224" s="112" t="n">
        <v>16118.0634765625</v>
      </c>
      <c r="BW224" s="112" t="n">
        <v>19341.67578125</v>
      </c>
      <c r="BX224" s="113" t="n">
        <v>0</v>
      </c>
      <c r="BZ224" s="110" t="n">
        <v>42705</v>
      </c>
      <c r="CA224" s="185" t="n">
        <v>32</v>
      </c>
      <c r="CB224" s="116" t="n">
        <v>29</v>
      </c>
      <c r="CC224" s="181" t="n">
        <v>29</v>
      </c>
      <c r="CD224" s="181" t="n">
        <v>29</v>
      </c>
      <c r="CE224" s="117" t="n">
        <v>1</v>
      </c>
    </row>
    <row r="225" customFormat="false" ht="12.75" hidden="false" customHeight="false" outlineLevel="0" collapsed="false">
      <c r="A225" s="0" t="n">
        <f aca="true">IF(ISERROR(MATCH(D225,iRefDt,0)),"",MATCH(D225,iRefDt,0))</f>
        <v>225</v>
      </c>
      <c r="B225" s="92" t="n">
        <f aca="false">MATCH(YEAR(D225),iSpreads)</f>
        <v>17</v>
      </c>
      <c r="C225" s="0" t="n">
        <f aca="false">MONTH(D225)</f>
        <v>1</v>
      </c>
      <c r="D225" s="93" t="n">
        <f aca="false">DATE(YEAR(D224),MONTH(D224)+1,1)</f>
        <v>42736</v>
      </c>
      <c r="E225" s="94" t="n">
        <f aca="false">VLOOKUP($D225,tblPriorPrice,2)</f>
        <v>33</v>
      </c>
      <c r="F225" s="190" t="n">
        <f aca="false">G225-E225</f>
        <v>0</v>
      </c>
      <c r="G225" s="190" t="n">
        <f aca="true">G213+OFFSET($CG$4,$B225,$C225)</f>
        <v>33</v>
      </c>
      <c r="H225" s="96" t="n">
        <f aca="true">G225+OFFSET($CU$4,$B225,$C225)</f>
        <v>28</v>
      </c>
      <c r="I225" s="96" t="n">
        <f aca="true">G225+OFFSET($DI$4,$B225,$C225)</f>
        <v>64</v>
      </c>
      <c r="J225" s="94" t="n">
        <f aca="false">VLOOKUP($D225,tblPriorPrice,3)</f>
        <v>31</v>
      </c>
      <c r="K225" s="190" t="n">
        <f aca="false">L225-J225</f>
        <v>0</v>
      </c>
      <c r="L225" s="190" t="n">
        <f aca="true">L213+OFFSET($CG$27,$B225,$C225)</f>
        <v>31</v>
      </c>
      <c r="M225" s="96" t="n">
        <f aca="true">$L225+OFFSET($CU$27,$B225,$C225)</f>
        <v>26</v>
      </c>
      <c r="N225" s="97" t="n">
        <f aca="true">$L225+OFFSET($DI$27,$B225,$C225)</f>
        <v>52</v>
      </c>
      <c r="O225" s="59" t="n">
        <f aca="true">IF($A225="",0,INDEX(tblPosn,$A225,2))</f>
        <v>63442.3359375</v>
      </c>
      <c r="P225" s="59" t="n">
        <f aca="true">IF($A225="",0,INDEX(tblPosn,$A225,3))</f>
        <v>49167.8125</v>
      </c>
      <c r="Q225" s="59" t="n">
        <f aca="true">IF($A225="",0,INDEX(tblPosn,$A225,4))</f>
        <v>12688.466796875</v>
      </c>
      <c r="R225" s="59" t="n">
        <f aca="true">IF($A225="",0,INDEX(tblPosn,$A225,5))</f>
        <v>22204.818359375</v>
      </c>
      <c r="S225" s="59" t="n">
        <f aca="true">IF($A225="",0,INDEX(tblPosn,$A225,6))</f>
        <v>0</v>
      </c>
      <c r="T225" s="98" t="n">
        <f aca="false">O225*F225+P225*K225+R225*AC225+S225*AH225/0.72+Q225*X225</f>
        <v>0</v>
      </c>
      <c r="V225" s="161" t="n">
        <f aca="false">D225</f>
        <v>42736</v>
      </c>
      <c r="W225" s="94" t="n">
        <f aca="false">VLOOKUP($D225,tblPriorPrice,4)</f>
        <v>31</v>
      </c>
      <c r="X225" s="95" t="n">
        <f aca="false">Y225-W225</f>
        <v>0</v>
      </c>
      <c r="Y225" s="191" t="n">
        <f aca="true">Y213+OFFSET($CG$50,$B225,$C225)</f>
        <v>31</v>
      </c>
      <c r="Z225" s="96" t="n">
        <f aca="true">Y225+OFFSET($CU$51,$B225,$C225)</f>
        <v>26</v>
      </c>
      <c r="AA225" s="177" t="n">
        <f aca="true">Y225+OFFSET($DI$51,$B225,$C225)</f>
        <v>63</v>
      </c>
      <c r="AB225" s="94" t="n">
        <f aca="false">VLOOKUP($D225,tblPriorPrice,5)</f>
        <v>31</v>
      </c>
      <c r="AC225" s="190" t="n">
        <f aca="false">AD225-AB225</f>
        <v>0</v>
      </c>
      <c r="AD225" s="191" t="n">
        <f aca="true">AD213+OFFSET($CG$73,$B225,$C225)</f>
        <v>31</v>
      </c>
      <c r="AE225" s="96" t="n">
        <f aca="true">AD225+OFFSET($CU$74,$B225,$C225)</f>
        <v>26</v>
      </c>
      <c r="AF225" s="177" t="n">
        <f aca="true">AD225+OFFSET($DI$74,$B225,$C225)</f>
        <v>63</v>
      </c>
      <c r="AG225" s="94" t="n">
        <f aca="false">VLOOKUP($D225,tblPriorPrice,6)</f>
        <v>1</v>
      </c>
      <c r="AH225" s="190" t="n">
        <f aca="false">AI225-AG225</f>
        <v>0</v>
      </c>
      <c r="AI225" s="191" t="n">
        <f aca="true">AI213+OFFSET($CG$96,$B225,$C225)</f>
        <v>1</v>
      </c>
      <c r="AJ225" s="96" t="n">
        <f aca="true">AI225+OFFSET($CU$96,$B225,$C225)</f>
        <v>1</v>
      </c>
      <c r="AK225" s="97" t="n">
        <f aca="true">AI225+OFFSET($DI$96,$B225,$C225)</f>
        <v>1</v>
      </c>
      <c r="AL225" s="178" t="n">
        <v>65</v>
      </c>
      <c r="AM225" s="165" t="n">
        <v>0.4</v>
      </c>
      <c r="AN225" s="167" t="n">
        <f aca="false">'[3]Pricing Summary'!$AM203</f>
        <v>0.17</v>
      </c>
      <c r="AO225" s="167" t="n">
        <f aca="false">0.9*AN225</f>
        <v>0.153</v>
      </c>
      <c r="AP225" s="166" t="n">
        <f aca="false">1.5*AN225</f>
        <v>0.255</v>
      </c>
      <c r="AQ225" s="167" t="n">
        <f aca="false">AN225</f>
        <v>0.17</v>
      </c>
      <c r="AR225" s="166" t="n">
        <f aca="false">0.8*AQ225</f>
        <v>0.136</v>
      </c>
      <c r="AS225" s="166" t="n">
        <f aca="false">1.2*AQ225</f>
        <v>0.204</v>
      </c>
      <c r="AT225" s="169" t="n">
        <f aca="false">IF(G225&lt;110,17.94063*(LN(G225/100))+6.727568*(LN(G225/100)^2)+15.06494,(-4.1*G225+2135)/100)*0.5</f>
        <v>1.72195432632388</v>
      </c>
      <c r="AU225" s="169" t="n">
        <f aca="false">(0.75*AT225-AT225)</f>
        <v>-0.43048858158097</v>
      </c>
      <c r="AV225" s="166" t="n">
        <f aca="false">AT225/0.5*1.25-AT225</f>
        <v>2.58293148948582</v>
      </c>
      <c r="AW225" s="168" t="n">
        <f aca="false">IF(L225&lt;15,(15*L225+375)/100,(-4.71*L225+670.65)/100)*0.5</f>
        <v>2.6232</v>
      </c>
      <c r="AX225" s="166" t="n">
        <f aca="false">0.75*AW225-AW225</f>
        <v>-0.6558</v>
      </c>
      <c r="AY225" s="166" t="n">
        <f aca="false">AW225/0.5*1.25-AW225</f>
        <v>3.9348</v>
      </c>
      <c r="AZ225" s="167" t="n">
        <v>0.5</v>
      </c>
      <c r="BA225" s="74"/>
      <c r="BQ225" s="108" t="n">
        <v>36907.7428240741</v>
      </c>
      <c r="BR225" s="109" t="n">
        <v>36907.743287037</v>
      </c>
      <c r="BS225" s="110" t="n">
        <v>42675</v>
      </c>
      <c r="BT225" s="111" t="n">
        <v>64134.72265625</v>
      </c>
      <c r="BU225" s="112" t="n">
        <v>48101.0390625</v>
      </c>
      <c r="BV225" s="112" t="n">
        <v>12826.9443359375</v>
      </c>
      <c r="BW225" s="112" t="n">
        <v>19240.416015625</v>
      </c>
      <c r="BX225" s="113" t="n">
        <v>0</v>
      </c>
      <c r="BZ225" s="110" t="n">
        <v>42736</v>
      </c>
      <c r="CA225" s="185" t="n">
        <v>33</v>
      </c>
      <c r="CB225" s="116" t="n">
        <v>31</v>
      </c>
      <c r="CC225" s="181" t="n">
        <v>31</v>
      </c>
      <c r="CD225" s="181" t="n">
        <v>31</v>
      </c>
      <c r="CE225" s="117" t="n">
        <v>1</v>
      </c>
    </row>
    <row r="226" customFormat="false" ht="12.75" hidden="false" customHeight="false" outlineLevel="0" collapsed="false">
      <c r="A226" s="0" t="n">
        <f aca="true">IF(ISERROR(MATCH(D226,iRefDt,0)),"",MATCH(D226,iRefDt,0))</f>
        <v>226</v>
      </c>
      <c r="B226" s="92" t="n">
        <f aca="false">MATCH(YEAR(D226),iSpreads)</f>
        <v>17</v>
      </c>
      <c r="C226" s="0" t="n">
        <f aca="false">MONTH(D226)</f>
        <v>2</v>
      </c>
      <c r="D226" s="93" t="n">
        <f aca="false">DATE(YEAR(D225),MONTH(D225)+1,1)</f>
        <v>42767</v>
      </c>
      <c r="E226" s="94" t="n">
        <f aca="false">VLOOKUP($D226,tblPriorPrice,2)</f>
        <v>30</v>
      </c>
      <c r="F226" s="190" t="n">
        <f aca="false">G226-E226</f>
        <v>0</v>
      </c>
      <c r="G226" s="190" t="n">
        <f aca="true">G214+OFFSET($CG$4,$B226,$C226)</f>
        <v>30</v>
      </c>
      <c r="H226" s="96" t="n">
        <f aca="true">G226+OFFSET($CU$4,$B226,$C226)</f>
        <v>25</v>
      </c>
      <c r="I226" s="96" t="n">
        <f aca="true">G226+OFFSET($DI$4,$B226,$C226)</f>
        <v>61</v>
      </c>
      <c r="J226" s="94" t="n">
        <f aca="false">VLOOKUP($D226,tblPriorPrice,3)</f>
        <v>30</v>
      </c>
      <c r="K226" s="190" t="n">
        <f aca="false">L226-J226</f>
        <v>0</v>
      </c>
      <c r="L226" s="190" t="n">
        <f aca="true">L214+OFFSET($CG$27,$B226,$C226)</f>
        <v>30</v>
      </c>
      <c r="M226" s="96" t="n">
        <f aca="true">$L226+OFFSET($CU$27,$B226,$C226)</f>
        <v>25</v>
      </c>
      <c r="N226" s="97" t="n">
        <f aca="true">$L226+OFFSET($DI$27,$B226,$C226)</f>
        <v>51</v>
      </c>
      <c r="O226" s="59" t="n">
        <f aca="true">IF($A226="",0,INDEX(tblPosn,$A226,2))</f>
        <v>59975.32421875</v>
      </c>
      <c r="P226" s="59" t="n">
        <f aca="true">IF($A226="",0,INDEX(tblPosn,$A226,3))</f>
        <v>44192.34765625</v>
      </c>
      <c r="Q226" s="59" t="n">
        <f aca="true">IF($A226="",0,INDEX(tblPosn,$A226,4))</f>
        <v>12626.3837890625</v>
      </c>
      <c r="R226" s="59" t="n">
        <f aca="true">IF($A226="",0,INDEX(tblPosn,$A226,5))</f>
        <v>15782.98046875</v>
      </c>
      <c r="S226" s="59" t="n">
        <f aca="true">IF($A226="",0,INDEX(tblPosn,$A226,6))</f>
        <v>0</v>
      </c>
      <c r="T226" s="98" t="n">
        <f aca="false">O226*F226+P226*K226+R226*AC226+S226*AH226/0.72+Q226*X226</f>
        <v>0</v>
      </c>
      <c r="V226" s="161" t="n">
        <f aca="false">D226</f>
        <v>42767</v>
      </c>
      <c r="W226" s="94" t="n">
        <f aca="false">VLOOKUP($D226,tblPriorPrice,4)</f>
        <v>30</v>
      </c>
      <c r="X226" s="95" t="n">
        <f aca="false">Y226-W226</f>
        <v>0</v>
      </c>
      <c r="Y226" s="191" t="n">
        <f aca="true">Y214+OFFSET($CG$50,$B226,$C226)</f>
        <v>30</v>
      </c>
      <c r="Z226" s="96" t="n">
        <f aca="true">Y226+OFFSET($CU$51,$B226,$C226)</f>
        <v>25</v>
      </c>
      <c r="AA226" s="177" t="n">
        <f aca="true">Y226+OFFSET($DI$51,$B226,$C226)</f>
        <v>62</v>
      </c>
      <c r="AB226" s="94" t="n">
        <f aca="false">VLOOKUP($D226,tblPriorPrice,5)</f>
        <v>30</v>
      </c>
      <c r="AC226" s="190" t="n">
        <f aca="false">AD226-AB226</f>
        <v>0</v>
      </c>
      <c r="AD226" s="191" t="n">
        <f aca="true">AD214+OFFSET($CG$73,$B226,$C226)</f>
        <v>30</v>
      </c>
      <c r="AE226" s="96" t="n">
        <f aca="true">AD226+OFFSET($CU$74,$B226,$C226)</f>
        <v>25</v>
      </c>
      <c r="AF226" s="177" t="n">
        <f aca="true">AD226+OFFSET($DI$74,$B226,$C226)</f>
        <v>62</v>
      </c>
      <c r="AG226" s="94" t="n">
        <f aca="false">VLOOKUP($D226,tblPriorPrice,6)</f>
        <v>1</v>
      </c>
      <c r="AH226" s="190" t="n">
        <f aca="false">AI226-AG226</f>
        <v>0</v>
      </c>
      <c r="AI226" s="191" t="n">
        <f aca="true">AI214+OFFSET($CG$96,$B226,$C226)</f>
        <v>1</v>
      </c>
      <c r="AJ226" s="96" t="n">
        <f aca="true">AI226+OFFSET($CU$96,$B226,$C226)</f>
        <v>1</v>
      </c>
      <c r="AK226" s="97" t="n">
        <f aca="true">AI226+OFFSET($DI$96,$B226,$C226)</f>
        <v>1</v>
      </c>
      <c r="AL226" s="178" t="n">
        <v>65</v>
      </c>
      <c r="AM226" s="165" t="n">
        <v>0.4</v>
      </c>
      <c r="AN226" s="167" t="n">
        <f aca="false">'[3]Pricing Summary'!$AM204</f>
        <v>0.17</v>
      </c>
      <c r="AO226" s="167" t="n">
        <f aca="false">0.9*AN226</f>
        <v>0.153</v>
      </c>
      <c r="AP226" s="166" t="n">
        <f aca="false">1.5*AN226</f>
        <v>0.255</v>
      </c>
      <c r="AQ226" s="167" t="n">
        <f aca="false">AN226</f>
        <v>0.17</v>
      </c>
      <c r="AR226" s="166" t="n">
        <f aca="false">0.8*AQ226</f>
        <v>0.136</v>
      </c>
      <c r="AS226" s="166" t="n">
        <f aca="false">1.2*AQ226</f>
        <v>0.204</v>
      </c>
      <c r="AT226" s="169" t="n">
        <f aca="false">IF(G226&lt;110,17.94063*(LN(G226/100))+6.727568*(LN(G226/100)^2)+15.06494,(-4.1*G226+2135)/100)*0.5</f>
        <v>1.60842951845599</v>
      </c>
      <c r="AU226" s="169" t="n">
        <f aca="false">(0.75*AT226-AT226)</f>
        <v>-0.402107379613998</v>
      </c>
      <c r="AV226" s="166" t="n">
        <f aca="false">AT226/0.5*1.25-AT226</f>
        <v>2.41264427768399</v>
      </c>
      <c r="AW226" s="168" t="n">
        <f aca="false">IF(L226&lt;15,(15*L226+375)/100,(-4.71*L226+670.65)/100)*0.5</f>
        <v>2.64675</v>
      </c>
      <c r="AX226" s="166" t="n">
        <f aca="false">0.75*AW226-AW226</f>
        <v>-0.6616875</v>
      </c>
      <c r="AY226" s="166" t="n">
        <f aca="false">AW226/0.5*1.25-AW226</f>
        <v>3.970125</v>
      </c>
      <c r="AZ226" s="167" t="n">
        <v>0.5</v>
      </c>
      <c r="BA226" s="74"/>
      <c r="BQ226" s="108" t="n">
        <v>36907.7428240741</v>
      </c>
      <c r="BR226" s="109" t="n">
        <v>36907.743287037</v>
      </c>
      <c r="BS226" s="110" t="n">
        <v>42705</v>
      </c>
      <c r="BT226" s="111" t="n">
        <v>66980.03125</v>
      </c>
      <c r="BU226" s="112" t="n">
        <v>49437.640625</v>
      </c>
      <c r="BV226" s="112" t="n">
        <v>15947.626953125</v>
      </c>
      <c r="BW226" s="112" t="n">
        <v>15947.626953125</v>
      </c>
      <c r="BX226" s="113" t="n">
        <v>0</v>
      </c>
      <c r="BZ226" s="110" t="n">
        <v>42767</v>
      </c>
      <c r="CA226" s="185" t="n">
        <v>30</v>
      </c>
      <c r="CB226" s="116" t="n">
        <v>30</v>
      </c>
      <c r="CC226" s="181" t="n">
        <v>30</v>
      </c>
      <c r="CD226" s="181" t="n">
        <v>30</v>
      </c>
      <c r="CE226" s="117" t="n">
        <v>1</v>
      </c>
    </row>
    <row r="227" customFormat="false" ht="12.75" hidden="false" customHeight="false" outlineLevel="0" collapsed="false">
      <c r="A227" s="0" t="n">
        <f aca="true">IF(ISERROR(MATCH(D227,iRefDt,0)),"",MATCH(D227,iRefDt,0))</f>
        <v>227</v>
      </c>
      <c r="B227" s="92" t="n">
        <f aca="false">MATCH(YEAR(D227),iSpreads)</f>
        <v>17</v>
      </c>
      <c r="C227" s="0" t="n">
        <f aca="false">MONTH(D227)</f>
        <v>3</v>
      </c>
      <c r="D227" s="93" t="n">
        <f aca="false">DATE(YEAR(D226),MONTH(D226)+1,1)</f>
        <v>42795</v>
      </c>
      <c r="E227" s="94" t="n">
        <f aca="false">VLOOKUP($D227,tblPriorPrice,2)</f>
        <v>29</v>
      </c>
      <c r="F227" s="190" t="n">
        <f aca="false">G227-E227</f>
        <v>0</v>
      </c>
      <c r="G227" s="190" t="n">
        <f aca="true">G215+OFFSET($CG$4,$B227,$C227)</f>
        <v>29</v>
      </c>
      <c r="H227" s="96" t="n">
        <f aca="true">G227+OFFSET($CU$4,$B227,$C227)</f>
        <v>24</v>
      </c>
      <c r="I227" s="96" t="n">
        <f aca="true">G227+OFFSET($DI$4,$B227,$C227)</f>
        <v>60</v>
      </c>
      <c r="J227" s="94" t="n">
        <f aca="false">VLOOKUP($D227,tblPriorPrice,3)</f>
        <v>29</v>
      </c>
      <c r="K227" s="190" t="n">
        <f aca="false">L227-J227</f>
        <v>0</v>
      </c>
      <c r="L227" s="190" t="n">
        <f aca="true">L215+OFFSET($CG$27,$B227,$C227)</f>
        <v>29</v>
      </c>
      <c r="M227" s="96" t="n">
        <f aca="true">$L227+OFFSET($CU$27,$B227,$C227)</f>
        <v>24</v>
      </c>
      <c r="N227" s="97" t="n">
        <f aca="true">$L227+OFFSET($DI$27,$B227,$C227)</f>
        <v>50</v>
      </c>
      <c r="O227" s="59" t="n">
        <f aca="true">IF($A227="",0,INDEX(tblPosn,$A227,2))</f>
        <v>72208.375</v>
      </c>
      <c r="P227" s="59" t="n">
        <f aca="true">IF($A227="",0,INDEX(tblPosn,$A227,3))</f>
        <v>48662.1640625</v>
      </c>
      <c r="Q227" s="59" t="n">
        <f aca="true">IF($A227="",0,INDEX(tblPosn,$A227,4))</f>
        <v>12557.9775390625</v>
      </c>
      <c r="R227" s="59" t="n">
        <f aca="true">IF($A227="",0,INDEX(tblPosn,$A227,5))</f>
        <v>12557.9775390625</v>
      </c>
      <c r="S227" s="59" t="n">
        <f aca="true">IF($A227="",0,INDEX(tblPosn,$A227,6))</f>
        <v>0</v>
      </c>
      <c r="T227" s="98" t="n">
        <f aca="false">O227*F227+P227*K227+R227*AC227+S227*AH227/0.72+Q227*X227</f>
        <v>0</v>
      </c>
      <c r="V227" s="161" t="n">
        <f aca="false">D227</f>
        <v>42795</v>
      </c>
      <c r="W227" s="94" t="n">
        <f aca="false">VLOOKUP($D227,tblPriorPrice,4)</f>
        <v>29</v>
      </c>
      <c r="X227" s="95" t="n">
        <f aca="false">Y227-W227</f>
        <v>0</v>
      </c>
      <c r="Y227" s="191" t="n">
        <f aca="true">Y215+OFFSET($CG$50,$B227,$C227)</f>
        <v>29</v>
      </c>
      <c r="Z227" s="96" t="n">
        <f aca="true">Y227+OFFSET($CU$51,$B227,$C227)</f>
        <v>24</v>
      </c>
      <c r="AA227" s="177" t="n">
        <f aca="true">Y227+OFFSET($DI$51,$B227,$C227)</f>
        <v>61</v>
      </c>
      <c r="AB227" s="94" t="n">
        <f aca="false">VLOOKUP($D227,tblPriorPrice,5)</f>
        <v>29</v>
      </c>
      <c r="AC227" s="190" t="n">
        <f aca="false">AD227-AB227</f>
        <v>0</v>
      </c>
      <c r="AD227" s="191" t="n">
        <f aca="true">AD215+OFFSET($CG$73,$B227,$C227)</f>
        <v>29</v>
      </c>
      <c r="AE227" s="96" t="n">
        <f aca="true">AD227+OFFSET($CU$74,$B227,$C227)</f>
        <v>24</v>
      </c>
      <c r="AF227" s="177" t="n">
        <f aca="true">AD227+OFFSET($DI$74,$B227,$C227)</f>
        <v>61</v>
      </c>
      <c r="AG227" s="94" t="n">
        <f aca="false">VLOOKUP($D227,tblPriorPrice,6)</f>
        <v>1</v>
      </c>
      <c r="AH227" s="190" t="n">
        <f aca="false">AI227-AG227</f>
        <v>0</v>
      </c>
      <c r="AI227" s="191" t="n">
        <f aca="true">AI215+OFFSET($CG$96,$B227,$C227)</f>
        <v>1</v>
      </c>
      <c r="AJ227" s="96" t="n">
        <f aca="true">AI227+OFFSET($CU$96,$B227,$C227)</f>
        <v>1</v>
      </c>
      <c r="AK227" s="97" t="n">
        <f aca="true">AI227+OFFSET($DI$96,$B227,$C227)</f>
        <v>1</v>
      </c>
      <c r="AL227" s="178" t="n">
        <v>66</v>
      </c>
      <c r="AM227" s="165" t="n">
        <v>0.4</v>
      </c>
      <c r="AN227" s="167" t="n">
        <f aca="false">'[3]Pricing Summary'!$AM205</f>
        <v>0.17</v>
      </c>
      <c r="AO227" s="167" t="n">
        <f aca="false">0.9*AN227</f>
        <v>0.153</v>
      </c>
      <c r="AP227" s="166" t="n">
        <f aca="false">1.5*AN227</f>
        <v>0.255</v>
      </c>
      <c r="AQ227" s="167" t="n">
        <f aca="false">AN227</f>
        <v>0.17</v>
      </c>
      <c r="AR227" s="166" t="n">
        <f aca="false">0.8*AQ227</f>
        <v>0.136</v>
      </c>
      <c r="AS227" s="166" t="n">
        <f aca="false">1.2*AQ227</f>
        <v>0.204</v>
      </c>
      <c r="AT227" s="169" t="n">
        <f aca="false">IF(G227&lt;110,17.94063*(LN(G227/100))+6.727568*(LN(G227/100)^2)+15.06494,(-4.1*G227+2135)/100)*0.5</f>
        <v>1.58278405940532</v>
      </c>
      <c r="AU227" s="169" t="n">
        <f aca="false">(0.75*AT227-AT227)</f>
        <v>-0.395696014851329</v>
      </c>
      <c r="AV227" s="166" t="n">
        <f aca="false">AT227/0.5*1.25-AT227</f>
        <v>2.37417608910797</v>
      </c>
      <c r="AW227" s="168" t="n">
        <f aca="false">IF(L227&lt;15,(15*L227+375)/100,(-4.71*L227+670.65)/100)*0.5</f>
        <v>2.6703</v>
      </c>
      <c r="AX227" s="166" t="n">
        <f aca="false">0.75*AW227-AW227</f>
        <v>-0.667575</v>
      </c>
      <c r="AY227" s="166" t="n">
        <f aca="false">AW227/0.5*1.25-AW227</f>
        <v>4.00545</v>
      </c>
      <c r="AZ227" s="167" t="n">
        <v>0.5</v>
      </c>
      <c r="BA227" s="74"/>
      <c r="BQ227" s="108" t="n">
        <v>36907.7428240741</v>
      </c>
      <c r="BR227" s="109" t="n">
        <v>36907.743287037</v>
      </c>
      <c r="BS227" s="110" t="n">
        <v>42736</v>
      </c>
      <c r="BT227" s="111" t="n">
        <v>63442.3359375</v>
      </c>
      <c r="BU227" s="112" t="n">
        <v>49167.8125</v>
      </c>
      <c r="BV227" s="112" t="n">
        <v>12688.466796875</v>
      </c>
      <c r="BW227" s="112" t="n">
        <v>22204.818359375</v>
      </c>
      <c r="BX227" s="113" t="n">
        <v>0</v>
      </c>
      <c r="BZ227" s="110" t="n">
        <v>42795</v>
      </c>
      <c r="CA227" s="185" t="n">
        <v>29</v>
      </c>
      <c r="CB227" s="116" t="n">
        <v>29</v>
      </c>
      <c r="CC227" s="181" t="n">
        <v>29</v>
      </c>
      <c r="CD227" s="181" t="n">
        <v>29</v>
      </c>
      <c r="CE227" s="117" t="n">
        <v>1</v>
      </c>
    </row>
    <row r="228" customFormat="false" ht="12.75" hidden="false" customHeight="false" outlineLevel="0" collapsed="false">
      <c r="A228" s="0" t="n">
        <f aca="true">IF(ISERROR(MATCH(D228,iRefDt,0)),"",MATCH(D228,iRefDt,0))</f>
        <v>228</v>
      </c>
      <c r="B228" s="92" t="n">
        <f aca="false">MATCH(YEAR(D228),iSpreads)</f>
        <v>17</v>
      </c>
      <c r="C228" s="0" t="n">
        <f aca="false">MONTH(D228)</f>
        <v>4</v>
      </c>
      <c r="D228" s="93" t="n">
        <f aca="false">DATE(YEAR(D227),MONTH(D227)+1,1)</f>
        <v>42826</v>
      </c>
      <c r="E228" s="94" t="n">
        <f aca="false">VLOOKUP($D228,tblPriorPrice,2)</f>
        <v>29</v>
      </c>
      <c r="F228" s="190" t="n">
        <f aca="false">G228-E228</f>
        <v>0</v>
      </c>
      <c r="G228" s="190" t="n">
        <f aca="true">G216+OFFSET($CG$4,$B228,$C228)</f>
        <v>29</v>
      </c>
      <c r="H228" s="96" t="n">
        <f aca="true">G228+OFFSET($CU$4,$B228,$C228)</f>
        <v>24</v>
      </c>
      <c r="I228" s="96" t="n">
        <f aca="true">G228+OFFSET($DI$4,$B228,$C228)</f>
        <v>60</v>
      </c>
      <c r="J228" s="94" t="n">
        <f aca="false">VLOOKUP($D228,tblPriorPrice,3)</f>
        <v>29</v>
      </c>
      <c r="K228" s="190" t="n">
        <f aca="false">L228-J228</f>
        <v>0</v>
      </c>
      <c r="L228" s="190" t="n">
        <f aca="true">L216+OFFSET($CG$27,$B228,$C228)</f>
        <v>29</v>
      </c>
      <c r="M228" s="96" t="n">
        <f aca="true">$L228+OFFSET($CU$27,$B228,$C228)</f>
        <v>24</v>
      </c>
      <c r="N228" s="97" t="n">
        <f aca="true">$L228+OFFSET($DI$27,$B228,$C228)</f>
        <v>50</v>
      </c>
      <c r="O228" s="59" t="n">
        <f aca="true">IF($A228="",0,INDEX(tblPosn,$A228,2))</f>
        <v>59334.84375</v>
      </c>
      <c r="P228" s="59" t="n">
        <f aca="true">IF($A228="",0,INDEX(tblPosn,$A228,3))</f>
        <v>46648.1171875</v>
      </c>
      <c r="Q228" s="59" t="n">
        <f aca="true">IF($A228="",0,INDEX(tblPosn,$A228,4))</f>
        <v>15614.431640625</v>
      </c>
      <c r="R228" s="59" t="n">
        <f aca="true">IF($A228="",0,INDEX(tblPosn,$A228,5))</f>
        <v>18737.318359375</v>
      </c>
      <c r="S228" s="59" t="n">
        <f aca="true">IF($A228="",0,INDEX(tblPosn,$A228,6))</f>
        <v>0</v>
      </c>
      <c r="T228" s="98" t="n">
        <f aca="false">O228*F228+P228*K228+R228*AC228+S228*AH228/0.72+Q228*X228</f>
        <v>0</v>
      </c>
      <c r="V228" s="161" t="n">
        <f aca="false">D228</f>
        <v>42826</v>
      </c>
      <c r="W228" s="94" t="n">
        <f aca="false">VLOOKUP($D228,tblPriorPrice,4)</f>
        <v>29</v>
      </c>
      <c r="X228" s="95" t="n">
        <f aca="false">Y228-W228</f>
        <v>0</v>
      </c>
      <c r="Y228" s="191" t="n">
        <f aca="true">Y216+OFFSET($CG$50,$B228,$C228)</f>
        <v>29</v>
      </c>
      <c r="Z228" s="96" t="n">
        <f aca="true">Y228+OFFSET($CU$51,$B228,$C228)</f>
        <v>24</v>
      </c>
      <c r="AA228" s="177" t="n">
        <f aca="true">Y228+OFFSET($DI$51,$B228,$C228)</f>
        <v>61</v>
      </c>
      <c r="AB228" s="94" t="n">
        <f aca="false">VLOOKUP($D228,tblPriorPrice,5)</f>
        <v>29</v>
      </c>
      <c r="AC228" s="190" t="n">
        <f aca="false">AD228-AB228</f>
        <v>0</v>
      </c>
      <c r="AD228" s="191" t="n">
        <f aca="true">AD216+OFFSET($CG$73,$B228,$C228)</f>
        <v>29</v>
      </c>
      <c r="AE228" s="96" t="n">
        <f aca="true">AD228+OFFSET($CU$74,$B228,$C228)</f>
        <v>24</v>
      </c>
      <c r="AF228" s="177" t="n">
        <f aca="true">AD228+OFFSET($DI$74,$B228,$C228)</f>
        <v>61</v>
      </c>
      <c r="AG228" s="94" t="n">
        <f aca="false">VLOOKUP($D228,tblPriorPrice,6)</f>
        <v>1</v>
      </c>
      <c r="AH228" s="190" t="n">
        <f aca="false">AI228-AG228</f>
        <v>0</v>
      </c>
      <c r="AI228" s="191" t="n">
        <f aca="true">AI216+OFFSET($CG$96,$B228,$C228)</f>
        <v>1</v>
      </c>
      <c r="AJ228" s="96" t="n">
        <f aca="true">AI228+OFFSET($CU$96,$B228,$C228)</f>
        <v>1</v>
      </c>
      <c r="AK228" s="97" t="n">
        <f aca="true">AI228+OFFSET($DI$96,$B228,$C228)</f>
        <v>1</v>
      </c>
      <c r="AL228" s="178" t="n">
        <v>66</v>
      </c>
      <c r="AM228" s="165" t="n">
        <v>0.4</v>
      </c>
      <c r="AN228" s="167" t="n">
        <f aca="false">'[3]Pricing Summary'!$AM206</f>
        <v>0.17</v>
      </c>
      <c r="AO228" s="167" t="n">
        <f aca="false">0.9*AN228</f>
        <v>0.153</v>
      </c>
      <c r="AP228" s="166" t="n">
        <f aca="false">1.5*AN228</f>
        <v>0.255</v>
      </c>
      <c r="AQ228" s="167" t="n">
        <f aca="false">AN228</f>
        <v>0.17</v>
      </c>
      <c r="AR228" s="166" t="n">
        <f aca="false">0.8*AQ228</f>
        <v>0.136</v>
      </c>
      <c r="AS228" s="166" t="n">
        <f aca="false">1.2*AQ228</f>
        <v>0.204</v>
      </c>
      <c r="AT228" s="169" t="n">
        <f aca="false">IF(G228&lt;110,17.94063*(LN(G228/100))+6.727568*(LN(G228/100)^2)+15.06494,(-4.1*G228+2135)/100)*0.5</f>
        <v>1.58278405940532</v>
      </c>
      <c r="AU228" s="169" t="n">
        <f aca="false">(0.75*AT228-AT228)</f>
        <v>-0.395696014851329</v>
      </c>
      <c r="AV228" s="166" t="n">
        <f aca="false">AT228/0.5*1.25-AT228</f>
        <v>2.37417608910797</v>
      </c>
      <c r="AW228" s="168" t="n">
        <f aca="false">IF(L228&lt;15,(15*L228+375)/100,(-4.71*L228+670.65)/100)*0.5</f>
        <v>2.6703</v>
      </c>
      <c r="AX228" s="166" t="n">
        <f aca="false">0.75*AW228-AW228</f>
        <v>-0.667575</v>
      </c>
      <c r="AY228" s="166" t="n">
        <f aca="false">AW228/0.5*1.25-AW228</f>
        <v>4.00545</v>
      </c>
      <c r="AZ228" s="167" t="n">
        <v>0.5</v>
      </c>
      <c r="BA228" s="74"/>
      <c r="BQ228" s="108" t="n">
        <v>36907.7428240741</v>
      </c>
      <c r="BR228" s="109" t="n">
        <v>36907.743287037</v>
      </c>
      <c r="BS228" s="110" t="n">
        <v>42767</v>
      </c>
      <c r="BT228" s="111" t="n">
        <v>59975.32421875</v>
      </c>
      <c r="BU228" s="112" t="n">
        <v>44192.34765625</v>
      </c>
      <c r="BV228" s="112" t="n">
        <v>12626.3837890625</v>
      </c>
      <c r="BW228" s="112" t="n">
        <v>15782.98046875</v>
      </c>
      <c r="BX228" s="113" t="n">
        <v>0</v>
      </c>
      <c r="BZ228" s="110" t="n">
        <v>42826</v>
      </c>
      <c r="CA228" s="185" t="n">
        <v>29</v>
      </c>
      <c r="CB228" s="116" t="n">
        <v>29</v>
      </c>
      <c r="CC228" s="181" t="n">
        <v>29</v>
      </c>
      <c r="CD228" s="181" t="n">
        <v>29</v>
      </c>
      <c r="CE228" s="117" t="n">
        <v>1</v>
      </c>
    </row>
    <row r="229" customFormat="false" ht="12.75" hidden="false" customHeight="false" outlineLevel="0" collapsed="false">
      <c r="A229" s="0" t="n">
        <f aca="true">IF(ISERROR(MATCH(D229,iRefDt,0)),"",MATCH(D229,iRefDt,0))</f>
        <v>229</v>
      </c>
      <c r="B229" s="92" t="n">
        <f aca="false">MATCH(YEAR(D229),iSpreads)</f>
        <v>17</v>
      </c>
      <c r="C229" s="0" t="n">
        <f aca="false">MONTH(D229)</f>
        <v>5</v>
      </c>
      <c r="D229" s="93" t="n">
        <f aca="false">DATE(YEAR(D228),MONTH(D228)+1,1)</f>
        <v>42856</v>
      </c>
      <c r="E229" s="94" t="n">
        <f aca="false">VLOOKUP($D229,tblPriorPrice,2)</f>
        <v>32</v>
      </c>
      <c r="F229" s="190" t="n">
        <f aca="false">G229-E229</f>
        <v>0</v>
      </c>
      <c r="G229" s="190" t="n">
        <f aca="true">G217+OFFSET($CG$4,$B229,$C229)</f>
        <v>32</v>
      </c>
      <c r="H229" s="96" t="n">
        <f aca="true">G229+OFFSET($CU$4,$B229,$C229)</f>
        <v>27</v>
      </c>
      <c r="I229" s="96" t="n">
        <f aca="true">G229+OFFSET($DI$4,$B229,$C229)</f>
        <v>63</v>
      </c>
      <c r="J229" s="94" t="n">
        <f aca="false">VLOOKUP($D229,tblPriorPrice,3)</f>
        <v>32</v>
      </c>
      <c r="K229" s="190" t="n">
        <f aca="false">L229-J229</f>
        <v>0</v>
      </c>
      <c r="L229" s="190" t="n">
        <f aca="true">L217+OFFSET($CG$27,$B229,$C229)</f>
        <v>32</v>
      </c>
      <c r="M229" s="96" t="n">
        <f aca="true">$L229+OFFSET($CU$27,$B229,$C229)</f>
        <v>27</v>
      </c>
      <c r="N229" s="97" t="n">
        <f aca="true">$L229+OFFSET($DI$27,$B229,$C229)</f>
        <v>53</v>
      </c>
      <c r="O229" s="59" t="n">
        <f aca="true">IF($A229="",0,INDEX(tblPosn,$A229,2))</f>
        <v>68334.046875</v>
      </c>
      <c r="P229" s="59" t="n">
        <f aca="true">IF($A229="",0,INDEX(tblPosn,$A229,3))</f>
        <v>48144.4453125</v>
      </c>
      <c r="Q229" s="59" t="n">
        <f aca="true">IF($A229="",0,INDEX(tblPosn,$A229,4))</f>
        <v>12424.373046875</v>
      </c>
      <c r="R229" s="59" t="n">
        <f aca="true">IF($A229="",0,INDEX(tblPosn,$A229,5))</f>
        <v>15530.4658203125</v>
      </c>
      <c r="S229" s="59" t="n">
        <f aca="true">IF($A229="",0,INDEX(tblPosn,$A229,6))</f>
        <v>0</v>
      </c>
      <c r="T229" s="98" t="n">
        <f aca="false">O229*F229+P229*K229+R229*AC229+S229*AH229/0.72+Q229*X229</f>
        <v>0</v>
      </c>
      <c r="V229" s="161" t="n">
        <f aca="false">D229</f>
        <v>42856</v>
      </c>
      <c r="W229" s="94" t="n">
        <f aca="false">VLOOKUP($D229,tblPriorPrice,4)</f>
        <v>32</v>
      </c>
      <c r="X229" s="95" t="n">
        <f aca="false">Y229-W229</f>
        <v>0</v>
      </c>
      <c r="Y229" s="191" t="n">
        <f aca="true">Y217+OFFSET($CG$50,$B229,$C229)</f>
        <v>32</v>
      </c>
      <c r="Z229" s="96" t="n">
        <f aca="true">Y229+OFFSET($CU$51,$B229,$C229)</f>
        <v>27</v>
      </c>
      <c r="AA229" s="177" t="n">
        <f aca="true">Y229+OFFSET($DI$51,$B229,$C229)</f>
        <v>64</v>
      </c>
      <c r="AB229" s="94" t="n">
        <f aca="false">VLOOKUP($D229,tblPriorPrice,5)</f>
        <v>32</v>
      </c>
      <c r="AC229" s="190" t="n">
        <f aca="false">AD229-AB229</f>
        <v>0</v>
      </c>
      <c r="AD229" s="191" t="n">
        <f aca="true">AD217+OFFSET($CG$73,$B229,$C229)</f>
        <v>32</v>
      </c>
      <c r="AE229" s="96" t="n">
        <f aca="true">AD229+OFFSET($CU$74,$B229,$C229)</f>
        <v>27</v>
      </c>
      <c r="AF229" s="177" t="n">
        <f aca="true">AD229+OFFSET($DI$74,$B229,$C229)</f>
        <v>64</v>
      </c>
      <c r="AG229" s="94" t="n">
        <f aca="false">VLOOKUP($D229,tblPriorPrice,6)</f>
        <v>1</v>
      </c>
      <c r="AH229" s="190" t="n">
        <f aca="false">AI229-AG229</f>
        <v>0</v>
      </c>
      <c r="AI229" s="191" t="n">
        <f aca="true">AI217+OFFSET($CG$96,$B229,$C229)</f>
        <v>1</v>
      </c>
      <c r="AJ229" s="96" t="n">
        <f aca="true">AI229+OFFSET($CU$96,$B229,$C229)</f>
        <v>1</v>
      </c>
      <c r="AK229" s="97" t="n">
        <f aca="true">AI229+OFFSET($DI$96,$B229,$C229)</f>
        <v>1</v>
      </c>
      <c r="AL229" s="178" t="n">
        <v>66</v>
      </c>
      <c r="AM229" s="165" t="n">
        <v>0.4</v>
      </c>
      <c r="AN229" s="167" t="n">
        <f aca="false">'[3]Pricing Summary'!$AM207</f>
        <v>0.17</v>
      </c>
      <c r="AO229" s="167" t="n">
        <f aca="false">0.9*AN229</f>
        <v>0.153</v>
      </c>
      <c r="AP229" s="166" t="n">
        <f aca="false">1.5*AN229</f>
        <v>0.255</v>
      </c>
      <c r="AQ229" s="167" t="n">
        <f aca="false">AN229</f>
        <v>0.17</v>
      </c>
      <c r="AR229" s="166" t="n">
        <f aca="false">0.8*AQ229</f>
        <v>0.136</v>
      </c>
      <c r="AS229" s="166" t="n">
        <f aca="false">1.2*AQ229</f>
        <v>0.204</v>
      </c>
      <c r="AT229" s="169" t="n">
        <f aca="false">IF(G229&lt;110,17.94063*(LN(G229/100))+6.727568*(LN(G229/100)^2)+15.06494,(-4.1*G229+2135)/100)*0.5</f>
        <v>1.67862159684781</v>
      </c>
      <c r="AU229" s="169" t="n">
        <f aca="false">(0.75*AT229-AT229)</f>
        <v>-0.419655399211954</v>
      </c>
      <c r="AV229" s="166" t="n">
        <f aca="false">AT229/0.5*1.25-AT229</f>
        <v>2.51793239527172</v>
      </c>
      <c r="AW229" s="168" t="n">
        <f aca="false">IF(L229&lt;15,(15*L229+375)/100,(-4.71*L229+670.65)/100)*0.5</f>
        <v>2.59965</v>
      </c>
      <c r="AX229" s="166" t="n">
        <f aca="false">0.75*AW229-AW229</f>
        <v>-0.6499125</v>
      </c>
      <c r="AY229" s="166" t="n">
        <f aca="false">AW229/0.5*1.25-AW229</f>
        <v>3.899475</v>
      </c>
      <c r="AZ229" s="167" t="n">
        <v>0.5</v>
      </c>
      <c r="BA229" s="74"/>
      <c r="BQ229" s="108" t="n">
        <v>36907.7428240741</v>
      </c>
      <c r="BR229" s="109" t="n">
        <v>36907.743287037</v>
      </c>
      <c r="BS229" s="110" t="n">
        <v>42795</v>
      </c>
      <c r="BT229" s="111" t="n">
        <v>72208.375</v>
      </c>
      <c r="BU229" s="112" t="n">
        <v>48662.1640625</v>
      </c>
      <c r="BV229" s="112" t="n">
        <v>12557.9775390625</v>
      </c>
      <c r="BW229" s="112" t="n">
        <v>12557.9775390625</v>
      </c>
      <c r="BX229" s="113" t="n">
        <v>0</v>
      </c>
      <c r="BZ229" s="110" t="n">
        <v>42856</v>
      </c>
      <c r="CA229" s="185" t="n">
        <v>32</v>
      </c>
      <c r="CB229" s="116" t="n">
        <v>32</v>
      </c>
      <c r="CC229" s="181" t="n">
        <v>32</v>
      </c>
      <c r="CD229" s="181" t="n">
        <v>32</v>
      </c>
      <c r="CE229" s="117" t="n">
        <v>1</v>
      </c>
    </row>
    <row r="230" customFormat="false" ht="12.75" hidden="false" customHeight="false" outlineLevel="0" collapsed="false">
      <c r="A230" s="0" t="n">
        <f aca="true">IF(ISERROR(MATCH(D230,iRefDt,0)),"",MATCH(D230,iRefDt,0))</f>
        <v>230</v>
      </c>
      <c r="B230" s="92" t="n">
        <f aca="false">MATCH(YEAR(D230),iSpreads)</f>
        <v>17</v>
      </c>
      <c r="C230" s="0" t="n">
        <f aca="false">MONTH(D230)</f>
        <v>6</v>
      </c>
      <c r="D230" s="93" t="n">
        <f aca="false">DATE(YEAR(D229),MONTH(D229)+1,1)</f>
        <v>42887</v>
      </c>
      <c r="E230" s="94" t="n">
        <f aca="false">VLOOKUP($D230,tblPriorPrice,2)</f>
        <v>39</v>
      </c>
      <c r="F230" s="190" t="n">
        <f aca="false">G230-E230</f>
        <v>0</v>
      </c>
      <c r="G230" s="190" t="n">
        <f aca="true">G218+OFFSET($CG$4,$B230,$C230)</f>
        <v>39</v>
      </c>
      <c r="H230" s="96" t="n">
        <f aca="true">G230+OFFSET($CU$4,$B230,$C230)</f>
        <v>34</v>
      </c>
      <c r="I230" s="96" t="n">
        <f aca="true">G230+OFFSET($DI$4,$B230,$C230)</f>
        <v>70</v>
      </c>
      <c r="J230" s="94" t="n">
        <f aca="false">VLOOKUP($D230,tblPriorPrice,3)</f>
        <v>39</v>
      </c>
      <c r="K230" s="190" t="n">
        <f aca="false">L230-J230</f>
        <v>0</v>
      </c>
      <c r="L230" s="190" t="n">
        <f aca="true">L218+OFFSET($CG$27,$B230,$C230)</f>
        <v>39</v>
      </c>
      <c r="M230" s="96" t="n">
        <f aca="true">$L230+OFFSET($CU$27,$B230,$C230)</f>
        <v>34</v>
      </c>
      <c r="N230" s="97" t="n">
        <f aca="true">$L230+OFFSET($DI$27,$B230,$C230)</f>
        <v>60</v>
      </c>
      <c r="O230" s="59" t="n">
        <f aca="true">IF($A230="",0,INDEX(tblPosn,$A230,2))</f>
        <v>67979.890625</v>
      </c>
      <c r="P230" s="59" t="n">
        <f aca="true">IF($A230="",0,INDEX(tblPosn,$A230,3))</f>
        <v>46349.92578125</v>
      </c>
      <c r="Q230" s="59" t="n">
        <f aca="true">IF($A230="",0,INDEX(tblPosn,$A230,4))</f>
        <v>12359.98046875</v>
      </c>
      <c r="R230" s="59" t="n">
        <f aca="true">IF($A230="",0,INDEX(tblPosn,$A230,5))</f>
        <v>12359.98046875</v>
      </c>
      <c r="S230" s="59" t="n">
        <f aca="true">IF($A230="",0,INDEX(tblPosn,$A230,6))</f>
        <v>0</v>
      </c>
      <c r="T230" s="98" t="n">
        <f aca="false">O230*F230+P230*K230+R230*AC230+S230*AH230/0.72+Q230*X230</f>
        <v>0</v>
      </c>
      <c r="V230" s="161" t="n">
        <f aca="false">D230</f>
        <v>42887</v>
      </c>
      <c r="W230" s="94" t="n">
        <f aca="false">VLOOKUP($D230,tblPriorPrice,4)</f>
        <v>39</v>
      </c>
      <c r="X230" s="95" t="n">
        <f aca="false">Y230-W230</f>
        <v>0</v>
      </c>
      <c r="Y230" s="191" t="n">
        <f aca="true">Y218+OFFSET($CG$50,$B230,$C230)</f>
        <v>39</v>
      </c>
      <c r="Z230" s="96" t="n">
        <f aca="true">Y230+OFFSET($CU$51,$B230,$C230)</f>
        <v>34</v>
      </c>
      <c r="AA230" s="177" t="n">
        <f aca="true">Y230+OFFSET($DI$51,$B230,$C230)</f>
        <v>71</v>
      </c>
      <c r="AB230" s="94" t="n">
        <f aca="false">VLOOKUP($D230,tblPriorPrice,5)</f>
        <v>39</v>
      </c>
      <c r="AC230" s="190" t="n">
        <f aca="false">AD230-AB230</f>
        <v>0</v>
      </c>
      <c r="AD230" s="191" t="n">
        <f aca="true">AD218+OFFSET($CG$73,$B230,$C230)</f>
        <v>39</v>
      </c>
      <c r="AE230" s="96" t="n">
        <f aca="true">AD230+OFFSET($CU$74,$B230,$C230)</f>
        <v>34</v>
      </c>
      <c r="AF230" s="177" t="n">
        <f aca="true">AD230+OFFSET($DI$74,$B230,$C230)</f>
        <v>71</v>
      </c>
      <c r="AG230" s="94" t="n">
        <f aca="false">VLOOKUP($D230,tblPriorPrice,6)</f>
        <v>1</v>
      </c>
      <c r="AH230" s="190" t="n">
        <f aca="false">AI230-AG230</f>
        <v>0</v>
      </c>
      <c r="AI230" s="191" t="n">
        <f aca="true">AI218+OFFSET($CG$96,$B230,$C230)</f>
        <v>1</v>
      </c>
      <c r="AJ230" s="96" t="n">
        <f aca="true">AI230+OFFSET($CU$96,$B230,$C230)</f>
        <v>1</v>
      </c>
      <c r="AK230" s="97" t="n">
        <f aca="true">AI230+OFFSET($DI$96,$B230,$C230)</f>
        <v>1</v>
      </c>
      <c r="AL230" s="178" t="n">
        <v>67</v>
      </c>
      <c r="AM230" s="165" t="n">
        <v>0.4</v>
      </c>
      <c r="AN230" s="167" t="n">
        <f aca="false">'[3]Pricing Summary'!$AM208</f>
        <v>0.17</v>
      </c>
      <c r="AO230" s="167" t="n">
        <f aca="false">0.9*AN230</f>
        <v>0.153</v>
      </c>
      <c r="AP230" s="166" t="n">
        <f aca="false">1.5*AN230</f>
        <v>0.255</v>
      </c>
      <c r="AQ230" s="167" t="n">
        <f aca="false">AN230</f>
        <v>0.17</v>
      </c>
      <c r="AR230" s="166" t="n">
        <f aca="false">0.8*AQ230</f>
        <v>0.136</v>
      </c>
      <c r="AS230" s="166" t="n">
        <f aca="false">1.2*AQ230</f>
        <v>0.204</v>
      </c>
      <c r="AT230" s="169" t="n">
        <f aca="false">IF(G230&lt;110,17.94063*(LN(G230/100))+6.727568*(LN(G230/100)^2)+15.06494,(-4.1*G230+2135)/100)*0.5</f>
        <v>2.06836530423771</v>
      </c>
      <c r="AU230" s="169" t="n">
        <f aca="false">(0.75*AT230-AT230)</f>
        <v>-0.517091326059428</v>
      </c>
      <c r="AV230" s="166" t="n">
        <f aca="false">AT230/0.5*1.25-AT230</f>
        <v>3.10254795635657</v>
      </c>
      <c r="AW230" s="168" t="n">
        <f aca="false">IF(L230&lt;15,(15*L230+375)/100,(-4.71*L230+670.65)/100)*0.5</f>
        <v>2.4348</v>
      </c>
      <c r="AX230" s="166" t="n">
        <f aca="false">0.75*AW230-AW230</f>
        <v>-0.6087</v>
      </c>
      <c r="AY230" s="166" t="n">
        <f aca="false">AW230/0.5*1.25-AW230</f>
        <v>3.6522</v>
      </c>
      <c r="AZ230" s="167" t="n">
        <v>0.5</v>
      </c>
      <c r="BA230" s="74"/>
      <c r="BQ230" s="108" t="n">
        <v>36907.7428240741</v>
      </c>
      <c r="BR230" s="109" t="n">
        <v>36907.743287037</v>
      </c>
      <c r="BS230" s="110" t="n">
        <v>42826</v>
      </c>
      <c r="BT230" s="111" t="n">
        <v>59334.84375</v>
      </c>
      <c r="BU230" s="112" t="n">
        <v>46648.1171875</v>
      </c>
      <c r="BV230" s="112" t="n">
        <v>15614.431640625</v>
      </c>
      <c r="BW230" s="112" t="n">
        <v>18737.318359375</v>
      </c>
      <c r="BX230" s="113" t="n">
        <v>0</v>
      </c>
      <c r="BZ230" s="110" t="n">
        <v>42887</v>
      </c>
      <c r="CA230" s="185" t="n">
        <v>39</v>
      </c>
      <c r="CB230" s="116" t="n">
        <v>39</v>
      </c>
      <c r="CC230" s="181" t="n">
        <v>39</v>
      </c>
      <c r="CD230" s="181" t="n">
        <v>39</v>
      </c>
      <c r="CE230" s="117" t="n">
        <v>1</v>
      </c>
    </row>
    <row r="231" customFormat="false" ht="12.75" hidden="false" customHeight="false" outlineLevel="0" collapsed="false">
      <c r="A231" s="0" t="n">
        <f aca="true">IF(ISERROR(MATCH(D231,iRefDt,0)),"",MATCH(D231,iRefDt,0))</f>
        <v>231</v>
      </c>
      <c r="B231" s="92" t="n">
        <f aca="false">MATCH(YEAR(D231),iSpreads)</f>
        <v>17</v>
      </c>
      <c r="C231" s="0" t="n">
        <f aca="false">MONTH(D231)</f>
        <v>7</v>
      </c>
      <c r="D231" s="93" t="n">
        <f aca="false">DATE(YEAR(D230),MONTH(D230)+1,1)</f>
        <v>42917</v>
      </c>
      <c r="E231" s="94" t="n">
        <f aca="false">VLOOKUP($D231,tblPriorPrice,2)</f>
        <v>39</v>
      </c>
      <c r="F231" s="190" t="n">
        <f aca="false">G231-E231</f>
        <v>0</v>
      </c>
      <c r="G231" s="190" t="n">
        <f aca="true">G219+OFFSET($CG$4,$B231,$C231)</f>
        <v>39</v>
      </c>
      <c r="H231" s="96" t="n">
        <f aca="true">G231+OFFSET($CU$4,$B231,$C231)</f>
        <v>34</v>
      </c>
      <c r="I231" s="96" t="n">
        <f aca="true">G231+OFFSET($DI$4,$B231,$C231)</f>
        <v>70</v>
      </c>
      <c r="J231" s="94" t="n">
        <f aca="false">VLOOKUP($D231,tblPriorPrice,3)</f>
        <v>39</v>
      </c>
      <c r="K231" s="190" t="n">
        <f aca="false">L231-J231</f>
        <v>0</v>
      </c>
      <c r="L231" s="190" t="n">
        <f aca="true">L219+OFFSET($CG$27,$B231,$C231)</f>
        <v>39</v>
      </c>
      <c r="M231" s="96" t="n">
        <f aca="true">$L231+OFFSET($CU$27,$B231,$C231)</f>
        <v>34</v>
      </c>
      <c r="N231" s="97" t="n">
        <f aca="true">$L231+OFFSET($DI$27,$B231,$C231)</f>
        <v>60</v>
      </c>
      <c r="O231" s="59" t="n">
        <f aca="true">IF($A231="",0,INDEX(tblPosn,$A231,2))</f>
        <v>61460.4296875</v>
      </c>
      <c r="P231" s="59" t="n">
        <f aca="true">IF($A231="",0,INDEX(tblPosn,$A231,3))</f>
        <v>47631.8359375</v>
      </c>
      <c r="Q231" s="59" t="n">
        <f aca="true">IF($A231="",0,INDEX(tblPosn,$A231,4))</f>
        <v>15365.107421875</v>
      </c>
      <c r="R231" s="59" t="n">
        <f aca="true">IF($A231="",0,INDEX(tblPosn,$A231,5))</f>
        <v>18438.12890625</v>
      </c>
      <c r="S231" s="59" t="n">
        <f aca="true">IF($A231="",0,INDEX(tblPosn,$A231,6))</f>
        <v>0</v>
      </c>
      <c r="T231" s="98" t="n">
        <f aca="false">O231*F231+P231*K231+R231*AC231+S231*AH231/0.72+Q231*X231</f>
        <v>0</v>
      </c>
      <c r="V231" s="161" t="n">
        <f aca="false">D231</f>
        <v>42917</v>
      </c>
      <c r="W231" s="94" t="n">
        <f aca="false">VLOOKUP($D231,tblPriorPrice,4)</f>
        <v>39</v>
      </c>
      <c r="X231" s="95" t="n">
        <f aca="false">Y231-W231</f>
        <v>0</v>
      </c>
      <c r="Y231" s="191" t="n">
        <f aca="true">Y219+OFFSET($CG$50,$B231,$C231)</f>
        <v>39</v>
      </c>
      <c r="Z231" s="96" t="n">
        <f aca="true">Y231+OFFSET($CU$51,$B231,$C231)</f>
        <v>34</v>
      </c>
      <c r="AA231" s="177" t="n">
        <f aca="true">Y231+OFFSET($DI$51,$B231,$C231)</f>
        <v>71</v>
      </c>
      <c r="AB231" s="94" t="n">
        <f aca="false">VLOOKUP($D231,tblPriorPrice,5)</f>
        <v>39</v>
      </c>
      <c r="AC231" s="190" t="n">
        <f aca="false">AD231-AB231</f>
        <v>0</v>
      </c>
      <c r="AD231" s="191" t="n">
        <f aca="true">AD219+OFFSET($CG$73,$B231,$C231)</f>
        <v>39</v>
      </c>
      <c r="AE231" s="96" t="n">
        <f aca="true">AD231+OFFSET($CU$74,$B231,$C231)</f>
        <v>34</v>
      </c>
      <c r="AF231" s="177" t="n">
        <f aca="true">AD231+OFFSET($DI$74,$B231,$C231)</f>
        <v>71</v>
      </c>
      <c r="AG231" s="94" t="n">
        <f aca="false">VLOOKUP($D231,tblPriorPrice,6)</f>
        <v>1</v>
      </c>
      <c r="AH231" s="190" t="n">
        <f aca="false">AI231-AG231</f>
        <v>0</v>
      </c>
      <c r="AI231" s="191" t="n">
        <f aca="true">AI219+OFFSET($CG$96,$B231,$C231)</f>
        <v>1</v>
      </c>
      <c r="AJ231" s="96" t="n">
        <f aca="true">AI231+OFFSET($CU$96,$B231,$C231)</f>
        <v>1</v>
      </c>
      <c r="AK231" s="97" t="n">
        <f aca="true">AI231+OFFSET($DI$96,$B231,$C231)</f>
        <v>1</v>
      </c>
      <c r="AL231" s="178" t="n">
        <v>67</v>
      </c>
      <c r="AM231" s="165" t="n">
        <v>0.4</v>
      </c>
      <c r="AN231" s="167" t="n">
        <f aca="false">'[3]Pricing Summary'!$AM209</f>
        <v>0.17</v>
      </c>
      <c r="AO231" s="167" t="n">
        <f aca="false">0.9*AN231</f>
        <v>0.153</v>
      </c>
      <c r="AP231" s="166" t="n">
        <f aca="false">1.5*AN231</f>
        <v>0.255</v>
      </c>
      <c r="AQ231" s="167" t="n">
        <f aca="false">AN231</f>
        <v>0.17</v>
      </c>
      <c r="AR231" s="166" t="n">
        <f aca="false">0.8*AQ231</f>
        <v>0.136</v>
      </c>
      <c r="AS231" s="166" t="n">
        <f aca="false">1.2*AQ231</f>
        <v>0.204</v>
      </c>
      <c r="AT231" s="169" t="n">
        <f aca="false">IF(G231&lt;110,17.94063*(LN(G231/100))+6.727568*(LN(G231/100)^2)+15.06494,(-4.1*G231+2135)/100)*0.5</f>
        <v>2.06836530423771</v>
      </c>
      <c r="AU231" s="169" t="n">
        <f aca="false">(0.75*AT231-AT231)</f>
        <v>-0.517091326059428</v>
      </c>
      <c r="AV231" s="166" t="n">
        <f aca="false">AT231/0.5*1.25-AT231</f>
        <v>3.10254795635657</v>
      </c>
      <c r="AW231" s="168" t="n">
        <f aca="false">IF(L231&lt;15,(15*L231+375)/100,(-4.71*L231+670.65)/100)*0.5</f>
        <v>2.4348</v>
      </c>
      <c r="AX231" s="166" t="n">
        <f aca="false">0.75*AW231-AW231</f>
        <v>-0.6087</v>
      </c>
      <c r="AY231" s="166" t="n">
        <f aca="false">AW231/0.5*1.25-AW231</f>
        <v>3.6522</v>
      </c>
      <c r="AZ231" s="167" t="n">
        <v>0.5</v>
      </c>
      <c r="BA231" s="74"/>
      <c r="BQ231" s="108" t="n">
        <v>36907.7428240741</v>
      </c>
      <c r="BR231" s="109" t="n">
        <v>36907.743287037</v>
      </c>
      <c r="BS231" s="110" t="n">
        <v>42856</v>
      </c>
      <c r="BT231" s="111" t="n">
        <v>68334.046875</v>
      </c>
      <c r="BU231" s="112" t="n">
        <v>48144.4453125</v>
      </c>
      <c r="BV231" s="112" t="n">
        <v>12424.373046875</v>
      </c>
      <c r="BW231" s="112" t="n">
        <v>15530.4658203125</v>
      </c>
      <c r="BX231" s="113" t="n">
        <v>0</v>
      </c>
      <c r="BZ231" s="110" t="n">
        <v>42917</v>
      </c>
      <c r="CA231" s="185" t="n">
        <v>39</v>
      </c>
      <c r="CB231" s="116" t="n">
        <v>39</v>
      </c>
      <c r="CC231" s="181" t="n">
        <v>39</v>
      </c>
      <c r="CD231" s="181" t="n">
        <v>39</v>
      </c>
      <c r="CE231" s="117" t="n">
        <v>1</v>
      </c>
    </row>
    <row r="232" customFormat="false" ht="12.75" hidden="false" customHeight="false" outlineLevel="0" collapsed="false">
      <c r="A232" s="0" t="n">
        <f aca="true">IF(ISERROR(MATCH(D232,iRefDt,0)),"",MATCH(D232,iRefDt,0))</f>
        <v>232</v>
      </c>
      <c r="B232" s="92" t="n">
        <f aca="false">MATCH(YEAR(D232),iSpreads)</f>
        <v>17</v>
      </c>
      <c r="C232" s="0" t="n">
        <f aca="false">MONTH(D232)</f>
        <v>8</v>
      </c>
      <c r="D232" s="93" t="n">
        <f aca="false">DATE(YEAR(D231),MONTH(D231)+1,1)</f>
        <v>42948</v>
      </c>
      <c r="E232" s="94" t="n">
        <f aca="false">VLOOKUP($D232,tblPriorPrice,2)</f>
        <v>41</v>
      </c>
      <c r="F232" s="190" t="n">
        <f aca="false">G232-E232</f>
        <v>0</v>
      </c>
      <c r="G232" s="190" t="n">
        <f aca="true">G220+OFFSET($CG$4,$B232,$C232)</f>
        <v>41</v>
      </c>
      <c r="H232" s="96" t="n">
        <f aca="true">G232+OFFSET($CU$4,$B232,$C232)</f>
        <v>36</v>
      </c>
      <c r="I232" s="96" t="n">
        <f aca="true">G232+OFFSET($DI$4,$B232,$C232)</f>
        <v>72</v>
      </c>
      <c r="J232" s="94" t="n">
        <f aca="false">VLOOKUP($D232,tblPriorPrice,3)</f>
        <v>41</v>
      </c>
      <c r="K232" s="190" t="n">
        <f aca="false">L232-J232</f>
        <v>0</v>
      </c>
      <c r="L232" s="190" t="n">
        <f aca="true">L220+OFFSET($CG$27,$B232,$C232)</f>
        <v>41</v>
      </c>
      <c r="M232" s="96" t="n">
        <f aca="true">$L232+OFFSET($CU$27,$B232,$C232)</f>
        <v>36</v>
      </c>
      <c r="N232" s="97" t="n">
        <f aca="true">$L232+OFFSET($DI$27,$B232,$C232)</f>
        <v>62</v>
      </c>
      <c r="O232" s="59" t="n">
        <f aca="true">IF($A232="",0,INDEX(tblPosn,$A232,2))</f>
        <v>70297.390625</v>
      </c>
      <c r="P232" s="59" t="n">
        <f aca="true">IF($A232="",0,INDEX(tblPosn,$A232,3))</f>
        <v>47374.33203125</v>
      </c>
      <c r="Q232" s="59" t="n">
        <f aca="true">IF($A232="",0,INDEX(tblPosn,$A232,4))</f>
        <v>12225.6337890625</v>
      </c>
      <c r="R232" s="59" t="n">
        <f aca="true">IF($A232="",0,INDEX(tblPosn,$A232,5))</f>
        <v>12225.6337890625</v>
      </c>
      <c r="S232" s="59" t="n">
        <f aca="true">IF($A232="",0,INDEX(tblPosn,$A232,6))</f>
        <v>0</v>
      </c>
      <c r="T232" s="98" t="n">
        <f aca="false">O232*F232+P232*K232+R232*AC232+S232*AH232/0.72+Q232*X232</f>
        <v>0</v>
      </c>
      <c r="V232" s="161" t="n">
        <f aca="false">D232</f>
        <v>42948</v>
      </c>
      <c r="W232" s="94" t="n">
        <f aca="false">VLOOKUP($D232,tblPriorPrice,4)</f>
        <v>41</v>
      </c>
      <c r="X232" s="95" t="n">
        <f aca="false">Y232-W232</f>
        <v>0</v>
      </c>
      <c r="Y232" s="191" t="n">
        <f aca="true">Y220+OFFSET($CG$50,$B232,$C232)</f>
        <v>41</v>
      </c>
      <c r="Z232" s="96" t="n">
        <f aca="true">Y232+OFFSET($CU$51,$B232,$C232)</f>
        <v>36</v>
      </c>
      <c r="AA232" s="177" t="n">
        <f aca="true">Y232+OFFSET($DI$51,$B232,$C232)</f>
        <v>73</v>
      </c>
      <c r="AB232" s="94" t="n">
        <f aca="false">VLOOKUP($D232,tblPriorPrice,5)</f>
        <v>41</v>
      </c>
      <c r="AC232" s="190" t="n">
        <f aca="false">AD232-AB232</f>
        <v>0</v>
      </c>
      <c r="AD232" s="191" t="n">
        <f aca="true">AD220+OFFSET($CG$73,$B232,$C232)</f>
        <v>41</v>
      </c>
      <c r="AE232" s="96" t="n">
        <f aca="true">AD232+OFFSET($CU$74,$B232,$C232)</f>
        <v>36</v>
      </c>
      <c r="AF232" s="177" t="n">
        <f aca="true">AD232+OFFSET($DI$74,$B232,$C232)</f>
        <v>73</v>
      </c>
      <c r="AG232" s="94" t="n">
        <f aca="false">VLOOKUP($D232,tblPriorPrice,6)</f>
        <v>1</v>
      </c>
      <c r="AH232" s="190" t="n">
        <f aca="false">AI232-AG232</f>
        <v>0</v>
      </c>
      <c r="AI232" s="191" t="n">
        <f aca="true">AI220+OFFSET($CG$96,$B232,$C232)</f>
        <v>1</v>
      </c>
      <c r="AJ232" s="96" t="n">
        <f aca="true">AI232+OFFSET($CU$96,$B232,$C232)</f>
        <v>1</v>
      </c>
      <c r="AK232" s="97" t="n">
        <f aca="true">AI232+OFFSET($DI$96,$B232,$C232)</f>
        <v>1</v>
      </c>
      <c r="AL232" s="178" t="n">
        <v>67</v>
      </c>
      <c r="AM232" s="165" t="n">
        <v>0.4</v>
      </c>
      <c r="AN232" s="167" t="n">
        <f aca="false">'[3]Pricing Summary'!$AM210</f>
        <v>0.17</v>
      </c>
      <c r="AO232" s="167" t="n">
        <f aca="false">0.9*AN232</f>
        <v>0.153</v>
      </c>
      <c r="AP232" s="166" t="n">
        <f aca="false">1.5*AN232</f>
        <v>0.255</v>
      </c>
      <c r="AQ232" s="167" t="n">
        <f aca="false">AN232</f>
        <v>0.17</v>
      </c>
      <c r="AR232" s="166" t="n">
        <f aca="false">0.8*AQ232</f>
        <v>0.136</v>
      </c>
      <c r="AS232" s="166" t="n">
        <f aca="false">1.2*AQ232</f>
        <v>0.204</v>
      </c>
      <c r="AT232" s="169" t="n">
        <f aca="false">IF(G232&lt;110,17.94063*(LN(G232/100))+6.727568*(LN(G232/100)^2)+15.06494,(-4.1*G232+2135)/100)*0.5</f>
        <v>2.20858471004844</v>
      </c>
      <c r="AU232" s="169" t="n">
        <f aca="false">(0.75*AT232-AT232)</f>
        <v>-0.552146177512111</v>
      </c>
      <c r="AV232" s="166" t="n">
        <f aca="false">AT232/0.5*1.25-AT232</f>
        <v>3.31287706507267</v>
      </c>
      <c r="AW232" s="168" t="n">
        <f aca="false">IF(L232&lt;15,(15*L232+375)/100,(-4.71*L232+670.65)/100)*0.5</f>
        <v>2.3877</v>
      </c>
      <c r="AX232" s="166" t="n">
        <f aca="false">0.75*AW232-AW232</f>
        <v>-0.596925</v>
      </c>
      <c r="AY232" s="166" t="n">
        <f aca="false">AW232/0.5*1.25-AW232</f>
        <v>3.58155</v>
      </c>
      <c r="AZ232" s="167" t="n">
        <v>0.5</v>
      </c>
      <c r="BA232" s="74"/>
      <c r="BQ232" s="108" t="n">
        <v>36907.7428240741</v>
      </c>
      <c r="BR232" s="109" t="n">
        <v>36907.743287037</v>
      </c>
      <c r="BS232" s="110" t="n">
        <v>42887</v>
      </c>
      <c r="BT232" s="111" t="n">
        <v>67979.890625</v>
      </c>
      <c r="BU232" s="112" t="n">
        <v>46349.92578125</v>
      </c>
      <c r="BV232" s="112" t="n">
        <v>12359.98046875</v>
      </c>
      <c r="BW232" s="112" t="n">
        <v>12359.98046875</v>
      </c>
      <c r="BX232" s="113" t="n">
        <v>0</v>
      </c>
      <c r="BZ232" s="110" t="n">
        <v>42948</v>
      </c>
      <c r="CA232" s="185" t="n">
        <v>41</v>
      </c>
      <c r="CB232" s="116" t="n">
        <v>41</v>
      </c>
      <c r="CC232" s="181" t="n">
        <v>41</v>
      </c>
      <c r="CD232" s="181" t="n">
        <v>41</v>
      </c>
      <c r="CE232" s="117" t="n">
        <v>1</v>
      </c>
    </row>
    <row r="233" customFormat="false" ht="12.75" hidden="false" customHeight="false" outlineLevel="0" collapsed="false">
      <c r="A233" s="0" t="n">
        <f aca="true">IF(ISERROR(MATCH(D233,iRefDt,0)),"",MATCH(D233,iRefDt,0))</f>
        <v>233</v>
      </c>
      <c r="B233" s="92" t="n">
        <f aca="false">MATCH(YEAR(D233),iSpreads)</f>
        <v>17</v>
      </c>
      <c r="C233" s="0" t="n">
        <f aca="false">MONTH(D233)</f>
        <v>9</v>
      </c>
      <c r="D233" s="93" t="n">
        <f aca="false">DATE(YEAR(D232),MONTH(D232)+1,1)</f>
        <v>42979</v>
      </c>
      <c r="E233" s="94" t="n">
        <f aca="false">VLOOKUP($D233,tblPriorPrice,2)</f>
        <v>35</v>
      </c>
      <c r="F233" s="190" t="n">
        <f aca="false">G233-E233</f>
        <v>0</v>
      </c>
      <c r="G233" s="190" t="n">
        <f aca="true">G221+OFFSET($CG$4,$B233,$C233)</f>
        <v>35</v>
      </c>
      <c r="H233" s="96" t="n">
        <f aca="true">G233+OFFSET($CU$4,$B233,$C233)</f>
        <v>30</v>
      </c>
      <c r="I233" s="96" t="n">
        <f aca="true">G233+OFFSET($DI$4,$B233,$C233)</f>
        <v>66</v>
      </c>
      <c r="J233" s="94" t="n">
        <f aca="false">VLOOKUP($D233,tblPriorPrice,3)</f>
        <v>35</v>
      </c>
      <c r="K233" s="190" t="n">
        <f aca="false">L233-J233</f>
        <v>0</v>
      </c>
      <c r="L233" s="190" t="n">
        <f aca="true">L221+OFFSET($CG$27,$B233,$C233)</f>
        <v>35</v>
      </c>
      <c r="M233" s="96" t="n">
        <f aca="true">$L233+OFFSET($CU$27,$B233,$C233)</f>
        <v>30</v>
      </c>
      <c r="N233" s="97" t="n">
        <f aca="true">$L233+OFFSET($DI$27,$B233,$C233)</f>
        <v>56</v>
      </c>
      <c r="O233" s="59" t="n">
        <f aca="true">IF($A233="",0,INDEX(tblPosn,$A233,2))</f>
        <v>60804.1640625</v>
      </c>
      <c r="P233" s="59" t="n">
        <f aca="true">IF($A233="",0,INDEX(tblPosn,$A233,3))</f>
        <v>45603.125</v>
      </c>
      <c r="Q233" s="59" t="n">
        <f aca="true">IF($A233="",0,INDEX(tblPosn,$A233,4))</f>
        <v>15201.041015625</v>
      </c>
      <c r="R233" s="59" t="n">
        <f aca="true">IF($A233="",0,INDEX(tblPosn,$A233,5))</f>
        <v>15201.041015625</v>
      </c>
      <c r="S233" s="59" t="n">
        <f aca="true">IF($A233="",0,INDEX(tblPosn,$A233,6))</f>
        <v>0</v>
      </c>
      <c r="T233" s="98" t="n">
        <f aca="false">O233*F233+P233*K233+R233*AC233+S233*AH233/0.72+Q233*X233</f>
        <v>0</v>
      </c>
      <c r="V233" s="161" t="n">
        <f aca="false">D233</f>
        <v>42979</v>
      </c>
      <c r="W233" s="94" t="n">
        <f aca="false">VLOOKUP($D233,tblPriorPrice,4)</f>
        <v>35</v>
      </c>
      <c r="X233" s="95" t="n">
        <f aca="false">Y233-W233</f>
        <v>0</v>
      </c>
      <c r="Y233" s="191" t="n">
        <f aca="true">Y221+OFFSET($CG$50,$B233,$C233)</f>
        <v>35</v>
      </c>
      <c r="Z233" s="96" t="n">
        <f aca="true">Y233+OFFSET($CU$51,$B233,$C233)</f>
        <v>30</v>
      </c>
      <c r="AA233" s="177" t="n">
        <f aca="true">Y233+OFFSET($DI$51,$B233,$C233)</f>
        <v>67</v>
      </c>
      <c r="AB233" s="94" t="n">
        <f aca="false">VLOOKUP($D233,tblPriorPrice,5)</f>
        <v>35</v>
      </c>
      <c r="AC233" s="190" t="n">
        <f aca="false">AD233-AB233</f>
        <v>0</v>
      </c>
      <c r="AD233" s="191" t="n">
        <f aca="true">AD221+OFFSET($CG$73,$B233,$C233)</f>
        <v>35</v>
      </c>
      <c r="AE233" s="96" t="n">
        <f aca="true">AD233+OFFSET($CU$74,$B233,$C233)</f>
        <v>30</v>
      </c>
      <c r="AF233" s="177" t="n">
        <f aca="true">AD233+OFFSET($DI$74,$B233,$C233)</f>
        <v>67</v>
      </c>
      <c r="AG233" s="94" t="n">
        <f aca="false">VLOOKUP($D233,tblPriorPrice,6)</f>
        <v>1</v>
      </c>
      <c r="AH233" s="190" t="n">
        <f aca="false">AI233-AG233</f>
        <v>0</v>
      </c>
      <c r="AI233" s="191" t="n">
        <f aca="true">AI221+OFFSET($CG$96,$B233,$C233)</f>
        <v>1</v>
      </c>
      <c r="AJ233" s="96" t="n">
        <f aca="true">AI233+OFFSET($CU$96,$B233,$C233)</f>
        <v>1</v>
      </c>
      <c r="AK233" s="97" t="n">
        <f aca="true">AI233+OFFSET($DI$96,$B233,$C233)</f>
        <v>1</v>
      </c>
      <c r="AL233" s="178" t="n">
        <v>68</v>
      </c>
      <c r="AM233" s="165" t="n">
        <v>0.4</v>
      </c>
      <c r="AN233" s="167" t="n">
        <f aca="false">'[3]Pricing Summary'!$AM211</f>
        <v>0.17</v>
      </c>
      <c r="AO233" s="167" t="n">
        <f aca="false">0.9*AN233</f>
        <v>0.153</v>
      </c>
      <c r="AP233" s="166" t="n">
        <f aca="false">1.5*AN233</f>
        <v>0.255</v>
      </c>
      <c r="AQ233" s="167" t="n">
        <f aca="false">AN233</f>
        <v>0.17</v>
      </c>
      <c r="AR233" s="166" t="n">
        <f aca="false">0.8*AQ233</f>
        <v>0.136</v>
      </c>
      <c r="AS233" s="166" t="n">
        <f aca="false">1.2*AQ233</f>
        <v>0.204</v>
      </c>
      <c r="AT233" s="169" t="n">
        <f aca="false">IF(G233&lt;110,17.94063*(LN(G233/100))+6.727568*(LN(G233/100)^2)+15.06494,(-4.1*G233+2135)/100)*0.5</f>
        <v>1.82255031269953</v>
      </c>
      <c r="AU233" s="169" t="n">
        <f aca="false">(0.75*AT233-AT233)</f>
        <v>-0.455637578174882</v>
      </c>
      <c r="AV233" s="166" t="n">
        <f aca="false">AT233/0.5*1.25-AT233</f>
        <v>2.73382546904929</v>
      </c>
      <c r="AW233" s="168" t="n">
        <f aca="false">IF(L233&lt;15,(15*L233+375)/100,(-4.71*L233+670.65)/100)*0.5</f>
        <v>2.529</v>
      </c>
      <c r="AX233" s="166" t="n">
        <f aca="false">0.75*AW233-AW233</f>
        <v>-0.63225</v>
      </c>
      <c r="AY233" s="166" t="n">
        <f aca="false">AW233/0.5*1.25-AW233</f>
        <v>3.7935</v>
      </c>
      <c r="AZ233" s="167" t="n">
        <v>0.5</v>
      </c>
      <c r="BA233" s="74"/>
      <c r="BQ233" s="108" t="n">
        <v>36907.7428240741</v>
      </c>
      <c r="BR233" s="109" t="n">
        <v>36907.743287037</v>
      </c>
      <c r="BS233" s="110" t="n">
        <v>42917</v>
      </c>
      <c r="BT233" s="111" t="n">
        <v>61460.4296875</v>
      </c>
      <c r="BU233" s="112" t="n">
        <v>47631.8359375</v>
      </c>
      <c r="BV233" s="112" t="n">
        <v>15365.107421875</v>
      </c>
      <c r="BW233" s="112" t="n">
        <v>18438.12890625</v>
      </c>
      <c r="BX233" s="113" t="n">
        <v>0</v>
      </c>
      <c r="BZ233" s="110" t="n">
        <v>42979</v>
      </c>
      <c r="CA233" s="185" t="n">
        <v>35</v>
      </c>
      <c r="CB233" s="116" t="n">
        <v>35</v>
      </c>
      <c r="CC233" s="181" t="n">
        <v>35</v>
      </c>
      <c r="CD233" s="181" t="n">
        <v>35</v>
      </c>
      <c r="CE233" s="117" t="n">
        <v>1</v>
      </c>
    </row>
    <row r="234" customFormat="false" ht="12.75" hidden="false" customHeight="false" outlineLevel="0" collapsed="false">
      <c r="A234" s="0" t="n">
        <f aca="true">IF(ISERROR(MATCH(D234,iRefDt,0)),"",MATCH(D234,iRefDt,0))</f>
        <v>234</v>
      </c>
      <c r="B234" s="92" t="n">
        <f aca="false">MATCH(YEAR(D234),iSpreads)</f>
        <v>17</v>
      </c>
      <c r="C234" s="0" t="n">
        <f aca="false">MONTH(D234)</f>
        <v>10</v>
      </c>
      <c r="D234" s="93" t="n">
        <f aca="false">DATE(YEAR(D233),MONTH(D233)+1,1)</f>
        <v>43009</v>
      </c>
      <c r="E234" s="94" t="n">
        <f aca="false">VLOOKUP($D234,tblPriorPrice,2)</f>
        <v>37</v>
      </c>
      <c r="F234" s="190" t="n">
        <f aca="false">G234-E234</f>
        <v>0</v>
      </c>
      <c r="G234" s="190" t="n">
        <f aca="true">G222+OFFSET($CG$4,$B234,$C234)</f>
        <v>37</v>
      </c>
      <c r="H234" s="96" t="n">
        <f aca="true">G234+OFFSET($CU$4,$B234,$C234)</f>
        <v>32</v>
      </c>
      <c r="I234" s="96" t="n">
        <f aca="true">G234+OFFSET($DI$4,$B234,$C234)</f>
        <v>68</v>
      </c>
      <c r="J234" s="94" t="n">
        <f aca="false">VLOOKUP($D234,tblPriorPrice,3)</f>
        <v>37</v>
      </c>
      <c r="K234" s="190" t="n">
        <f aca="false">L234-J234</f>
        <v>0</v>
      </c>
      <c r="L234" s="190" t="n">
        <f aca="true">L222+OFFSET($CG$27,$B234,$C234)</f>
        <v>37</v>
      </c>
      <c r="M234" s="96" t="n">
        <f aca="true">$L234+OFFSET($CU$27,$B234,$C234)</f>
        <v>32</v>
      </c>
      <c r="N234" s="97" t="n">
        <f aca="true">$L234+OFFSET($DI$27,$B234,$C234)</f>
        <v>58</v>
      </c>
      <c r="O234" s="59" t="n">
        <f aca="true">IF($A234="",0,INDEX(tblPosn,$A234,2))</f>
        <v>63498.94921875</v>
      </c>
      <c r="P234" s="59" t="n">
        <f aca="true">IF($A234="",0,INDEX(tblPosn,$A234,3))</f>
        <v>47057.2578125</v>
      </c>
      <c r="Q234" s="59" t="n">
        <f aca="true">IF($A234="",0,INDEX(tblPosn,$A234,4))</f>
        <v>12095.0380859375</v>
      </c>
      <c r="R234" s="59" t="n">
        <f aca="true">IF($A234="",0,INDEX(tblPosn,$A234,5))</f>
        <v>18142.556640625</v>
      </c>
      <c r="S234" s="59" t="n">
        <f aca="true">IF($A234="",0,INDEX(tblPosn,$A234,6))</f>
        <v>0</v>
      </c>
      <c r="T234" s="98" t="n">
        <f aca="false">O234*F234+P234*K234+R234*AC234+S234*AH234/0.72+Q234*X234</f>
        <v>0</v>
      </c>
      <c r="V234" s="161" t="n">
        <f aca="false">D234</f>
        <v>43009</v>
      </c>
      <c r="W234" s="94" t="n">
        <f aca="false">VLOOKUP($D234,tblPriorPrice,4)</f>
        <v>37</v>
      </c>
      <c r="X234" s="95" t="n">
        <f aca="false">Y234-W234</f>
        <v>0</v>
      </c>
      <c r="Y234" s="191" t="n">
        <f aca="true">Y222+OFFSET($CG$50,$B234,$C234)</f>
        <v>37</v>
      </c>
      <c r="Z234" s="96" t="n">
        <f aca="true">Y234+OFFSET($CU$51,$B234,$C234)</f>
        <v>32</v>
      </c>
      <c r="AA234" s="177" t="n">
        <f aca="true">Y234+OFFSET($DI$51,$B234,$C234)</f>
        <v>69</v>
      </c>
      <c r="AB234" s="94" t="n">
        <f aca="false">VLOOKUP($D234,tblPriorPrice,5)</f>
        <v>37</v>
      </c>
      <c r="AC234" s="190" t="n">
        <f aca="false">AD234-AB234</f>
        <v>0</v>
      </c>
      <c r="AD234" s="191" t="n">
        <f aca="true">AD222+OFFSET($CG$73,$B234,$C234)</f>
        <v>37</v>
      </c>
      <c r="AE234" s="96" t="n">
        <f aca="true">AD234+OFFSET($CU$74,$B234,$C234)</f>
        <v>32</v>
      </c>
      <c r="AF234" s="177" t="n">
        <f aca="true">AD234+OFFSET($DI$74,$B234,$C234)</f>
        <v>69</v>
      </c>
      <c r="AG234" s="94" t="n">
        <f aca="false">VLOOKUP($D234,tblPriorPrice,6)</f>
        <v>1</v>
      </c>
      <c r="AH234" s="190" t="n">
        <f aca="false">AI234-AG234</f>
        <v>0</v>
      </c>
      <c r="AI234" s="191" t="n">
        <f aca="true">AI222+OFFSET($CG$96,$B234,$C234)</f>
        <v>1</v>
      </c>
      <c r="AJ234" s="96" t="n">
        <f aca="true">AI234+OFFSET($CU$96,$B234,$C234)</f>
        <v>1</v>
      </c>
      <c r="AK234" s="97" t="n">
        <f aca="true">AI234+OFFSET($DI$96,$B234,$C234)</f>
        <v>1</v>
      </c>
      <c r="AL234" s="178" t="n">
        <v>68</v>
      </c>
      <c r="AM234" s="165" t="n">
        <v>0.4</v>
      </c>
      <c r="AN234" s="167" t="n">
        <f aca="false">'[3]Pricing Summary'!$AM212</f>
        <v>0.17</v>
      </c>
      <c r="AO234" s="167" t="n">
        <f aca="false">0.9*AN234</f>
        <v>0.153</v>
      </c>
      <c r="AP234" s="166" t="n">
        <f aca="false">1.5*AN234</f>
        <v>0.255</v>
      </c>
      <c r="AQ234" s="167" t="n">
        <f aca="false">AN234</f>
        <v>0.17</v>
      </c>
      <c r="AR234" s="166" t="n">
        <f aca="false">0.8*AQ234</f>
        <v>0.136</v>
      </c>
      <c r="AS234" s="166" t="n">
        <f aca="false">1.2*AQ234</f>
        <v>0.204</v>
      </c>
      <c r="AT234" s="169" t="n">
        <f aca="false">IF(G234&lt;110,17.94063*(LN(G234/100))+6.727568*(LN(G234/100)^2)+15.06494,(-4.1*G234+2135)/100)*0.5</f>
        <v>1.93894082389981</v>
      </c>
      <c r="AU234" s="169" t="n">
        <f aca="false">(0.75*AT234-AT234)</f>
        <v>-0.484735205974953</v>
      </c>
      <c r="AV234" s="166" t="n">
        <f aca="false">AT234/0.5*1.25-AT234</f>
        <v>2.90841123584972</v>
      </c>
      <c r="AW234" s="168" t="n">
        <f aca="false">IF(L234&lt;15,(15*L234+375)/100,(-4.71*L234+670.65)/100)*0.5</f>
        <v>2.4819</v>
      </c>
      <c r="AX234" s="166" t="n">
        <f aca="false">0.75*AW234-AW234</f>
        <v>-0.620475</v>
      </c>
      <c r="AY234" s="166" t="n">
        <f aca="false">AW234/0.5*1.25-AW234</f>
        <v>3.72285</v>
      </c>
      <c r="AZ234" s="167" t="n">
        <v>0.5</v>
      </c>
      <c r="BA234" s="74"/>
      <c r="BQ234" s="108" t="n">
        <v>36907.7428240741</v>
      </c>
      <c r="BR234" s="109" t="n">
        <v>36907.743287037</v>
      </c>
      <c r="BS234" s="110" t="n">
        <v>42948</v>
      </c>
      <c r="BT234" s="111" t="n">
        <v>70297.390625</v>
      </c>
      <c r="BU234" s="112" t="n">
        <v>47374.33203125</v>
      </c>
      <c r="BV234" s="112" t="n">
        <v>12225.6337890625</v>
      </c>
      <c r="BW234" s="112" t="n">
        <v>12225.6337890625</v>
      </c>
      <c r="BX234" s="113" t="n">
        <v>0</v>
      </c>
      <c r="BZ234" s="110" t="n">
        <v>43009</v>
      </c>
      <c r="CA234" s="185" t="n">
        <v>37</v>
      </c>
      <c r="CB234" s="116" t="n">
        <v>37</v>
      </c>
      <c r="CC234" s="181" t="n">
        <v>37</v>
      </c>
      <c r="CD234" s="181" t="n">
        <v>37</v>
      </c>
      <c r="CE234" s="117" t="n">
        <v>1</v>
      </c>
    </row>
    <row r="235" customFormat="false" ht="12.75" hidden="false" customHeight="false" outlineLevel="0" collapsed="false">
      <c r="A235" s="0" t="n">
        <f aca="true">IF(ISERROR(MATCH(D235,iRefDt,0)),"",MATCH(D235,iRefDt,0))</f>
        <v>235</v>
      </c>
      <c r="B235" s="92" t="n">
        <f aca="false">MATCH(YEAR(D235),iSpreads)</f>
        <v>17</v>
      </c>
      <c r="C235" s="0" t="n">
        <f aca="false">MONTH(D235)</f>
        <v>11</v>
      </c>
      <c r="D235" s="93" t="n">
        <f aca="false">DATE(YEAR(D234),MONTH(D234)+1,1)</f>
        <v>43040</v>
      </c>
      <c r="E235" s="94" t="n">
        <f aca="false">VLOOKUP($D235,tblPriorPrice,2)</f>
        <v>31</v>
      </c>
      <c r="F235" s="190" t="n">
        <f aca="false">G235-E235</f>
        <v>0</v>
      </c>
      <c r="G235" s="190" t="n">
        <f aca="true">G223+OFFSET($CG$4,$B235,$C235)</f>
        <v>31</v>
      </c>
      <c r="H235" s="96" t="n">
        <f aca="true">G235+OFFSET($CU$4,$B235,$C235)</f>
        <v>26</v>
      </c>
      <c r="I235" s="96" t="n">
        <f aca="true">G235+OFFSET($DI$4,$B235,$C235)</f>
        <v>62</v>
      </c>
      <c r="J235" s="94" t="n">
        <f aca="false">VLOOKUP($D235,tblPriorPrice,3)</f>
        <v>31</v>
      </c>
      <c r="K235" s="190" t="n">
        <f aca="false">L235-J235</f>
        <v>0</v>
      </c>
      <c r="L235" s="190" t="n">
        <f aca="true">L223+OFFSET($CG$27,$B235,$C235)</f>
        <v>31</v>
      </c>
      <c r="M235" s="96" t="n">
        <f aca="true">$L235+OFFSET($CU$27,$B235,$C235)</f>
        <v>26</v>
      </c>
      <c r="N235" s="97" t="n">
        <f aca="true">$L235+OFFSET($DI$27,$B235,$C235)</f>
        <v>52</v>
      </c>
      <c r="O235" s="59" t="n">
        <f aca="true">IF($A235="",0,INDEX(tblPosn,$A235,2))</f>
        <v>63164.94921875</v>
      </c>
      <c r="P235" s="59" t="n">
        <f aca="true">IF($A235="",0,INDEX(tblPosn,$A235,3))</f>
        <v>45117.8203125</v>
      </c>
      <c r="Q235" s="59" t="n">
        <f aca="true">IF($A235="",0,INDEX(tblPosn,$A235,4))</f>
        <v>9023.564453125</v>
      </c>
      <c r="R235" s="59" t="n">
        <f aca="true">IF($A235="",0,INDEX(tblPosn,$A235,5))</f>
        <v>18047.12890625</v>
      </c>
      <c r="S235" s="59" t="n">
        <f aca="true">IF($A235="",0,INDEX(tblPosn,$A235,6))</f>
        <v>0</v>
      </c>
      <c r="T235" s="98" t="n">
        <f aca="false">O235*F235+P235*K235+R235*AC235+S235*AH235/0.72+Q235*X235</f>
        <v>0</v>
      </c>
      <c r="V235" s="161" t="n">
        <f aca="false">D235</f>
        <v>43040</v>
      </c>
      <c r="W235" s="94" t="n">
        <f aca="false">VLOOKUP($D235,tblPriorPrice,4)</f>
        <v>31</v>
      </c>
      <c r="X235" s="95" t="n">
        <f aca="false">Y235-W235</f>
        <v>0</v>
      </c>
      <c r="Y235" s="191" t="n">
        <f aca="true">Y223+OFFSET($CG$50,$B235,$C235)</f>
        <v>31</v>
      </c>
      <c r="Z235" s="96" t="n">
        <f aca="true">Y235+OFFSET($CU$51,$B235,$C235)</f>
        <v>26</v>
      </c>
      <c r="AA235" s="177" t="n">
        <f aca="true">Y235+OFFSET($DI$51,$B235,$C235)</f>
        <v>63</v>
      </c>
      <c r="AB235" s="94" t="n">
        <f aca="false">VLOOKUP($D235,tblPriorPrice,5)</f>
        <v>31</v>
      </c>
      <c r="AC235" s="190" t="n">
        <f aca="false">AD235-AB235</f>
        <v>0</v>
      </c>
      <c r="AD235" s="191" t="n">
        <f aca="true">AD223+OFFSET($CG$73,$B235,$C235)</f>
        <v>31</v>
      </c>
      <c r="AE235" s="96" t="n">
        <f aca="true">AD235+OFFSET($CU$74,$B235,$C235)</f>
        <v>26</v>
      </c>
      <c r="AF235" s="177" t="n">
        <f aca="true">AD235+OFFSET($DI$74,$B235,$C235)</f>
        <v>63</v>
      </c>
      <c r="AG235" s="94" t="n">
        <f aca="false">VLOOKUP($D235,tblPriorPrice,6)</f>
        <v>1</v>
      </c>
      <c r="AH235" s="190" t="n">
        <f aca="false">AI235-AG235</f>
        <v>0</v>
      </c>
      <c r="AI235" s="191" t="n">
        <f aca="true">AI223+OFFSET($CG$96,$B235,$C235)</f>
        <v>1</v>
      </c>
      <c r="AJ235" s="96" t="n">
        <f aca="true">AI235+OFFSET($CU$96,$B235,$C235)</f>
        <v>1</v>
      </c>
      <c r="AK235" s="97" t="n">
        <f aca="true">AI235+OFFSET($DI$96,$B235,$C235)</f>
        <v>1</v>
      </c>
      <c r="AL235" s="178" t="n">
        <v>68</v>
      </c>
      <c r="AM235" s="165" t="n">
        <v>0.4</v>
      </c>
      <c r="AN235" s="167" t="n">
        <f aca="false">'[3]Pricing Summary'!$AM213</f>
        <v>0.17</v>
      </c>
      <c r="AO235" s="167" t="n">
        <f aca="false">0.9*AN235</f>
        <v>0.153</v>
      </c>
      <c r="AP235" s="166" t="n">
        <f aca="false">1.5*AN235</f>
        <v>0.255</v>
      </c>
      <c r="AQ235" s="167" t="n">
        <f aca="false">AN235</f>
        <v>0.17</v>
      </c>
      <c r="AR235" s="166" t="n">
        <f aca="false">0.8*AQ235</f>
        <v>0.136</v>
      </c>
      <c r="AS235" s="166" t="n">
        <f aca="false">1.2*AQ235</f>
        <v>0.204</v>
      </c>
      <c r="AT235" s="169" t="n">
        <f aca="false">IF(G235&lt;110,17.94063*(LN(G235/100))+6.727568*(LN(G235/100)^2)+15.06494,(-4.1*G235+2135)/100)*0.5</f>
        <v>1.64058990686036</v>
      </c>
      <c r="AU235" s="169" t="n">
        <f aca="false">(0.75*AT235-AT235)</f>
        <v>-0.410147476715089</v>
      </c>
      <c r="AV235" s="166" t="n">
        <f aca="false">AT235/0.5*1.25-AT235</f>
        <v>2.46088486029054</v>
      </c>
      <c r="AW235" s="168" t="n">
        <f aca="false">IF(L235&lt;15,(15*L235+375)/100,(-4.71*L235+670.65)/100)*0.5</f>
        <v>2.6232</v>
      </c>
      <c r="AX235" s="166" t="n">
        <f aca="false">0.75*AW235-AW235</f>
        <v>-0.6558</v>
      </c>
      <c r="AY235" s="166" t="n">
        <f aca="false">AW235/0.5*1.25-AW235</f>
        <v>3.9348</v>
      </c>
      <c r="AZ235" s="167" t="n">
        <v>0.5</v>
      </c>
      <c r="BA235" s="74"/>
      <c r="BQ235" s="108" t="n">
        <v>36907.7428240741</v>
      </c>
      <c r="BR235" s="109" t="n">
        <v>36907.743287037</v>
      </c>
      <c r="BS235" s="110" t="n">
        <v>42979</v>
      </c>
      <c r="BT235" s="111" t="n">
        <v>60804.1640625</v>
      </c>
      <c r="BU235" s="112" t="n">
        <v>45603.125</v>
      </c>
      <c r="BV235" s="112" t="n">
        <v>15201.041015625</v>
      </c>
      <c r="BW235" s="112" t="n">
        <v>15201.041015625</v>
      </c>
      <c r="BX235" s="113" t="n">
        <v>0</v>
      </c>
      <c r="BZ235" s="110" t="n">
        <v>43040</v>
      </c>
      <c r="CA235" s="185" t="n">
        <v>31</v>
      </c>
      <c r="CB235" s="116" t="n">
        <v>31</v>
      </c>
      <c r="CC235" s="181" t="n">
        <v>31</v>
      </c>
      <c r="CD235" s="181" t="n">
        <v>31</v>
      </c>
      <c r="CE235" s="117" t="n">
        <v>1</v>
      </c>
    </row>
    <row r="236" customFormat="false" ht="12.75" hidden="false" customHeight="false" outlineLevel="0" collapsed="false">
      <c r="A236" s="0" t="n">
        <f aca="true">IF(ISERROR(MATCH(D236,iRefDt,0)),"",MATCH(D236,iRefDt,0))</f>
        <v>236</v>
      </c>
      <c r="B236" s="92" t="n">
        <f aca="false">MATCH(YEAR(D236),iSpreads)</f>
        <v>17</v>
      </c>
      <c r="C236" s="0" t="n">
        <f aca="false">MONTH(D236)</f>
        <v>12</v>
      </c>
      <c r="D236" s="93" t="n">
        <f aca="false">DATE(YEAR(D235),MONTH(D235)+1,1)</f>
        <v>43070</v>
      </c>
      <c r="E236" s="94" t="n">
        <f aca="false">VLOOKUP($D236,tblPriorPrice,2)</f>
        <v>32</v>
      </c>
      <c r="F236" s="190" t="n">
        <f aca="false">G236-E236</f>
        <v>0</v>
      </c>
      <c r="G236" s="190" t="n">
        <f aca="true">G224+OFFSET($CG$4,$B236,$C236)</f>
        <v>32</v>
      </c>
      <c r="H236" s="96" t="n">
        <f aca="true">G236+OFFSET($CU$4,$B236,$C236)</f>
        <v>27</v>
      </c>
      <c r="I236" s="96" t="n">
        <f aca="true">G236+OFFSET($DI$4,$B236,$C236)</f>
        <v>63</v>
      </c>
      <c r="J236" s="94" t="n">
        <f aca="false">VLOOKUP($D236,tblPriorPrice,3)</f>
        <v>29</v>
      </c>
      <c r="K236" s="190" t="n">
        <f aca="false">L236-J236</f>
        <v>0</v>
      </c>
      <c r="L236" s="190" t="n">
        <f aca="true">L224+OFFSET($CG$27,$B236,$C236)</f>
        <v>29</v>
      </c>
      <c r="M236" s="96" t="n">
        <f aca="true">$L236+OFFSET($CU$27,$B236,$C236)</f>
        <v>24</v>
      </c>
      <c r="N236" s="97" t="n">
        <f aca="true">$L236+OFFSET($DI$27,$B236,$C236)</f>
        <v>50</v>
      </c>
      <c r="O236" s="59" t="n">
        <f aca="true">IF($A236="",0,INDEX(tblPosn,$A236,2))</f>
        <v>59831.37109375</v>
      </c>
      <c r="P236" s="59" t="n">
        <f aca="true">IF($A236="",0,INDEX(tblPosn,$A236,3))</f>
        <v>46369.30859375</v>
      </c>
      <c r="Q236" s="59" t="n">
        <f aca="true">IF($A236="",0,INDEX(tblPosn,$A236,4))</f>
        <v>14957.8427734375</v>
      </c>
      <c r="R236" s="59" t="n">
        <f aca="true">IF($A236="",0,INDEX(tblPosn,$A236,5))</f>
        <v>17949.41015625</v>
      </c>
      <c r="S236" s="59" t="n">
        <f aca="true">IF($A236="",0,INDEX(tblPosn,$A236,6))</f>
        <v>0</v>
      </c>
      <c r="T236" s="98" t="n">
        <f aca="false">O236*F236+P236*K236+R236*AC236+S236*AH236/0.72+Q236*X236</f>
        <v>0</v>
      </c>
      <c r="V236" s="161" t="n">
        <f aca="false">D236</f>
        <v>43070</v>
      </c>
      <c r="W236" s="94" t="n">
        <f aca="false">VLOOKUP($D236,tblPriorPrice,4)</f>
        <v>29</v>
      </c>
      <c r="X236" s="95" t="n">
        <f aca="false">Y236-W236</f>
        <v>0</v>
      </c>
      <c r="Y236" s="191" t="n">
        <f aca="true">Y224+OFFSET($CG$50,$B236,$C236)</f>
        <v>29</v>
      </c>
      <c r="Z236" s="96" t="n">
        <f aca="true">Y236+OFFSET($CU$51,$B236,$C236)</f>
        <v>24</v>
      </c>
      <c r="AA236" s="177" t="n">
        <f aca="true">Y236+OFFSET($DI$51,$B236,$C236)</f>
        <v>61</v>
      </c>
      <c r="AB236" s="94" t="n">
        <f aca="false">VLOOKUP($D236,tblPriorPrice,5)</f>
        <v>29</v>
      </c>
      <c r="AC236" s="190" t="n">
        <f aca="false">AD236-AB236</f>
        <v>0</v>
      </c>
      <c r="AD236" s="191" t="n">
        <f aca="true">AD224+OFFSET($CG$73,$B236,$C236)</f>
        <v>29</v>
      </c>
      <c r="AE236" s="96" t="n">
        <f aca="true">AD236+OFFSET($CU$74,$B236,$C236)</f>
        <v>24</v>
      </c>
      <c r="AF236" s="177" t="n">
        <f aca="true">AD236+OFFSET($DI$74,$B236,$C236)</f>
        <v>61</v>
      </c>
      <c r="AG236" s="94" t="n">
        <f aca="false">VLOOKUP($D236,tblPriorPrice,6)</f>
        <v>1</v>
      </c>
      <c r="AH236" s="190" t="n">
        <f aca="false">AI236-AG236</f>
        <v>0</v>
      </c>
      <c r="AI236" s="191" t="n">
        <f aca="true">AI224+OFFSET($CG$96,$B236,$C236)</f>
        <v>1</v>
      </c>
      <c r="AJ236" s="96" t="n">
        <f aca="true">AI236+OFFSET($CU$96,$B236,$C236)</f>
        <v>1</v>
      </c>
      <c r="AK236" s="97" t="n">
        <f aca="true">AI236+OFFSET($DI$96,$B236,$C236)</f>
        <v>1</v>
      </c>
      <c r="AL236" s="178" t="n">
        <v>69</v>
      </c>
      <c r="AM236" s="165" t="n">
        <v>0.4</v>
      </c>
      <c r="AN236" s="167" t="n">
        <f aca="false">'[3]Pricing Summary'!$AM214</f>
        <v>0.17</v>
      </c>
      <c r="AO236" s="167" t="n">
        <f aca="false">0.9*AN236</f>
        <v>0.153</v>
      </c>
      <c r="AP236" s="166" t="n">
        <f aca="false">1.5*AN236</f>
        <v>0.255</v>
      </c>
      <c r="AQ236" s="167" t="n">
        <f aca="false">AN236</f>
        <v>0.17</v>
      </c>
      <c r="AR236" s="166" t="n">
        <f aca="false">0.8*AQ236</f>
        <v>0.136</v>
      </c>
      <c r="AS236" s="166" t="n">
        <f aca="false">1.2*AQ236</f>
        <v>0.204</v>
      </c>
      <c r="AT236" s="169" t="n">
        <f aca="false">IF(G236&lt;110,17.94063*(LN(G236/100))+6.727568*(LN(G236/100)^2)+15.06494,(-4.1*G236+2135)/100)*0.5</f>
        <v>1.67862159684781</v>
      </c>
      <c r="AU236" s="169" t="n">
        <f aca="false">(0.75*AT236-AT236)</f>
        <v>-0.419655399211954</v>
      </c>
      <c r="AV236" s="166" t="n">
        <f aca="false">AT236/0.5*1.25-AT236</f>
        <v>2.51793239527172</v>
      </c>
      <c r="AW236" s="168" t="n">
        <f aca="false">IF(L236&lt;15,(15*L236+375)/100,(-4.71*L236+670.65)/100)*0.5</f>
        <v>2.6703</v>
      </c>
      <c r="AX236" s="166" t="n">
        <f aca="false">0.75*AW236-AW236</f>
        <v>-0.667575</v>
      </c>
      <c r="AY236" s="166" t="n">
        <f aca="false">AW236/0.5*1.25-AW236</f>
        <v>4.00545</v>
      </c>
      <c r="AZ236" s="167" t="n">
        <v>0.5</v>
      </c>
      <c r="BA236" s="74"/>
      <c r="BQ236" s="108" t="n">
        <v>36907.7428240741</v>
      </c>
      <c r="BR236" s="109" t="n">
        <v>36907.743287037</v>
      </c>
      <c r="BS236" s="110" t="n">
        <v>43009</v>
      </c>
      <c r="BT236" s="111" t="n">
        <v>63498.94921875</v>
      </c>
      <c r="BU236" s="112" t="n">
        <v>47057.2578125</v>
      </c>
      <c r="BV236" s="112" t="n">
        <v>12095.0380859375</v>
      </c>
      <c r="BW236" s="112" t="n">
        <v>18142.556640625</v>
      </c>
      <c r="BX236" s="113" t="n">
        <v>0</v>
      </c>
      <c r="BZ236" s="110" t="n">
        <v>43070</v>
      </c>
      <c r="CA236" s="185" t="n">
        <v>32</v>
      </c>
      <c r="CB236" s="116" t="n">
        <v>29</v>
      </c>
      <c r="CC236" s="181" t="n">
        <v>29</v>
      </c>
      <c r="CD236" s="181" t="n">
        <v>29</v>
      </c>
      <c r="CE236" s="117" t="n">
        <v>1</v>
      </c>
    </row>
    <row r="237" customFormat="false" ht="12.75" hidden="false" customHeight="false" outlineLevel="0" collapsed="false">
      <c r="A237" s="0" t="n">
        <f aca="true">IF(ISERROR(MATCH(D237,iRefDt,0)),"",MATCH(D237,iRefDt,0))</f>
        <v>237</v>
      </c>
      <c r="B237" s="92" t="n">
        <f aca="false">MATCH(YEAR(D237),iSpreads)</f>
        <v>18</v>
      </c>
      <c r="C237" s="0" t="n">
        <f aca="false">MONTH(D237)</f>
        <v>1</v>
      </c>
      <c r="D237" s="93" t="n">
        <f aca="false">DATE(YEAR(D236),MONTH(D236)+1,1)</f>
        <v>43101</v>
      </c>
      <c r="E237" s="94" t="n">
        <f aca="false">VLOOKUP($D237,tblPriorPrice,2)</f>
        <v>33</v>
      </c>
      <c r="F237" s="190" t="n">
        <f aca="false">G237-E237</f>
        <v>0</v>
      </c>
      <c r="G237" s="190" t="n">
        <f aca="true">G225+OFFSET($CG$4,$B237,$C237)</f>
        <v>33</v>
      </c>
      <c r="H237" s="96" t="n">
        <f aca="true">G237+OFFSET($CU$4,$B237,$C237)</f>
        <v>28</v>
      </c>
      <c r="I237" s="96" t="n">
        <f aca="true">G237+OFFSET($DI$4,$B237,$C237)</f>
        <v>65</v>
      </c>
      <c r="J237" s="94" t="n">
        <f aca="false">VLOOKUP($D237,tblPriorPrice,3)</f>
        <v>31</v>
      </c>
      <c r="K237" s="190" t="n">
        <f aca="false">L237-J237</f>
        <v>0</v>
      </c>
      <c r="L237" s="190" t="n">
        <f aca="true">L225+OFFSET($CG$27,$B237,$C237)</f>
        <v>31</v>
      </c>
      <c r="M237" s="96" t="n">
        <f aca="true">$L237+OFFSET($CU$27,$B237,$C237)</f>
        <v>26</v>
      </c>
      <c r="N237" s="97" t="n">
        <f aca="true">$L237+OFFSET($DI$27,$B237,$C237)</f>
        <v>53</v>
      </c>
      <c r="O237" s="59" t="n">
        <f aca="true">IF($A237="",0,INDEX(tblPosn,$A237,2))</f>
        <v>62479.8359375</v>
      </c>
      <c r="P237" s="59" t="n">
        <f aca="true">IF($A237="",0,INDEX(tblPosn,$A237,3))</f>
        <v>46116.0703125</v>
      </c>
      <c r="Q237" s="59" t="n">
        <f aca="true">IF($A237="",0,INDEX(tblPosn,$A237,4))</f>
        <v>11900.921875</v>
      </c>
      <c r="R237" s="59" t="n">
        <f aca="true">IF($A237="",0,INDEX(tblPosn,$A237,5))</f>
        <v>17851.3828125</v>
      </c>
      <c r="S237" s="59" t="n">
        <f aca="true">IF($A237="",0,INDEX(tblPosn,$A237,6))</f>
        <v>0</v>
      </c>
      <c r="T237" s="98" t="n">
        <f aca="false">O237*F237+P237*K237+R237*AC237+S237*AH237/0.72+Q237*X237</f>
        <v>0</v>
      </c>
      <c r="V237" s="161" t="n">
        <f aca="false">D237</f>
        <v>43101</v>
      </c>
      <c r="W237" s="94" t="n">
        <f aca="false">VLOOKUP($D237,tblPriorPrice,4)</f>
        <v>31</v>
      </c>
      <c r="X237" s="95" t="n">
        <f aca="false">Y237-W237</f>
        <v>0</v>
      </c>
      <c r="Y237" s="191" t="n">
        <f aca="true">Y225+OFFSET($CG$50,$B237,$C237)</f>
        <v>31</v>
      </c>
      <c r="Z237" s="96" t="n">
        <f aca="true">Y237+OFFSET($CU$51,$B237,$C237)</f>
        <v>26</v>
      </c>
      <c r="AA237" s="177" t="n">
        <f aca="true">Y237+OFFSET($DI$51,$B237,$C237)</f>
        <v>64</v>
      </c>
      <c r="AB237" s="94" t="n">
        <f aca="false">VLOOKUP($D237,tblPriorPrice,5)</f>
        <v>31</v>
      </c>
      <c r="AC237" s="190" t="n">
        <f aca="false">AD237-AB237</f>
        <v>0</v>
      </c>
      <c r="AD237" s="191" t="n">
        <f aca="true">AD225+OFFSET($CG$73,$B237,$C237)</f>
        <v>31</v>
      </c>
      <c r="AE237" s="96" t="n">
        <f aca="true">AD237+OFFSET($CU$74,$B237,$C237)</f>
        <v>26</v>
      </c>
      <c r="AF237" s="177" t="n">
        <f aca="true">AD237+OFFSET($DI$74,$B237,$C237)</f>
        <v>64</v>
      </c>
      <c r="AG237" s="94" t="n">
        <f aca="false">VLOOKUP($D237,tblPriorPrice,6)</f>
        <v>1</v>
      </c>
      <c r="AH237" s="190" t="n">
        <f aca="false">AI237-AG237</f>
        <v>0</v>
      </c>
      <c r="AI237" s="191" t="n">
        <f aca="true">AI225+OFFSET($CG$96,$B237,$C237)</f>
        <v>1</v>
      </c>
      <c r="AJ237" s="96" t="n">
        <f aca="true">AI237+OFFSET($CU$96,$B237,$C237)</f>
        <v>1</v>
      </c>
      <c r="AK237" s="97" t="n">
        <f aca="true">AI237+OFFSET($DI$96,$B237,$C237)</f>
        <v>1</v>
      </c>
      <c r="AL237" s="178" t="n">
        <v>69</v>
      </c>
      <c r="AM237" s="165" t="n">
        <v>0.4</v>
      </c>
      <c r="AN237" s="167" t="n">
        <f aca="false">'[3]Pricing Summary'!$AM215</f>
        <v>0.17</v>
      </c>
      <c r="AO237" s="167" t="n">
        <f aca="false">0.9*AN237</f>
        <v>0.153</v>
      </c>
      <c r="AP237" s="166" t="n">
        <f aca="false">1.5*AN237</f>
        <v>0.255</v>
      </c>
      <c r="AQ237" s="167" t="n">
        <f aca="false">AN237</f>
        <v>0.17</v>
      </c>
      <c r="AR237" s="166" t="n">
        <f aca="false">0.8*AQ237</f>
        <v>0.136</v>
      </c>
      <c r="AS237" s="166" t="n">
        <f aca="false">1.2*AQ237</f>
        <v>0.204</v>
      </c>
      <c r="AT237" s="169" t="n">
        <f aca="false">IF(G237&lt;110,17.94063*(LN(G237/100))+6.727568*(LN(G237/100)^2)+15.06494,(-4.1*G237+2135)/100)*0.5</f>
        <v>1.72195432632388</v>
      </c>
      <c r="AU237" s="169" t="n">
        <f aca="false">(0.75*AT237-AT237)</f>
        <v>-0.43048858158097</v>
      </c>
      <c r="AV237" s="166" t="n">
        <f aca="false">AT237/0.5*1.25-AT237</f>
        <v>2.58293148948582</v>
      </c>
      <c r="AW237" s="168" t="n">
        <f aca="false">IF(L237&lt;15,(15*L237+375)/100,(-4.71*L237+670.65)/100)*0.5</f>
        <v>2.6232</v>
      </c>
      <c r="AX237" s="166" t="n">
        <f aca="false">0.75*AW237-AW237</f>
        <v>-0.6558</v>
      </c>
      <c r="AY237" s="166" t="n">
        <f aca="false">AW237/0.5*1.25-AW237</f>
        <v>3.9348</v>
      </c>
      <c r="AZ237" s="167" t="n">
        <v>0.5</v>
      </c>
      <c r="BA237" s="74"/>
      <c r="BQ237" s="108" t="n">
        <v>36907.7428240741</v>
      </c>
      <c r="BR237" s="109" t="n">
        <v>36907.743287037</v>
      </c>
      <c r="BS237" s="110" t="n">
        <v>43040</v>
      </c>
      <c r="BT237" s="111" t="n">
        <v>63164.94921875</v>
      </c>
      <c r="BU237" s="112" t="n">
        <v>45117.8203125</v>
      </c>
      <c r="BV237" s="112" t="n">
        <v>9023.564453125</v>
      </c>
      <c r="BW237" s="112" t="n">
        <v>18047.12890625</v>
      </c>
      <c r="BX237" s="113" t="n">
        <v>0</v>
      </c>
      <c r="BZ237" s="110" t="n">
        <v>43101</v>
      </c>
      <c r="CA237" s="185" t="n">
        <v>33</v>
      </c>
      <c r="CB237" s="116" t="n">
        <v>31</v>
      </c>
      <c r="CC237" s="181" t="n">
        <v>31</v>
      </c>
      <c r="CD237" s="181" t="n">
        <v>31</v>
      </c>
      <c r="CE237" s="117" t="n">
        <v>1</v>
      </c>
    </row>
    <row r="238" customFormat="false" ht="12.75" hidden="false" customHeight="false" outlineLevel="0" collapsed="false">
      <c r="A238" s="0" t="n">
        <f aca="true">IF(ISERROR(MATCH(D238,iRefDt,0)),"",MATCH(D238,iRefDt,0))</f>
        <v>238</v>
      </c>
      <c r="B238" s="92" t="n">
        <f aca="false">MATCH(YEAR(D238),iSpreads)</f>
        <v>18</v>
      </c>
      <c r="C238" s="0" t="n">
        <f aca="false">MONTH(D238)</f>
        <v>2</v>
      </c>
      <c r="D238" s="93" t="n">
        <f aca="false">DATE(YEAR(D237),MONTH(D237)+1,1)</f>
        <v>43132</v>
      </c>
      <c r="E238" s="94" t="n">
        <f aca="false">VLOOKUP($D238,tblPriorPrice,2)</f>
        <v>30</v>
      </c>
      <c r="F238" s="190" t="n">
        <f aca="false">G238-E238</f>
        <v>0</v>
      </c>
      <c r="G238" s="190" t="n">
        <f aca="true">G226+OFFSET($CG$4,$B238,$C238)</f>
        <v>30</v>
      </c>
      <c r="H238" s="96" t="n">
        <f aca="true">G238+OFFSET($CU$4,$B238,$C238)</f>
        <v>25</v>
      </c>
      <c r="I238" s="96" t="n">
        <f aca="true">G238+OFFSET($DI$4,$B238,$C238)</f>
        <v>62</v>
      </c>
      <c r="J238" s="94" t="n">
        <f aca="false">VLOOKUP($D238,tblPriorPrice,3)</f>
        <v>30</v>
      </c>
      <c r="K238" s="190" t="n">
        <f aca="false">L238-J238</f>
        <v>0</v>
      </c>
      <c r="L238" s="190" t="n">
        <f aca="true">L226+OFFSET($CG$27,$B238,$C238)</f>
        <v>30</v>
      </c>
      <c r="M238" s="96" t="n">
        <f aca="true">$L238+OFFSET($CU$27,$B238,$C238)</f>
        <v>25</v>
      </c>
      <c r="N238" s="97" t="n">
        <f aca="true">$L238+OFFSET($DI$27,$B238,$C238)</f>
        <v>52</v>
      </c>
      <c r="O238" s="59" t="n">
        <f aca="true">IF($A238="",0,INDEX(tblPosn,$A238,2))</f>
        <v>56251.484375</v>
      </c>
      <c r="P238" s="59" t="n">
        <f aca="true">IF($A238="",0,INDEX(tblPosn,$A238,3))</f>
        <v>41448.46484375</v>
      </c>
      <c r="Q238" s="59" t="n">
        <f aca="true">IF($A238="",0,INDEX(tblPosn,$A238,4))</f>
        <v>11842.41796875</v>
      </c>
      <c r="R238" s="59" t="n">
        <f aca="true">IF($A238="",0,INDEX(tblPosn,$A238,5))</f>
        <v>14803.0224609375</v>
      </c>
      <c r="S238" s="59" t="n">
        <f aca="true">IF($A238="",0,INDEX(tblPosn,$A238,6))</f>
        <v>0</v>
      </c>
      <c r="T238" s="98" t="n">
        <f aca="false">O238*F238+P238*K238+R238*AC238+S238*AH238/0.72+Q238*X238</f>
        <v>0</v>
      </c>
      <c r="V238" s="161" t="n">
        <f aca="false">D238</f>
        <v>43132</v>
      </c>
      <c r="W238" s="94" t="n">
        <f aca="false">VLOOKUP($D238,tblPriorPrice,4)</f>
        <v>30</v>
      </c>
      <c r="X238" s="95" t="n">
        <f aca="false">Y238-W238</f>
        <v>0</v>
      </c>
      <c r="Y238" s="191" t="n">
        <f aca="true">Y226+OFFSET($CG$50,$B238,$C238)</f>
        <v>30</v>
      </c>
      <c r="Z238" s="96" t="n">
        <f aca="true">Y238+OFFSET($CU$51,$B238,$C238)</f>
        <v>25</v>
      </c>
      <c r="AA238" s="177" t="n">
        <f aca="true">Y238+OFFSET($DI$51,$B238,$C238)</f>
        <v>63</v>
      </c>
      <c r="AB238" s="94" t="n">
        <f aca="false">VLOOKUP($D238,tblPriorPrice,5)</f>
        <v>30</v>
      </c>
      <c r="AC238" s="190" t="n">
        <f aca="false">AD238-AB238</f>
        <v>0</v>
      </c>
      <c r="AD238" s="191" t="n">
        <f aca="true">AD226+OFFSET($CG$73,$B238,$C238)</f>
        <v>30</v>
      </c>
      <c r="AE238" s="96" t="n">
        <f aca="true">AD238+OFFSET($CU$74,$B238,$C238)</f>
        <v>25</v>
      </c>
      <c r="AF238" s="177" t="n">
        <f aca="true">AD238+OFFSET($DI$74,$B238,$C238)</f>
        <v>63</v>
      </c>
      <c r="AG238" s="94" t="n">
        <f aca="false">VLOOKUP($D238,tblPriorPrice,6)</f>
        <v>1</v>
      </c>
      <c r="AH238" s="190" t="n">
        <f aca="false">AI238-AG238</f>
        <v>0</v>
      </c>
      <c r="AI238" s="191" t="n">
        <f aca="true">AI226+OFFSET($CG$96,$B238,$C238)</f>
        <v>1</v>
      </c>
      <c r="AJ238" s="96" t="n">
        <f aca="true">AI238+OFFSET($CU$96,$B238,$C238)</f>
        <v>1</v>
      </c>
      <c r="AK238" s="97" t="n">
        <f aca="true">AI238+OFFSET($DI$96,$B238,$C238)</f>
        <v>1</v>
      </c>
      <c r="AL238" s="178" t="n">
        <v>69</v>
      </c>
      <c r="AM238" s="165" t="n">
        <v>0.4</v>
      </c>
      <c r="AN238" s="167" t="n">
        <f aca="false">'[3]Pricing Summary'!$AM216</f>
        <v>0.17</v>
      </c>
      <c r="AO238" s="167" t="n">
        <f aca="false">0.9*AN238</f>
        <v>0.153</v>
      </c>
      <c r="AP238" s="166" t="n">
        <f aca="false">1.5*AN238</f>
        <v>0.255</v>
      </c>
      <c r="AQ238" s="167" t="n">
        <f aca="false">AN238</f>
        <v>0.17</v>
      </c>
      <c r="AR238" s="166" t="n">
        <f aca="false">0.8*AQ238</f>
        <v>0.136</v>
      </c>
      <c r="AS238" s="166" t="n">
        <f aca="false">1.2*AQ238</f>
        <v>0.204</v>
      </c>
      <c r="AT238" s="169" t="n">
        <f aca="false">IF(G238&lt;110,17.94063*(LN(G238/100))+6.727568*(LN(G238/100)^2)+15.06494,(-4.1*G238+2135)/100)*0.5</f>
        <v>1.60842951845599</v>
      </c>
      <c r="AU238" s="169" t="n">
        <f aca="false">(0.75*AT238-AT238)</f>
        <v>-0.402107379613998</v>
      </c>
      <c r="AV238" s="166" t="n">
        <f aca="false">AT238/0.5*1.25-AT238</f>
        <v>2.41264427768399</v>
      </c>
      <c r="AW238" s="168" t="n">
        <f aca="false">IF(L238&lt;15,(15*L238+375)/100,(-4.71*L238+670.65)/100)*0.5</f>
        <v>2.64675</v>
      </c>
      <c r="AX238" s="166" t="n">
        <f aca="false">0.75*AW238-AW238</f>
        <v>-0.6616875</v>
      </c>
      <c r="AY238" s="166" t="n">
        <f aca="false">AW238/0.5*1.25-AW238</f>
        <v>3.970125</v>
      </c>
      <c r="AZ238" s="167" t="n">
        <v>0.5</v>
      </c>
      <c r="BA238" s="74"/>
      <c r="BQ238" s="108" t="n">
        <v>36907.7428240741</v>
      </c>
      <c r="BR238" s="109" t="n">
        <v>36907.743287037</v>
      </c>
      <c r="BS238" s="110" t="n">
        <v>43070</v>
      </c>
      <c r="BT238" s="111" t="n">
        <v>59831.37109375</v>
      </c>
      <c r="BU238" s="112" t="n">
        <v>46369.30859375</v>
      </c>
      <c r="BV238" s="112" t="n">
        <v>14957.8427734375</v>
      </c>
      <c r="BW238" s="112" t="n">
        <v>17949.41015625</v>
      </c>
      <c r="BX238" s="113" t="n">
        <v>0</v>
      </c>
      <c r="BZ238" s="110" t="n">
        <v>43132</v>
      </c>
      <c r="CA238" s="185" t="n">
        <v>30</v>
      </c>
      <c r="CB238" s="116" t="n">
        <v>30</v>
      </c>
      <c r="CC238" s="181" t="n">
        <v>30</v>
      </c>
      <c r="CD238" s="181" t="n">
        <v>30</v>
      </c>
      <c r="CE238" s="117" t="n">
        <v>1</v>
      </c>
    </row>
    <row r="239" customFormat="false" ht="12.75" hidden="false" customHeight="false" outlineLevel="0" collapsed="false">
      <c r="A239" s="0" t="n">
        <f aca="true">IF(ISERROR(MATCH(D239,iRefDt,0)),"",MATCH(D239,iRefDt,0))</f>
        <v>239</v>
      </c>
      <c r="B239" s="92" t="n">
        <f aca="false">MATCH(YEAR(D239),iSpreads)</f>
        <v>18</v>
      </c>
      <c r="C239" s="0" t="n">
        <f aca="false">MONTH(D239)</f>
        <v>3</v>
      </c>
      <c r="D239" s="93" t="n">
        <f aca="false">DATE(YEAR(D238),MONTH(D238)+1,1)</f>
        <v>43160</v>
      </c>
      <c r="E239" s="94" t="n">
        <f aca="false">VLOOKUP($D239,tblPriorPrice,2)</f>
        <v>29</v>
      </c>
      <c r="F239" s="190" t="n">
        <f aca="false">G239-E239</f>
        <v>0</v>
      </c>
      <c r="G239" s="190" t="n">
        <f aca="true">G227+OFFSET($CG$4,$B239,$C239)</f>
        <v>29</v>
      </c>
      <c r="H239" s="96" t="n">
        <f aca="true">G239+OFFSET($CU$4,$B239,$C239)</f>
        <v>24</v>
      </c>
      <c r="I239" s="96" t="n">
        <f aca="true">G239+OFFSET($DI$4,$B239,$C239)</f>
        <v>61</v>
      </c>
      <c r="J239" s="94" t="n">
        <f aca="false">VLOOKUP($D239,tblPriorPrice,3)</f>
        <v>29</v>
      </c>
      <c r="K239" s="190" t="n">
        <f aca="false">L239-J239</f>
        <v>0</v>
      </c>
      <c r="L239" s="190" t="n">
        <f aca="true">L227+OFFSET($CG$27,$B239,$C239)</f>
        <v>29</v>
      </c>
      <c r="M239" s="96" t="n">
        <f aca="true">$L239+OFFSET($CU$27,$B239,$C239)</f>
        <v>24</v>
      </c>
      <c r="N239" s="97" t="n">
        <f aca="true">$L239+OFFSET($DI$27,$B239,$C239)</f>
        <v>51</v>
      </c>
      <c r="O239" s="59" t="n">
        <f aca="true">IF($A239="",0,INDEX(tblPosn,$A239,2))</f>
        <v>61832.88671875</v>
      </c>
      <c r="P239" s="59" t="n">
        <f aca="true">IF($A239="",0,INDEX(tblPosn,$A239,3))</f>
        <v>45638.55859375</v>
      </c>
      <c r="Q239" s="59" t="n">
        <f aca="true">IF($A239="",0,INDEX(tblPosn,$A239,4))</f>
        <v>14722.1162109375</v>
      </c>
      <c r="R239" s="59" t="n">
        <f aca="true">IF($A239="",0,INDEX(tblPosn,$A239,5))</f>
        <v>14722.1162109375</v>
      </c>
      <c r="S239" s="59" t="n">
        <f aca="true">IF($A239="",0,INDEX(tblPosn,$A239,6))</f>
        <v>0</v>
      </c>
      <c r="T239" s="98" t="n">
        <f aca="false">O239*F239+P239*K239+R239*AC239+S239*AH239/0.72+Q239*X239</f>
        <v>0</v>
      </c>
      <c r="V239" s="161" t="n">
        <f aca="false">D239</f>
        <v>43160</v>
      </c>
      <c r="W239" s="94" t="n">
        <f aca="false">VLOOKUP($D239,tblPriorPrice,4)</f>
        <v>29</v>
      </c>
      <c r="X239" s="95" t="n">
        <f aca="false">Y239-W239</f>
        <v>0</v>
      </c>
      <c r="Y239" s="191" t="n">
        <f aca="true">Y227+OFFSET($CG$50,$B239,$C239)</f>
        <v>29</v>
      </c>
      <c r="Z239" s="96" t="n">
        <f aca="true">Y239+OFFSET($CU$51,$B239,$C239)</f>
        <v>24</v>
      </c>
      <c r="AA239" s="177" t="n">
        <f aca="true">Y239+OFFSET($DI$51,$B239,$C239)</f>
        <v>62</v>
      </c>
      <c r="AB239" s="94" t="n">
        <f aca="false">VLOOKUP($D239,tblPriorPrice,5)</f>
        <v>29</v>
      </c>
      <c r="AC239" s="190" t="n">
        <f aca="false">AD239-AB239</f>
        <v>0</v>
      </c>
      <c r="AD239" s="191" t="n">
        <f aca="true">AD227+OFFSET($CG$73,$B239,$C239)</f>
        <v>29</v>
      </c>
      <c r="AE239" s="96" t="n">
        <f aca="true">AD239+OFFSET($CU$74,$B239,$C239)</f>
        <v>24</v>
      </c>
      <c r="AF239" s="177" t="n">
        <f aca="true">AD239+OFFSET($DI$74,$B239,$C239)</f>
        <v>62</v>
      </c>
      <c r="AG239" s="94" t="n">
        <f aca="false">VLOOKUP($D239,tblPriorPrice,6)</f>
        <v>1</v>
      </c>
      <c r="AH239" s="190" t="n">
        <f aca="false">AI239-AG239</f>
        <v>0</v>
      </c>
      <c r="AI239" s="191" t="n">
        <f aca="true">AI227+OFFSET($CG$96,$B239,$C239)</f>
        <v>1</v>
      </c>
      <c r="AJ239" s="96" t="n">
        <f aca="true">AI239+OFFSET($CU$96,$B239,$C239)</f>
        <v>1</v>
      </c>
      <c r="AK239" s="97" t="n">
        <f aca="true">AI239+OFFSET($DI$96,$B239,$C239)</f>
        <v>1</v>
      </c>
      <c r="AL239" s="178" t="n">
        <v>70</v>
      </c>
      <c r="AM239" s="165" t="n">
        <v>0.4</v>
      </c>
      <c r="AN239" s="167" t="n">
        <f aca="false">'[3]Pricing Summary'!$AM217</f>
        <v>0.17</v>
      </c>
      <c r="AO239" s="167" t="n">
        <f aca="false">0.9*AN239</f>
        <v>0.153</v>
      </c>
      <c r="AP239" s="166" t="n">
        <f aca="false">1.5*AN239</f>
        <v>0.255</v>
      </c>
      <c r="AQ239" s="167" t="n">
        <f aca="false">AN239</f>
        <v>0.17</v>
      </c>
      <c r="AR239" s="166" t="n">
        <f aca="false">0.8*AQ239</f>
        <v>0.136</v>
      </c>
      <c r="AS239" s="166" t="n">
        <f aca="false">1.2*AQ239</f>
        <v>0.204</v>
      </c>
      <c r="AT239" s="169" t="n">
        <f aca="false">IF(G239&lt;110,17.94063*(LN(G239/100))+6.727568*(LN(G239/100)^2)+15.06494,(-4.1*G239+2135)/100)*0.5</f>
        <v>1.58278405940532</v>
      </c>
      <c r="AU239" s="169" t="n">
        <f aca="false">(0.75*AT239-AT239)</f>
        <v>-0.395696014851329</v>
      </c>
      <c r="AV239" s="166" t="n">
        <f aca="false">AT239/0.5*1.25-AT239</f>
        <v>2.37417608910797</v>
      </c>
      <c r="AW239" s="168" t="n">
        <f aca="false">IF(L239&lt;15,(15*L239+375)/100,(-4.71*L239+670.65)/100)*0.5</f>
        <v>2.6703</v>
      </c>
      <c r="AX239" s="166" t="n">
        <f aca="false">0.75*AW239-AW239</f>
        <v>-0.667575</v>
      </c>
      <c r="AY239" s="166" t="n">
        <f aca="false">AW239/0.5*1.25-AW239</f>
        <v>4.00545</v>
      </c>
      <c r="AZ239" s="167" t="n">
        <v>0.5</v>
      </c>
      <c r="BA239" s="74"/>
      <c r="BQ239" s="108" t="n">
        <v>36907.7428240741</v>
      </c>
      <c r="BR239" s="109" t="n">
        <v>36907.743287037</v>
      </c>
      <c r="BS239" s="110" t="n">
        <v>43101</v>
      </c>
      <c r="BT239" s="111" t="n">
        <v>62479.8359375</v>
      </c>
      <c r="BU239" s="112" t="n">
        <v>46116.0703125</v>
      </c>
      <c r="BV239" s="112" t="n">
        <v>11900.921875</v>
      </c>
      <c r="BW239" s="112" t="n">
        <v>17851.3828125</v>
      </c>
      <c r="BX239" s="113" t="n">
        <v>0</v>
      </c>
      <c r="BZ239" s="110" t="n">
        <v>43160</v>
      </c>
      <c r="CA239" s="185" t="n">
        <v>29</v>
      </c>
      <c r="CB239" s="116" t="n">
        <v>29</v>
      </c>
      <c r="CC239" s="181" t="n">
        <v>29</v>
      </c>
      <c r="CD239" s="181" t="n">
        <v>29</v>
      </c>
      <c r="CE239" s="117" t="n">
        <v>1</v>
      </c>
    </row>
    <row r="240" customFormat="false" ht="12.75" hidden="false" customHeight="false" outlineLevel="0" collapsed="false">
      <c r="A240" s="0" t="n">
        <f aca="true">IF(ISERROR(MATCH(D240,iRefDt,0)),"",MATCH(D240,iRefDt,0))</f>
        <v>240</v>
      </c>
      <c r="B240" s="92" t="n">
        <f aca="false">MATCH(YEAR(D240),iSpreads)</f>
        <v>18</v>
      </c>
      <c r="C240" s="0" t="n">
        <f aca="false">MONTH(D240)</f>
        <v>4</v>
      </c>
      <c r="D240" s="93" t="n">
        <f aca="false">DATE(YEAR(D239),MONTH(D239)+1,1)</f>
        <v>43191</v>
      </c>
      <c r="E240" s="94" t="n">
        <f aca="false">VLOOKUP($D240,tblPriorPrice,2)</f>
        <v>29</v>
      </c>
      <c r="F240" s="190" t="n">
        <f aca="false">G240-E240</f>
        <v>0</v>
      </c>
      <c r="G240" s="190" t="n">
        <f aca="true">G228+OFFSET($CG$4,$B240,$C240)</f>
        <v>29</v>
      </c>
      <c r="H240" s="96" t="n">
        <f aca="true">G240+OFFSET($CU$4,$B240,$C240)</f>
        <v>24</v>
      </c>
      <c r="I240" s="96" t="n">
        <f aca="true">G240+OFFSET($DI$4,$B240,$C240)</f>
        <v>61</v>
      </c>
      <c r="J240" s="94" t="n">
        <f aca="false">VLOOKUP($D240,tblPriorPrice,3)</f>
        <v>29</v>
      </c>
      <c r="K240" s="190" t="n">
        <f aca="false">L240-J240</f>
        <v>0</v>
      </c>
      <c r="L240" s="190" t="n">
        <f aca="true">L228+OFFSET($CG$27,$B240,$C240)</f>
        <v>29</v>
      </c>
      <c r="M240" s="96" t="n">
        <f aca="true">$L240+OFFSET($CU$27,$B240,$C240)</f>
        <v>24</v>
      </c>
      <c r="N240" s="97" t="n">
        <f aca="true">$L240+OFFSET($DI$27,$B240,$C240)</f>
        <v>51</v>
      </c>
      <c r="O240" s="59" t="n">
        <f aca="true">IF($A240="",0,INDEX(tblPosn,$A240,2))</f>
        <v>61508.40234375</v>
      </c>
      <c r="P240" s="59" t="n">
        <f aca="true">IF($A240="",0,INDEX(tblPosn,$A240,3))</f>
        <v>43751.51171875</v>
      </c>
      <c r="Q240" s="59" t="n">
        <f aca="true">IF($A240="",0,INDEX(tblPosn,$A240,4))</f>
        <v>11715.88671875</v>
      </c>
      <c r="R240" s="59" t="n">
        <f aca="true">IF($A240="",0,INDEX(tblPosn,$A240,5))</f>
        <v>14644.8583984375</v>
      </c>
      <c r="S240" s="59" t="n">
        <f aca="true">IF($A240="",0,INDEX(tblPosn,$A240,6))</f>
        <v>0</v>
      </c>
      <c r="T240" s="98" t="n">
        <f aca="false">O240*F240+P240*K240+R240*AC240+S240*AH240/0.72+Q240*X240</f>
        <v>0</v>
      </c>
      <c r="V240" s="161" t="n">
        <f aca="false">D240</f>
        <v>43191</v>
      </c>
      <c r="W240" s="94" t="n">
        <f aca="false">VLOOKUP($D240,tblPriorPrice,4)</f>
        <v>29</v>
      </c>
      <c r="X240" s="95" t="n">
        <f aca="false">Y240-W240</f>
        <v>0</v>
      </c>
      <c r="Y240" s="191" t="n">
        <f aca="true">Y228+OFFSET($CG$50,$B240,$C240)</f>
        <v>29</v>
      </c>
      <c r="Z240" s="96" t="n">
        <f aca="true">Y240+OFFSET($CU$51,$B240,$C240)</f>
        <v>24</v>
      </c>
      <c r="AA240" s="177" t="n">
        <f aca="true">Y240+OFFSET($DI$51,$B240,$C240)</f>
        <v>62</v>
      </c>
      <c r="AB240" s="94" t="n">
        <f aca="false">VLOOKUP($D240,tblPriorPrice,5)</f>
        <v>29</v>
      </c>
      <c r="AC240" s="190" t="n">
        <f aca="false">AD240-AB240</f>
        <v>0</v>
      </c>
      <c r="AD240" s="191" t="n">
        <f aca="true">AD228+OFFSET($CG$73,$B240,$C240)</f>
        <v>29</v>
      </c>
      <c r="AE240" s="96" t="n">
        <f aca="true">AD240+OFFSET($CU$74,$B240,$C240)</f>
        <v>24</v>
      </c>
      <c r="AF240" s="177" t="n">
        <f aca="true">AD240+OFFSET($DI$74,$B240,$C240)</f>
        <v>62</v>
      </c>
      <c r="AG240" s="94" t="n">
        <f aca="false">VLOOKUP($D240,tblPriorPrice,6)</f>
        <v>1</v>
      </c>
      <c r="AH240" s="190" t="n">
        <f aca="false">AI240-AG240</f>
        <v>0</v>
      </c>
      <c r="AI240" s="191" t="n">
        <f aca="true">AI228+OFFSET($CG$96,$B240,$C240)</f>
        <v>1</v>
      </c>
      <c r="AJ240" s="96" t="n">
        <f aca="true">AI240+OFFSET($CU$96,$B240,$C240)</f>
        <v>1</v>
      </c>
      <c r="AK240" s="97" t="n">
        <f aca="true">AI240+OFFSET($DI$96,$B240,$C240)</f>
        <v>1</v>
      </c>
      <c r="AL240" s="178" t="n">
        <v>70</v>
      </c>
      <c r="AM240" s="165" t="n">
        <v>0.4</v>
      </c>
      <c r="AN240" s="167" t="n">
        <f aca="false">'[3]Pricing Summary'!$AM218</f>
        <v>0.17</v>
      </c>
      <c r="AO240" s="167" t="n">
        <f aca="false">0.9*AN240</f>
        <v>0.153</v>
      </c>
      <c r="AP240" s="166" t="n">
        <f aca="false">1.5*AN240</f>
        <v>0.255</v>
      </c>
      <c r="AQ240" s="167" t="n">
        <f aca="false">AN240</f>
        <v>0.17</v>
      </c>
      <c r="AR240" s="166" t="n">
        <f aca="false">0.8*AQ240</f>
        <v>0.136</v>
      </c>
      <c r="AS240" s="166" t="n">
        <f aca="false">1.2*AQ240</f>
        <v>0.204</v>
      </c>
      <c r="AT240" s="169" t="n">
        <f aca="false">IF(G240&lt;110,17.94063*(LN(G240/100))+6.727568*(LN(G240/100)^2)+15.06494,(-4.1*G240+2135)/100)*0.5</f>
        <v>1.58278405940532</v>
      </c>
      <c r="AU240" s="169" t="n">
        <f aca="false">(0.75*AT240-AT240)</f>
        <v>-0.395696014851329</v>
      </c>
      <c r="AV240" s="166" t="n">
        <f aca="false">AT240/0.5*1.25-AT240</f>
        <v>2.37417608910797</v>
      </c>
      <c r="AW240" s="168" t="n">
        <f aca="false">IF(L240&lt;15,(15*L240+375)/100,(-4.71*L240+670.65)/100)*0.5</f>
        <v>2.6703</v>
      </c>
      <c r="AX240" s="166" t="n">
        <f aca="false">0.75*AW240-AW240</f>
        <v>-0.667575</v>
      </c>
      <c r="AY240" s="166" t="n">
        <f aca="false">AW240/0.5*1.25-AW240</f>
        <v>4.00545</v>
      </c>
      <c r="AZ240" s="167" t="n">
        <v>0.5</v>
      </c>
      <c r="BA240" s="74"/>
      <c r="BQ240" s="108" t="n">
        <v>36907.7428240741</v>
      </c>
      <c r="BR240" s="109" t="n">
        <v>36907.743287037</v>
      </c>
      <c r="BS240" s="110" t="n">
        <v>43132</v>
      </c>
      <c r="BT240" s="111" t="n">
        <v>56251.484375</v>
      </c>
      <c r="BU240" s="112" t="n">
        <v>41448.46484375</v>
      </c>
      <c r="BV240" s="112" t="n">
        <v>11842.41796875</v>
      </c>
      <c r="BW240" s="112" t="n">
        <v>14803.0224609375</v>
      </c>
      <c r="BX240" s="113" t="n">
        <v>0</v>
      </c>
      <c r="BZ240" s="110" t="n">
        <v>43191</v>
      </c>
      <c r="CA240" s="185" t="n">
        <v>29</v>
      </c>
      <c r="CB240" s="116" t="n">
        <v>29</v>
      </c>
      <c r="CC240" s="181" t="n">
        <v>29</v>
      </c>
      <c r="CD240" s="181" t="n">
        <v>29</v>
      </c>
      <c r="CE240" s="117" t="n">
        <v>1</v>
      </c>
    </row>
    <row r="241" customFormat="false" ht="12.75" hidden="false" customHeight="false" outlineLevel="0" collapsed="false">
      <c r="A241" s="0" t="n">
        <f aca="true">IF(ISERROR(MATCH(D241,iRefDt,0)),"",MATCH(D241,iRefDt,0))</f>
        <v>241</v>
      </c>
      <c r="B241" s="92" t="n">
        <f aca="false">MATCH(YEAR(D241),iSpreads)</f>
        <v>18</v>
      </c>
      <c r="C241" s="0" t="n">
        <f aca="false">MONTH(D241)</f>
        <v>5</v>
      </c>
      <c r="D241" s="93" t="n">
        <f aca="false">DATE(YEAR(D240),MONTH(D240)+1,1)</f>
        <v>43221</v>
      </c>
      <c r="E241" s="94" t="n">
        <f aca="false">VLOOKUP($D241,tblPriorPrice,2)</f>
        <v>32</v>
      </c>
      <c r="F241" s="190" t="n">
        <f aca="false">G241-E241</f>
        <v>0</v>
      </c>
      <c r="G241" s="190" t="n">
        <f aca="true">G229+OFFSET($CG$4,$B241,$C241)</f>
        <v>32</v>
      </c>
      <c r="H241" s="96" t="n">
        <f aca="true">G241+OFFSET($CU$4,$B241,$C241)</f>
        <v>27</v>
      </c>
      <c r="I241" s="96" t="n">
        <f aca="true">G241+OFFSET($DI$4,$B241,$C241)</f>
        <v>64</v>
      </c>
      <c r="J241" s="94" t="n">
        <f aca="false">VLOOKUP($D241,tblPriorPrice,3)</f>
        <v>32</v>
      </c>
      <c r="K241" s="190" t="n">
        <f aca="false">L241-J241</f>
        <v>0</v>
      </c>
      <c r="L241" s="190" t="n">
        <f aca="true">L229+OFFSET($CG$27,$B241,$C241)</f>
        <v>32</v>
      </c>
      <c r="M241" s="96" t="n">
        <f aca="true">$L241+OFFSET($CU$27,$B241,$C241)</f>
        <v>27</v>
      </c>
      <c r="N241" s="97" t="n">
        <f aca="true">$L241+OFFSET($DI$27,$B241,$C241)</f>
        <v>54</v>
      </c>
      <c r="O241" s="59" t="n">
        <f aca="true">IF($A241="",0,INDEX(tblPosn,$A241,2))</f>
        <v>64086.35546875</v>
      </c>
      <c r="P241" s="59" t="n">
        <f aca="true">IF($A241="",0,INDEX(tblPosn,$A241,3))</f>
        <v>45151.75</v>
      </c>
      <c r="Q241" s="59" t="n">
        <f aca="true">IF($A241="",0,INDEX(tblPosn,$A241,4))</f>
        <v>11652.064453125</v>
      </c>
      <c r="R241" s="59" t="n">
        <f aca="true">IF($A241="",0,INDEX(tblPosn,$A241,5))</f>
        <v>14565.0810546875</v>
      </c>
      <c r="S241" s="59" t="n">
        <f aca="true">IF($A241="",0,INDEX(tblPosn,$A241,6))</f>
        <v>0</v>
      </c>
      <c r="T241" s="98" t="n">
        <f aca="false">O241*F241+P241*K241+R241*AC241+S241*AH241/0.72+Q241*X241</f>
        <v>0</v>
      </c>
      <c r="V241" s="161" t="n">
        <f aca="false">D241</f>
        <v>43221</v>
      </c>
      <c r="W241" s="94" t="n">
        <f aca="false">VLOOKUP($D241,tblPriorPrice,4)</f>
        <v>32</v>
      </c>
      <c r="X241" s="95" t="n">
        <f aca="false">Y241-W241</f>
        <v>0</v>
      </c>
      <c r="Y241" s="191" t="n">
        <f aca="true">Y229+OFFSET($CG$50,$B241,$C241)</f>
        <v>32</v>
      </c>
      <c r="Z241" s="96" t="n">
        <f aca="true">Y241+OFFSET($CU$51,$B241,$C241)</f>
        <v>27</v>
      </c>
      <c r="AA241" s="177" t="n">
        <f aca="true">Y241+OFFSET($DI$51,$B241,$C241)</f>
        <v>65</v>
      </c>
      <c r="AB241" s="94" t="n">
        <f aca="false">VLOOKUP($D241,tblPriorPrice,5)</f>
        <v>32</v>
      </c>
      <c r="AC241" s="190" t="n">
        <f aca="false">AD241-AB241</f>
        <v>0</v>
      </c>
      <c r="AD241" s="191" t="n">
        <f aca="true">AD229+OFFSET($CG$73,$B241,$C241)</f>
        <v>32</v>
      </c>
      <c r="AE241" s="96" t="n">
        <f aca="true">AD241+OFFSET($CU$74,$B241,$C241)</f>
        <v>27</v>
      </c>
      <c r="AF241" s="177" t="n">
        <f aca="true">AD241+OFFSET($DI$74,$B241,$C241)</f>
        <v>65</v>
      </c>
      <c r="AG241" s="94" t="n">
        <f aca="false">VLOOKUP($D241,tblPriorPrice,6)</f>
        <v>1</v>
      </c>
      <c r="AH241" s="190" t="n">
        <f aca="false">AI241-AG241</f>
        <v>0</v>
      </c>
      <c r="AI241" s="191" t="n">
        <f aca="true">AI229+OFFSET($CG$96,$B241,$C241)</f>
        <v>1</v>
      </c>
      <c r="AJ241" s="96" t="n">
        <f aca="true">AI241+OFFSET($CU$96,$B241,$C241)</f>
        <v>1</v>
      </c>
      <c r="AK241" s="97" t="n">
        <f aca="true">AI241+OFFSET($DI$96,$B241,$C241)</f>
        <v>1</v>
      </c>
      <c r="AL241" s="178" t="n">
        <v>70</v>
      </c>
      <c r="AM241" s="165" t="n">
        <v>0.4</v>
      </c>
      <c r="AN241" s="167" t="n">
        <f aca="false">'[3]Pricing Summary'!$AM219</f>
        <v>0.17</v>
      </c>
      <c r="AO241" s="167" t="n">
        <f aca="false">0.9*AN241</f>
        <v>0.153</v>
      </c>
      <c r="AP241" s="166" t="n">
        <f aca="false">1.5*AN241</f>
        <v>0.255</v>
      </c>
      <c r="AQ241" s="167" t="n">
        <f aca="false">AN241</f>
        <v>0.17</v>
      </c>
      <c r="AR241" s="166" t="n">
        <f aca="false">0.8*AQ241</f>
        <v>0.136</v>
      </c>
      <c r="AS241" s="166" t="n">
        <f aca="false">1.2*AQ241</f>
        <v>0.204</v>
      </c>
      <c r="AT241" s="169" t="n">
        <f aca="false">IF(G241&lt;110,17.94063*(LN(G241/100))+6.727568*(LN(G241/100)^2)+15.06494,(-4.1*G241+2135)/100)*0.5</f>
        <v>1.67862159684781</v>
      </c>
      <c r="AU241" s="169" t="n">
        <f aca="false">(0.75*AT241-AT241)</f>
        <v>-0.419655399211954</v>
      </c>
      <c r="AV241" s="166" t="n">
        <f aca="false">AT241/0.5*1.25-AT241</f>
        <v>2.51793239527172</v>
      </c>
      <c r="AW241" s="168" t="n">
        <f aca="false">IF(L241&lt;15,(15*L241+375)/100,(-4.71*L241+670.65)/100)*0.5</f>
        <v>2.59965</v>
      </c>
      <c r="AX241" s="166" t="n">
        <f aca="false">0.75*AW241-AW241</f>
        <v>-0.6499125</v>
      </c>
      <c r="AY241" s="166" t="n">
        <f aca="false">AW241/0.5*1.25-AW241</f>
        <v>3.899475</v>
      </c>
      <c r="AZ241" s="167" t="n">
        <v>0.5</v>
      </c>
      <c r="BA241" s="74"/>
      <c r="BQ241" s="108" t="n">
        <v>36907.7428240741</v>
      </c>
      <c r="BR241" s="109" t="n">
        <v>36907.743287037</v>
      </c>
      <c r="BS241" s="110" t="n">
        <v>43160</v>
      </c>
      <c r="BT241" s="111" t="n">
        <v>61832.88671875</v>
      </c>
      <c r="BU241" s="112" t="n">
        <v>45638.55859375</v>
      </c>
      <c r="BV241" s="112" t="n">
        <v>14722.1162109375</v>
      </c>
      <c r="BW241" s="112" t="n">
        <v>14722.1162109375</v>
      </c>
      <c r="BX241" s="113" t="n">
        <v>0</v>
      </c>
      <c r="BZ241" s="110" t="n">
        <v>43221</v>
      </c>
      <c r="CA241" s="185" t="n">
        <v>32</v>
      </c>
      <c r="CB241" s="116" t="n">
        <v>32</v>
      </c>
      <c r="CC241" s="181" t="n">
        <v>32</v>
      </c>
      <c r="CD241" s="181" t="n">
        <v>32</v>
      </c>
      <c r="CE241" s="117" t="n">
        <v>1</v>
      </c>
    </row>
    <row r="242" customFormat="false" ht="12.75" hidden="false" customHeight="false" outlineLevel="0" collapsed="false">
      <c r="A242" s="0" t="n">
        <f aca="true">IF(ISERROR(MATCH(D242,iRefDt,0)),"",MATCH(D242,iRefDt,0))</f>
        <v>242</v>
      </c>
      <c r="B242" s="92" t="n">
        <f aca="false">MATCH(YEAR(D242),iSpreads)</f>
        <v>18</v>
      </c>
      <c r="C242" s="0" t="n">
        <f aca="false">MONTH(D242)</f>
        <v>6</v>
      </c>
      <c r="D242" s="93" t="n">
        <f aca="false">DATE(YEAR(D241),MONTH(D241)+1,1)</f>
        <v>43252</v>
      </c>
      <c r="E242" s="94" t="n">
        <f aca="false">VLOOKUP($D242,tblPriorPrice,2)</f>
        <v>39</v>
      </c>
      <c r="F242" s="190" t="n">
        <f aca="false">G242-E242</f>
        <v>0</v>
      </c>
      <c r="G242" s="190" t="n">
        <f aca="true">G230+OFFSET($CG$4,$B242,$C242)</f>
        <v>39</v>
      </c>
      <c r="H242" s="96" t="n">
        <f aca="true">G242+OFFSET($CU$4,$B242,$C242)</f>
        <v>34</v>
      </c>
      <c r="I242" s="96" t="n">
        <f aca="true">G242+OFFSET($DI$4,$B242,$C242)</f>
        <v>71</v>
      </c>
      <c r="J242" s="94" t="n">
        <f aca="false">VLOOKUP($D242,tblPriorPrice,3)</f>
        <v>39</v>
      </c>
      <c r="K242" s="190" t="n">
        <f aca="false">L242-J242</f>
        <v>0</v>
      </c>
      <c r="L242" s="190" t="n">
        <f aca="true">L230+OFFSET($CG$27,$B242,$C242)</f>
        <v>39</v>
      </c>
      <c r="M242" s="96" t="n">
        <f aca="true">$L242+OFFSET($CU$27,$B242,$C242)</f>
        <v>34</v>
      </c>
      <c r="N242" s="97" t="n">
        <f aca="true">$L242+OFFSET($DI$27,$B242,$C242)</f>
        <v>61</v>
      </c>
      <c r="O242" s="59" t="n">
        <f aca="true">IF($A242="",0,INDEX(tblPosn,$A242,2))</f>
        <v>60853.4375</v>
      </c>
      <c r="P242" s="59" t="n">
        <f aca="true">IF($A242="",0,INDEX(tblPosn,$A242,3))</f>
        <v>43466.73828125</v>
      </c>
      <c r="Q242" s="59" t="n">
        <f aca="true">IF($A242="",0,INDEX(tblPosn,$A242,4))</f>
        <v>14488.9130859375</v>
      </c>
      <c r="R242" s="59" t="n">
        <f aca="true">IF($A242="",0,INDEX(tblPosn,$A242,5))</f>
        <v>11591.130859375</v>
      </c>
      <c r="S242" s="59" t="n">
        <f aca="true">IF($A242="",0,INDEX(tblPosn,$A242,6))</f>
        <v>0</v>
      </c>
      <c r="T242" s="98" t="n">
        <f aca="false">O242*F242+P242*K242+R242*AC242+S242*AH242/0.72+Q242*X242</f>
        <v>0</v>
      </c>
      <c r="V242" s="161" t="n">
        <f aca="false">D242</f>
        <v>43252</v>
      </c>
      <c r="W242" s="94" t="n">
        <f aca="false">VLOOKUP($D242,tblPriorPrice,4)</f>
        <v>39</v>
      </c>
      <c r="X242" s="95" t="n">
        <f aca="false">Y242-W242</f>
        <v>0</v>
      </c>
      <c r="Y242" s="191" t="n">
        <f aca="true">Y230+OFFSET($CG$50,$B242,$C242)</f>
        <v>39</v>
      </c>
      <c r="Z242" s="96" t="n">
        <f aca="true">Y242+OFFSET($CU$51,$B242,$C242)</f>
        <v>34</v>
      </c>
      <c r="AA242" s="177" t="n">
        <f aca="true">Y242+OFFSET($DI$51,$B242,$C242)</f>
        <v>72</v>
      </c>
      <c r="AB242" s="94" t="n">
        <f aca="false">VLOOKUP($D242,tblPriorPrice,5)</f>
        <v>39</v>
      </c>
      <c r="AC242" s="190" t="n">
        <f aca="false">AD242-AB242</f>
        <v>0</v>
      </c>
      <c r="AD242" s="191" t="n">
        <f aca="true">AD230+OFFSET($CG$73,$B242,$C242)</f>
        <v>39</v>
      </c>
      <c r="AE242" s="96" t="n">
        <f aca="true">AD242+OFFSET($CU$74,$B242,$C242)</f>
        <v>34</v>
      </c>
      <c r="AF242" s="177" t="n">
        <f aca="true">AD242+OFFSET($DI$74,$B242,$C242)</f>
        <v>72</v>
      </c>
      <c r="AG242" s="94" t="n">
        <f aca="false">VLOOKUP($D242,tblPriorPrice,6)</f>
        <v>1</v>
      </c>
      <c r="AH242" s="190" t="n">
        <f aca="false">AI242-AG242</f>
        <v>0</v>
      </c>
      <c r="AI242" s="191" t="n">
        <f aca="true">AI230+OFFSET($CG$96,$B242,$C242)</f>
        <v>1</v>
      </c>
      <c r="AJ242" s="96" t="n">
        <f aca="true">AI242+OFFSET($CU$96,$B242,$C242)</f>
        <v>1</v>
      </c>
      <c r="AK242" s="97" t="n">
        <f aca="true">AI242+OFFSET($DI$96,$B242,$C242)</f>
        <v>1</v>
      </c>
      <c r="AL242" s="178" t="n">
        <v>71</v>
      </c>
      <c r="AM242" s="165" t="n">
        <v>0.4</v>
      </c>
      <c r="AN242" s="167" t="n">
        <f aca="false">'[3]Pricing Summary'!$AM220</f>
        <v>0.17</v>
      </c>
      <c r="AO242" s="167" t="n">
        <f aca="false">0.9*AN242</f>
        <v>0.153</v>
      </c>
      <c r="AP242" s="166" t="n">
        <f aca="false">1.5*AN242</f>
        <v>0.255</v>
      </c>
      <c r="AQ242" s="167" t="n">
        <f aca="false">AN242</f>
        <v>0.17</v>
      </c>
      <c r="AR242" s="166" t="n">
        <f aca="false">0.8*AQ242</f>
        <v>0.136</v>
      </c>
      <c r="AS242" s="166" t="n">
        <f aca="false">1.2*AQ242</f>
        <v>0.204</v>
      </c>
      <c r="AT242" s="169" t="n">
        <f aca="false">IF(G242&lt;110,17.94063*(LN(G242/100))+6.727568*(LN(G242/100)^2)+15.06494,(-4.1*G242+2135)/100)*0.5</f>
        <v>2.06836530423771</v>
      </c>
      <c r="AU242" s="169" t="n">
        <f aca="false">(0.75*AT242-AT242)</f>
        <v>-0.517091326059428</v>
      </c>
      <c r="AV242" s="166" t="n">
        <f aca="false">AT242/0.5*1.25-AT242</f>
        <v>3.10254795635657</v>
      </c>
      <c r="AW242" s="168" t="n">
        <f aca="false">IF(L242&lt;15,(15*L242+375)/100,(-4.71*L242+670.65)/100)*0.5</f>
        <v>2.4348</v>
      </c>
      <c r="AX242" s="166" t="n">
        <f aca="false">0.75*AW242-AW242</f>
        <v>-0.6087</v>
      </c>
      <c r="AY242" s="166" t="n">
        <f aca="false">AW242/0.5*1.25-AW242</f>
        <v>3.6522</v>
      </c>
      <c r="AZ242" s="167" t="n">
        <v>0.5</v>
      </c>
      <c r="BA242" s="74"/>
      <c r="BQ242" s="108" t="n">
        <v>36907.7428240741</v>
      </c>
      <c r="BR242" s="109" t="n">
        <v>36907.743287037</v>
      </c>
      <c r="BS242" s="110" t="n">
        <v>43191</v>
      </c>
      <c r="BT242" s="111" t="n">
        <v>61508.40234375</v>
      </c>
      <c r="BU242" s="112" t="n">
        <v>43751.51171875</v>
      </c>
      <c r="BV242" s="112" t="n">
        <v>11715.88671875</v>
      </c>
      <c r="BW242" s="112" t="n">
        <v>14644.8583984375</v>
      </c>
      <c r="BX242" s="113" t="n">
        <v>0</v>
      </c>
      <c r="BZ242" s="110" t="n">
        <v>43252</v>
      </c>
      <c r="CA242" s="185" t="n">
        <v>39</v>
      </c>
      <c r="CB242" s="116" t="n">
        <v>39</v>
      </c>
      <c r="CC242" s="181" t="n">
        <v>39</v>
      </c>
      <c r="CD242" s="181" t="n">
        <v>39</v>
      </c>
      <c r="CE242" s="117" t="n">
        <v>1</v>
      </c>
    </row>
    <row r="243" customFormat="false" ht="12.75" hidden="false" customHeight="false" outlineLevel="0" collapsed="false">
      <c r="A243" s="0" t="n">
        <f aca="true">IF(ISERROR(MATCH(D243,iRefDt,0)),"",MATCH(D243,iRefDt,0))</f>
        <v>243</v>
      </c>
      <c r="B243" s="92" t="n">
        <f aca="false">MATCH(YEAR(D243),iSpreads)</f>
        <v>18</v>
      </c>
      <c r="C243" s="0" t="n">
        <f aca="false">MONTH(D243)</f>
        <v>7</v>
      </c>
      <c r="D243" s="93" t="n">
        <f aca="false">DATE(YEAR(D242),MONTH(D242)+1,1)</f>
        <v>43282</v>
      </c>
      <c r="E243" s="94" t="n">
        <f aca="false">VLOOKUP($D243,tblPriorPrice,2)</f>
        <v>39</v>
      </c>
      <c r="F243" s="190" t="n">
        <f aca="false">G243-E243</f>
        <v>0</v>
      </c>
      <c r="G243" s="190" t="n">
        <f aca="true">G231+OFFSET($CG$4,$B243,$C243)</f>
        <v>39</v>
      </c>
      <c r="H243" s="96" t="n">
        <f aca="true">G243+OFFSET($CU$4,$B243,$C243)</f>
        <v>34</v>
      </c>
      <c r="I243" s="96" t="n">
        <f aca="true">G243+OFFSET($DI$4,$B243,$C243)</f>
        <v>71</v>
      </c>
      <c r="J243" s="94" t="n">
        <f aca="false">VLOOKUP($D243,tblPriorPrice,3)</f>
        <v>39</v>
      </c>
      <c r="K243" s="190" t="n">
        <f aca="false">L243-J243</f>
        <v>0</v>
      </c>
      <c r="L243" s="190" t="n">
        <f aca="true">L231+OFFSET($CG$27,$B243,$C243)</f>
        <v>39</v>
      </c>
      <c r="M243" s="96" t="n">
        <f aca="true">$L243+OFFSET($CU$27,$B243,$C243)</f>
        <v>34</v>
      </c>
      <c r="N243" s="97" t="n">
        <f aca="true">$L243+OFFSET($DI$27,$B243,$C243)</f>
        <v>61</v>
      </c>
      <c r="O243" s="59" t="n">
        <f aca="true">IF($A243="",0,INDEX(tblPosn,$A243,2))</f>
        <v>60518.95703125</v>
      </c>
      <c r="P243" s="59" t="n">
        <f aca="true">IF($A243="",0,INDEX(tblPosn,$A243,3))</f>
        <v>44668.75390625</v>
      </c>
      <c r="Q243" s="59" t="n">
        <f aca="true">IF($A243="",0,INDEX(tblPosn,$A243,4))</f>
        <v>11527.4208984375</v>
      </c>
      <c r="R243" s="59" t="n">
        <f aca="true">IF($A243="",0,INDEX(tblPosn,$A243,5))</f>
        <v>17291.130859375</v>
      </c>
      <c r="S243" s="59" t="n">
        <f aca="true">IF($A243="",0,INDEX(tblPosn,$A243,6))</f>
        <v>0</v>
      </c>
      <c r="T243" s="98" t="n">
        <f aca="false">O243*F243+P243*K243+R243*AC243+S243*AH243/0.72+Q243*X243</f>
        <v>0</v>
      </c>
      <c r="V243" s="161" t="n">
        <f aca="false">D243</f>
        <v>43282</v>
      </c>
      <c r="W243" s="94" t="n">
        <f aca="false">VLOOKUP($D243,tblPriorPrice,4)</f>
        <v>39</v>
      </c>
      <c r="X243" s="95" t="n">
        <f aca="false">Y243-W243</f>
        <v>0</v>
      </c>
      <c r="Y243" s="191" t="n">
        <f aca="true">Y231+OFFSET($CG$50,$B243,$C243)</f>
        <v>39</v>
      </c>
      <c r="Z243" s="96" t="n">
        <f aca="true">Y243+OFFSET($CU$51,$B243,$C243)</f>
        <v>34</v>
      </c>
      <c r="AA243" s="177" t="n">
        <f aca="true">Y243+OFFSET($DI$51,$B243,$C243)</f>
        <v>72</v>
      </c>
      <c r="AB243" s="94" t="n">
        <f aca="false">VLOOKUP($D243,tblPriorPrice,5)</f>
        <v>39</v>
      </c>
      <c r="AC243" s="190" t="n">
        <f aca="false">AD243-AB243</f>
        <v>0</v>
      </c>
      <c r="AD243" s="191" t="n">
        <f aca="true">AD231+OFFSET($CG$73,$B243,$C243)</f>
        <v>39</v>
      </c>
      <c r="AE243" s="96" t="n">
        <f aca="true">AD243+OFFSET($CU$74,$B243,$C243)</f>
        <v>34</v>
      </c>
      <c r="AF243" s="177" t="n">
        <f aca="true">AD243+OFFSET($DI$74,$B243,$C243)</f>
        <v>72</v>
      </c>
      <c r="AG243" s="94" t="n">
        <f aca="false">VLOOKUP($D243,tblPriorPrice,6)</f>
        <v>1</v>
      </c>
      <c r="AH243" s="190" t="n">
        <f aca="false">AI243-AG243</f>
        <v>0</v>
      </c>
      <c r="AI243" s="191" t="n">
        <f aca="true">AI231+OFFSET($CG$96,$B243,$C243)</f>
        <v>1</v>
      </c>
      <c r="AJ243" s="96" t="n">
        <f aca="true">AI243+OFFSET($CU$96,$B243,$C243)</f>
        <v>1</v>
      </c>
      <c r="AK243" s="97" t="n">
        <f aca="true">AI243+OFFSET($DI$96,$B243,$C243)</f>
        <v>1</v>
      </c>
      <c r="AL243" s="178" t="n">
        <v>71</v>
      </c>
      <c r="AM243" s="165" t="n">
        <v>0.4</v>
      </c>
      <c r="AN243" s="167" t="n">
        <f aca="false">'[3]Pricing Summary'!$AM221</f>
        <v>0.17</v>
      </c>
      <c r="AO243" s="167" t="n">
        <f aca="false">0.9*AN243</f>
        <v>0.153</v>
      </c>
      <c r="AP243" s="166" t="n">
        <f aca="false">1.5*AN243</f>
        <v>0.255</v>
      </c>
      <c r="AQ243" s="167" t="n">
        <f aca="false">AN243</f>
        <v>0.17</v>
      </c>
      <c r="AR243" s="166" t="n">
        <f aca="false">0.8*AQ243</f>
        <v>0.136</v>
      </c>
      <c r="AS243" s="166" t="n">
        <f aca="false">1.2*AQ243</f>
        <v>0.204</v>
      </c>
      <c r="AT243" s="169" t="n">
        <f aca="false">IF(G243&lt;110,17.94063*(LN(G243/100))+6.727568*(LN(G243/100)^2)+15.06494,(-4.1*G243+2135)/100)*0.5</f>
        <v>2.06836530423771</v>
      </c>
      <c r="AU243" s="169" t="n">
        <f aca="false">(0.75*AT243-AT243)</f>
        <v>-0.517091326059428</v>
      </c>
      <c r="AV243" s="166" t="n">
        <f aca="false">AT243/0.5*1.25-AT243</f>
        <v>3.10254795635657</v>
      </c>
      <c r="AW243" s="168" t="n">
        <f aca="false">IF(L243&lt;15,(15*L243+375)/100,(-4.71*L243+670.65)/100)*0.5</f>
        <v>2.4348</v>
      </c>
      <c r="AX243" s="166" t="n">
        <f aca="false">0.75*AW243-AW243</f>
        <v>-0.6087</v>
      </c>
      <c r="AY243" s="166" t="n">
        <f aca="false">AW243/0.5*1.25-AW243</f>
        <v>3.6522</v>
      </c>
      <c r="AZ243" s="167" t="n">
        <v>0.5</v>
      </c>
      <c r="BA243" s="74"/>
      <c r="BQ243" s="108" t="n">
        <v>36907.7428240741</v>
      </c>
      <c r="BR243" s="109" t="n">
        <v>36907.743287037</v>
      </c>
      <c r="BS243" s="110" t="n">
        <v>43221</v>
      </c>
      <c r="BT243" s="111" t="n">
        <v>64086.35546875</v>
      </c>
      <c r="BU243" s="112" t="n">
        <v>45151.75</v>
      </c>
      <c r="BV243" s="112" t="n">
        <v>11652.064453125</v>
      </c>
      <c r="BW243" s="112" t="n">
        <v>14565.0810546875</v>
      </c>
      <c r="BX243" s="113" t="n">
        <v>0</v>
      </c>
      <c r="BZ243" s="110" t="n">
        <v>43282</v>
      </c>
      <c r="CA243" s="185" t="n">
        <v>39</v>
      </c>
      <c r="CB243" s="116" t="n">
        <v>39</v>
      </c>
      <c r="CC243" s="181" t="n">
        <v>39</v>
      </c>
      <c r="CD243" s="181" t="n">
        <v>39</v>
      </c>
      <c r="CE243" s="117" t="n">
        <v>1</v>
      </c>
    </row>
    <row r="244" customFormat="false" ht="12.75" hidden="false" customHeight="false" outlineLevel="0" collapsed="false">
      <c r="A244" s="0" t="n">
        <f aca="true">IF(ISERROR(MATCH(D244,iRefDt,0)),"",MATCH(D244,iRefDt,0))</f>
        <v>244</v>
      </c>
      <c r="B244" s="92" t="n">
        <f aca="false">MATCH(YEAR(D244),iSpreads)</f>
        <v>18</v>
      </c>
      <c r="C244" s="0" t="n">
        <f aca="false">MONTH(D244)</f>
        <v>8</v>
      </c>
      <c r="D244" s="93" t="n">
        <f aca="false">DATE(YEAR(D243),MONTH(D243)+1,1)</f>
        <v>43313</v>
      </c>
      <c r="E244" s="94" t="n">
        <f aca="false">VLOOKUP($D244,tblPriorPrice,2)</f>
        <v>41</v>
      </c>
      <c r="F244" s="190" t="n">
        <f aca="false">G244-E244</f>
        <v>0</v>
      </c>
      <c r="G244" s="190" t="n">
        <f aca="true">G232+OFFSET($CG$4,$B244,$C244)</f>
        <v>41</v>
      </c>
      <c r="H244" s="96" t="n">
        <f aca="true">G244+OFFSET($CU$4,$B244,$C244)</f>
        <v>36</v>
      </c>
      <c r="I244" s="96" t="n">
        <f aca="true">G244+OFFSET($DI$4,$B244,$C244)</f>
        <v>73</v>
      </c>
      <c r="J244" s="94" t="n">
        <f aca="false">VLOOKUP($D244,tblPriorPrice,3)</f>
        <v>41</v>
      </c>
      <c r="K244" s="190" t="n">
        <f aca="false">L244-J244</f>
        <v>0</v>
      </c>
      <c r="L244" s="190" t="n">
        <f aca="true">L232+OFFSET($CG$27,$B244,$C244)</f>
        <v>41</v>
      </c>
      <c r="M244" s="96" t="n">
        <f aca="true">$L244+OFFSET($CU$27,$B244,$C244)</f>
        <v>36</v>
      </c>
      <c r="N244" s="97" t="n">
        <f aca="true">$L244+OFFSET($DI$27,$B244,$C244)</f>
        <v>63</v>
      </c>
      <c r="O244" s="59" t="n">
        <f aca="true">IF($A244="",0,INDEX(tblPosn,$A244,2))</f>
        <v>65925.625</v>
      </c>
      <c r="P244" s="59" t="n">
        <f aca="true">IF($A244="",0,INDEX(tblPosn,$A244,3))</f>
        <v>44428.140625</v>
      </c>
      <c r="Q244" s="59" t="n">
        <f aca="true">IF($A244="",0,INDEX(tblPosn,$A244,4))</f>
        <v>11465.326171875</v>
      </c>
      <c r="R244" s="59" t="n">
        <f aca="true">IF($A244="",0,INDEX(tblPosn,$A244,5))</f>
        <v>11465.326171875</v>
      </c>
      <c r="S244" s="59" t="n">
        <f aca="true">IF($A244="",0,INDEX(tblPosn,$A244,6))</f>
        <v>0</v>
      </c>
      <c r="T244" s="98" t="n">
        <f aca="false">O244*F244+P244*K244+R244*AC244+S244*AH244/0.72+Q244*X244</f>
        <v>0</v>
      </c>
      <c r="V244" s="161" t="n">
        <f aca="false">D244</f>
        <v>43313</v>
      </c>
      <c r="W244" s="94" t="n">
        <f aca="false">VLOOKUP($D244,tblPriorPrice,4)</f>
        <v>41</v>
      </c>
      <c r="X244" s="95" t="n">
        <f aca="false">Y244-W244</f>
        <v>0</v>
      </c>
      <c r="Y244" s="191" t="n">
        <f aca="true">Y232+OFFSET($CG$50,$B244,$C244)</f>
        <v>41</v>
      </c>
      <c r="Z244" s="96" t="n">
        <f aca="true">Y244+OFFSET($CU$51,$B244,$C244)</f>
        <v>36</v>
      </c>
      <c r="AA244" s="177" t="n">
        <f aca="true">Y244+OFFSET($DI$51,$B244,$C244)</f>
        <v>74</v>
      </c>
      <c r="AB244" s="94" t="n">
        <f aca="false">VLOOKUP($D244,tblPriorPrice,5)</f>
        <v>41</v>
      </c>
      <c r="AC244" s="190" t="n">
        <f aca="false">AD244-AB244</f>
        <v>0</v>
      </c>
      <c r="AD244" s="191" t="n">
        <f aca="true">AD232+OFFSET($CG$73,$B244,$C244)</f>
        <v>41</v>
      </c>
      <c r="AE244" s="96" t="n">
        <f aca="true">AD244+OFFSET($CU$74,$B244,$C244)</f>
        <v>36</v>
      </c>
      <c r="AF244" s="177" t="n">
        <f aca="true">AD244+OFFSET($DI$74,$B244,$C244)</f>
        <v>74</v>
      </c>
      <c r="AG244" s="94" t="n">
        <f aca="false">VLOOKUP($D244,tblPriorPrice,6)</f>
        <v>1</v>
      </c>
      <c r="AH244" s="190" t="n">
        <f aca="false">AI244-AG244</f>
        <v>0</v>
      </c>
      <c r="AI244" s="191" t="n">
        <f aca="true">AI232+OFFSET($CG$96,$B244,$C244)</f>
        <v>1</v>
      </c>
      <c r="AJ244" s="96" t="n">
        <f aca="true">AI244+OFFSET($CU$96,$B244,$C244)</f>
        <v>1</v>
      </c>
      <c r="AK244" s="97" t="n">
        <f aca="true">AI244+OFFSET($DI$96,$B244,$C244)</f>
        <v>1</v>
      </c>
      <c r="AL244" s="178" t="n">
        <v>71</v>
      </c>
      <c r="AM244" s="165" t="n">
        <v>0.4</v>
      </c>
      <c r="AN244" s="167" t="n">
        <f aca="false">'[3]Pricing Summary'!$AM222</f>
        <v>0.17</v>
      </c>
      <c r="AO244" s="167" t="n">
        <f aca="false">0.9*AN244</f>
        <v>0.153</v>
      </c>
      <c r="AP244" s="166" t="n">
        <f aca="false">1.5*AN244</f>
        <v>0.255</v>
      </c>
      <c r="AQ244" s="167" t="n">
        <f aca="false">AN244</f>
        <v>0.17</v>
      </c>
      <c r="AR244" s="166" t="n">
        <f aca="false">0.8*AQ244</f>
        <v>0.136</v>
      </c>
      <c r="AS244" s="166" t="n">
        <f aca="false">1.2*AQ244</f>
        <v>0.204</v>
      </c>
      <c r="AT244" s="169" t="n">
        <f aca="false">IF(G244&lt;110,17.94063*(LN(G244/100))+6.727568*(LN(G244/100)^2)+15.06494,(-4.1*G244+2135)/100)*0.5</f>
        <v>2.20858471004844</v>
      </c>
      <c r="AU244" s="169" t="n">
        <f aca="false">(0.75*AT244-AT244)</f>
        <v>-0.552146177512111</v>
      </c>
      <c r="AV244" s="166" t="n">
        <f aca="false">AT244/0.5*1.25-AT244</f>
        <v>3.31287706507267</v>
      </c>
      <c r="AW244" s="168" t="n">
        <f aca="false">IF(L244&lt;15,(15*L244+375)/100,(-4.71*L244+670.65)/100)*0.5</f>
        <v>2.3877</v>
      </c>
      <c r="AX244" s="166" t="n">
        <f aca="false">0.75*AW244-AW244</f>
        <v>-0.596925</v>
      </c>
      <c r="AY244" s="166" t="n">
        <f aca="false">AW244/0.5*1.25-AW244</f>
        <v>3.58155</v>
      </c>
      <c r="AZ244" s="167" t="n">
        <v>0.5</v>
      </c>
      <c r="BA244" s="74"/>
      <c r="BQ244" s="108" t="n">
        <v>36907.7428240741</v>
      </c>
      <c r="BR244" s="109" t="n">
        <v>36907.743287037</v>
      </c>
      <c r="BS244" s="110" t="n">
        <v>43252</v>
      </c>
      <c r="BT244" s="111" t="n">
        <v>60853.4375</v>
      </c>
      <c r="BU244" s="112" t="n">
        <v>43466.73828125</v>
      </c>
      <c r="BV244" s="112" t="n">
        <v>14488.9130859375</v>
      </c>
      <c r="BW244" s="112" t="n">
        <v>11591.130859375</v>
      </c>
      <c r="BX244" s="113" t="n">
        <v>0</v>
      </c>
      <c r="BZ244" s="110" t="n">
        <v>43313</v>
      </c>
      <c r="CA244" s="185" t="n">
        <v>41</v>
      </c>
      <c r="CB244" s="116" t="n">
        <v>41</v>
      </c>
      <c r="CC244" s="181" t="n">
        <v>41</v>
      </c>
      <c r="CD244" s="181" t="n">
        <v>41</v>
      </c>
      <c r="CE244" s="117" t="n">
        <v>1</v>
      </c>
    </row>
    <row r="245" customFormat="false" ht="12.75" hidden="false" customHeight="false" outlineLevel="0" collapsed="false">
      <c r="A245" s="0" t="n">
        <f aca="true">IF(ISERROR(MATCH(D245,iRefDt,0)),"",MATCH(D245,iRefDt,0))</f>
        <v>245</v>
      </c>
      <c r="B245" s="92" t="n">
        <f aca="false">MATCH(YEAR(D245),iSpreads)</f>
        <v>18</v>
      </c>
      <c r="C245" s="0" t="n">
        <f aca="false">MONTH(D245)</f>
        <v>9</v>
      </c>
      <c r="D245" s="93" t="n">
        <f aca="false">DATE(YEAR(D244),MONTH(D244)+1,1)</f>
        <v>43344</v>
      </c>
      <c r="E245" s="94" t="n">
        <f aca="false">VLOOKUP($D245,tblPriorPrice,2)</f>
        <v>35</v>
      </c>
      <c r="F245" s="190" t="n">
        <f aca="false">G245-E245</f>
        <v>0</v>
      </c>
      <c r="G245" s="190" t="n">
        <f aca="true">G233+OFFSET($CG$4,$B245,$C245)</f>
        <v>35</v>
      </c>
      <c r="H245" s="96" t="n">
        <f aca="true">G245+OFFSET($CU$4,$B245,$C245)</f>
        <v>30</v>
      </c>
      <c r="I245" s="96" t="n">
        <f aca="true">G245+OFFSET($DI$4,$B245,$C245)</f>
        <v>67</v>
      </c>
      <c r="J245" s="94" t="n">
        <f aca="false">VLOOKUP($D245,tblPriorPrice,3)</f>
        <v>35</v>
      </c>
      <c r="K245" s="190" t="n">
        <f aca="false">L245-J245</f>
        <v>0</v>
      </c>
      <c r="L245" s="190" t="n">
        <f aca="true">L233+OFFSET($CG$27,$B245,$C245)</f>
        <v>35</v>
      </c>
      <c r="M245" s="96" t="n">
        <f aca="true">$L245+OFFSET($CU$27,$B245,$C245)</f>
        <v>30</v>
      </c>
      <c r="N245" s="97" t="n">
        <f aca="true">$L245+OFFSET($DI$27,$B245,$C245)</f>
        <v>57</v>
      </c>
      <c r="O245" s="59" t="n">
        <f aca="true">IF($A245="",0,INDEX(tblPosn,$A245,2))</f>
        <v>54166.625</v>
      </c>
      <c r="P245" s="59" t="n">
        <f aca="true">IF($A245="",0,INDEX(tblPosn,$A245,3))</f>
        <v>42763.125</v>
      </c>
      <c r="Q245" s="59" t="n">
        <f aca="true">IF($A245="",0,INDEX(tblPosn,$A245,4))</f>
        <v>14254.375</v>
      </c>
      <c r="R245" s="59" t="n">
        <f aca="true">IF($A245="",0,INDEX(tblPosn,$A245,5))</f>
        <v>17105.25</v>
      </c>
      <c r="S245" s="59" t="n">
        <f aca="true">IF($A245="",0,INDEX(tblPosn,$A245,6))</f>
        <v>0</v>
      </c>
      <c r="T245" s="98" t="n">
        <f aca="false">O245*F245+P245*K245+R245*AC245+S245*AH245/0.72+Q245*X245</f>
        <v>0</v>
      </c>
      <c r="V245" s="161" t="n">
        <f aca="false">D245</f>
        <v>43344</v>
      </c>
      <c r="W245" s="94" t="n">
        <f aca="false">VLOOKUP($D245,tblPriorPrice,4)</f>
        <v>35</v>
      </c>
      <c r="X245" s="95" t="n">
        <f aca="false">Y245-W245</f>
        <v>0</v>
      </c>
      <c r="Y245" s="191" t="n">
        <f aca="true">Y233+OFFSET($CG$50,$B245,$C245)</f>
        <v>35</v>
      </c>
      <c r="Z245" s="96" t="n">
        <f aca="true">Y245+OFFSET($CU$51,$B245,$C245)</f>
        <v>30</v>
      </c>
      <c r="AA245" s="177" t="n">
        <f aca="true">Y245+OFFSET($DI$51,$B245,$C245)</f>
        <v>68</v>
      </c>
      <c r="AB245" s="94" t="n">
        <f aca="false">VLOOKUP($D245,tblPriorPrice,5)</f>
        <v>35</v>
      </c>
      <c r="AC245" s="190" t="n">
        <f aca="false">AD245-AB245</f>
        <v>0</v>
      </c>
      <c r="AD245" s="191" t="n">
        <f aca="true">AD233+OFFSET($CG$73,$B245,$C245)</f>
        <v>35</v>
      </c>
      <c r="AE245" s="96" t="n">
        <f aca="true">AD245+OFFSET($CU$74,$B245,$C245)</f>
        <v>30</v>
      </c>
      <c r="AF245" s="177" t="n">
        <f aca="true">AD245+OFFSET($DI$74,$B245,$C245)</f>
        <v>68</v>
      </c>
      <c r="AG245" s="94" t="n">
        <f aca="false">VLOOKUP($D245,tblPriorPrice,6)</f>
        <v>1</v>
      </c>
      <c r="AH245" s="190" t="n">
        <f aca="false">AI245-AG245</f>
        <v>0</v>
      </c>
      <c r="AI245" s="191" t="n">
        <f aca="true">AI233+OFFSET($CG$96,$B245,$C245)</f>
        <v>1</v>
      </c>
      <c r="AJ245" s="96" t="n">
        <f aca="true">AI245+OFFSET($CU$96,$B245,$C245)</f>
        <v>1</v>
      </c>
      <c r="AK245" s="97" t="n">
        <f aca="true">AI245+OFFSET($DI$96,$B245,$C245)</f>
        <v>1</v>
      </c>
      <c r="AL245" s="178" t="n">
        <v>72</v>
      </c>
      <c r="AM245" s="165" t="n">
        <v>0.4</v>
      </c>
      <c r="AN245" s="167" t="n">
        <f aca="false">'[3]Pricing Summary'!$AM223</f>
        <v>0.17</v>
      </c>
      <c r="AO245" s="167" t="n">
        <f aca="false">0.9*AN245</f>
        <v>0.153</v>
      </c>
      <c r="AP245" s="166" t="n">
        <f aca="false">1.5*AN245</f>
        <v>0.255</v>
      </c>
      <c r="AQ245" s="167" t="n">
        <f aca="false">AN245</f>
        <v>0.17</v>
      </c>
      <c r="AR245" s="166" t="n">
        <f aca="false">0.8*AQ245</f>
        <v>0.136</v>
      </c>
      <c r="AS245" s="166" t="n">
        <f aca="false">1.2*AQ245</f>
        <v>0.204</v>
      </c>
      <c r="AT245" s="169" t="n">
        <f aca="false">IF(G245&lt;110,17.94063*(LN(G245/100))+6.727568*(LN(G245/100)^2)+15.06494,(-4.1*G245+2135)/100)*0.5</f>
        <v>1.82255031269953</v>
      </c>
      <c r="AU245" s="169" t="n">
        <f aca="false">(0.75*AT245-AT245)</f>
        <v>-0.455637578174882</v>
      </c>
      <c r="AV245" s="166" t="n">
        <f aca="false">AT245/0.5*1.25-AT245</f>
        <v>2.73382546904929</v>
      </c>
      <c r="AW245" s="168" t="n">
        <f aca="false">IF(L245&lt;15,(15*L245+375)/100,(-4.71*L245+670.65)/100)*0.5</f>
        <v>2.529</v>
      </c>
      <c r="AX245" s="166" t="n">
        <f aca="false">0.75*AW245-AW245</f>
        <v>-0.63225</v>
      </c>
      <c r="AY245" s="166" t="n">
        <f aca="false">AW245/0.5*1.25-AW245</f>
        <v>3.7935</v>
      </c>
      <c r="AZ245" s="167" t="n">
        <v>0.5</v>
      </c>
      <c r="BA245" s="74"/>
      <c r="BQ245" s="108" t="n">
        <v>36907.7428240741</v>
      </c>
      <c r="BR245" s="109" t="n">
        <v>36907.743287037</v>
      </c>
      <c r="BS245" s="110" t="n">
        <v>43282</v>
      </c>
      <c r="BT245" s="111" t="n">
        <v>60518.95703125</v>
      </c>
      <c r="BU245" s="112" t="n">
        <v>44668.75390625</v>
      </c>
      <c r="BV245" s="112" t="n">
        <v>11527.4208984375</v>
      </c>
      <c r="BW245" s="112" t="n">
        <v>17291.130859375</v>
      </c>
      <c r="BX245" s="113" t="n">
        <v>0</v>
      </c>
      <c r="BZ245" s="110" t="n">
        <v>43344</v>
      </c>
      <c r="CA245" s="185" t="n">
        <v>35</v>
      </c>
      <c r="CB245" s="116" t="n">
        <v>35</v>
      </c>
      <c r="CC245" s="181" t="n">
        <v>35</v>
      </c>
      <c r="CD245" s="181" t="n">
        <v>35</v>
      </c>
      <c r="CE245" s="117" t="n">
        <v>1</v>
      </c>
    </row>
    <row r="246" customFormat="false" ht="12.75" hidden="false" customHeight="false" outlineLevel="0" collapsed="false">
      <c r="A246" s="0" t="n">
        <f aca="true">IF(ISERROR(MATCH(D246,iRefDt,0)),"",MATCH(D246,iRefDt,0))</f>
        <v>246</v>
      </c>
      <c r="B246" s="92" t="n">
        <f aca="false">MATCH(YEAR(D246),iSpreads)</f>
        <v>18</v>
      </c>
      <c r="C246" s="0" t="n">
        <f aca="false">MONTH(D246)</f>
        <v>10</v>
      </c>
      <c r="D246" s="93" t="n">
        <f aca="false">DATE(YEAR(D245),MONTH(D245)+1,1)</f>
        <v>43374</v>
      </c>
      <c r="E246" s="94" t="n">
        <f aca="false">VLOOKUP($D246,tblPriorPrice,2)</f>
        <v>37</v>
      </c>
      <c r="F246" s="190" t="n">
        <f aca="false">G246-E246</f>
        <v>0</v>
      </c>
      <c r="G246" s="190" t="n">
        <f aca="true">G234+OFFSET($CG$4,$B246,$C246)</f>
        <v>37</v>
      </c>
      <c r="H246" s="96" t="n">
        <f aca="true">G246+OFFSET($CU$4,$B246,$C246)</f>
        <v>32</v>
      </c>
      <c r="I246" s="96" t="n">
        <f aca="true">G246+OFFSET($DI$4,$B246,$C246)</f>
        <v>69</v>
      </c>
      <c r="J246" s="94" t="n">
        <f aca="false">VLOOKUP($D246,tblPriorPrice,3)</f>
        <v>37</v>
      </c>
      <c r="K246" s="190" t="n">
        <f aca="false">L246-J246</f>
        <v>0</v>
      </c>
      <c r="L246" s="190" t="n">
        <f aca="true">L234+OFFSET($CG$27,$B246,$C246)</f>
        <v>37</v>
      </c>
      <c r="M246" s="96" t="n">
        <f aca="true">$L246+OFFSET($CU$27,$B246,$C246)</f>
        <v>32</v>
      </c>
      <c r="N246" s="97" t="n">
        <f aca="true">$L246+OFFSET($DI$27,$B246,$C246)</f>
        <v>59</v>
      </c>
      <c r="O246" s="59" t="n">
        <f aca="true">IF($A246="",0,INDEX(tblPosn,$A246,2))</f>
        <v>62379.734375</v>
      </c>
      <c r="P246" s="59" t="n">
        <f aca="true">IF($A246="",0,INDEX(tblPosn,$A246,3))</f>
        <v>44126.57421875</v>
      </c>
      <c r="Q246" s="59" t="n">
        <f aca="true">IF($A246="",0,INDEX(tblPosn,$A246,4))</f>
        <v>11341.76953125</v>
      </c>
      <c r="R246" s="59" t="n">
        <f aca="true">IF($A246="",0,INDEX(tblPosn,$A246,5))</f>
        <v>14177.2119140625</v>
      </c>
      <c r="S246" s="59" t="n">
        <f aca="true">IF($A246="",0,INDEX(tblPosn,$A246,6))</f>
        <v>0</v>
      </c>
      <c r="T246" s="98" t="n">
        <f aca="false">O246*F246+P246*K246+R246*AC246+S246*AH246/0.72+Q246*X246</f>
        <v>0</v>
      </c>
      <c r="V246" s="161" t="n">
        <f aca="false">D246</f>
        <v>43374</v>
      </c>
      <c r="W246" s="94" t="n">
        <f aca="false">VLOOKUP($D246,tblPriorPrice,4)</f>
        <v>37</v>
      </c>
      <c r="X246" s="95" t="n">
        <f aca="false">Y246-W246</f>
        <v>0</v>
      </c>
      <c r="Y246" s="191" t="n">
        <f aca="true">Y234+OFFSET($CG$50,$B246,$C246)</f>
        <v>37</v>
      </c>
      <c r="Z246" s="96" t="n">
        <f aca="true">Y246+OFFSET($CU$51,$B246,$C246)</f>
        <v>32</v>
      </c>
      <c r="AA246" s="177" t="n">
        <f aca="true">Y246+OFFSET($DI$51,$B246,$C246)</f>
        <v>70</v>
      </c>
      <c r="AB246" s="94" t="n">
        <f aca="false">VLOOKUP($D246,tblPriorPrice,5)</f>
        <v>37</v>
      </c>
      <c r="AC246" s="190" t="n">
        <f aca="false">AD246-AB246</f>
        <v>0</v>
      </c>
      <c r="AD246" s="191" t="n">
        <f aca="true">AD234+OFFSET($CG$73,$B246,$C246)</f>
        <v>37</v>
      </c>
      <c r="AE246" s="96" t="n">
        <f aca="true">AD246+OFFSET($CU$74,$B246,$C246)</f>
        <v>32</v>
      </c>
      <c r="AF246" s="177" t="n">
        <f aca="true">AD246+OFFSET($DI$74,$B246,$C246)</f>
        <v>70</v>
      </c>
      <c r="AG246" s="94" t="n">
        <f aca="false">VLOOKUP($D246,tblPriorPrice,6)</f>
        <v>1</v>
      </c>
      <c r="AH246" s="190" t="n">
        <f aca="false">AI246-AG246</f>
        <v>0</v>
      </c>
      <c r="AI246" s="191" t="n">
        <f aca="true">AI234+OFFSET($CG$96,$B246,$C246)</f>
        <v>1</v>
      </c>
      <c r="AJ246" s="96" t="n">
        <f aca="true">AI246+OFFSET($CU$96,$B246,$C246)</f>
        <v>1</v>
      </c>
      <c r="AK246" s="97" t="n">
        <f aca="true">AI246+OFFSET($DI$96,$B246,$C246)</f>
        <v>1</v>
      </c>
      <c r="AL246" s="178" t="n">
        <v>72</v>
      </c>
      <c r="AM246" s="165" t="n">
        <v>0.4</v>
      </c>
      <c r="AN246" s="167" t="n">
        <f aca="false">'[3]Pricing Summary'!$AM224</f>
        <v>0.17</v>
      </c>
      <c r="AO246" s="167" t="n">
        <f aca="false">0.9*AN246</f>
        <v>0.153</v>
      </c>
      <c r="AP246" s="166" t="n">
        <f aca="false">1.5*AN246</f>
        <v>0.255</v>
      </c>
      <c r="AQ246" s="167" t="n">
        <f aca="false">AN246</f>
        <v>0.17</v>
      </c>
      <c r="AR246" s="166" t="n">
        <f aca="false">0.8*AQ246</f>
        <v>0.136</v>
      </c>
      <c r="AS246" s="166" t="n">
        <f aca="false">1.2*AQ246</f>
        <v>0.204</v>
      </c>
      <c r="AT246" s="169" t="n">
        <f aca="false">IF(G246&lt;110,17.94063*(LN(G246/100))+6.727568*(LN(G246/100)^2)+15.06494,(-4.1*G246+2135)/100)*0.5</f>
        <v>1.93894082389981</v>
      </c>
      <c r="AU246" s="169" t="n">
        <f aca="false">(0.75*AT246-AT246)</f>
        <v>-0.484735205974953</v>
      </c>
      <c r="AV246" s="166" t="n">
        <f aca="false">AT246/0.5*1.25-AT246</f>
        <v>2.90841123584972</v>
      </c>
      <c r="AW246" s="168" t="n">
        <f aca="false">IF(L246&lt;15,(15*L246+375)/100,(-4.71*L246+670.65)/100)*0.5</f>
        <v>2.4819</v>
      </c>
      <c r="AX246" s="166" t="n">
        <f aca="false">0.75*AW246-AW246</f>
        <v>-0.620475</v>
      </c>
      <c r="AY246" s="166" t="n">
        <f aca="false">AW246/0.5*1.25-AW246</f>
        <v>3.72285</v>
      </c>
      <c r="AZ246" s="167" t="n">
        <v>0.5</v>
      </c>
      <c r="BA246" s="74"/>
      <c r="BQ246" s="108" t="n">
        <v>36907.7428240741</v>
      </c>
      <c r="BR246" s="109" t="n">
        <v>36907.743287037</v>
      </c>
      <c r="BS246" s="110" t="n">
        <v>43313</v>
      </c>
      <c r="BT246" s="111" t="n">
        <v>65925.625</v>
      </c>
      <c r="BU246" s="112" t="n">
        <v>44428.140625</v>
      </c>
      <c r="BV246" s="112" t="n">
        <v>11465.326171875</v>
      </c>
      <c r="BW246" s="112" t="n">
        <v>11465.326171875</v>
      </c>
      <c r="BX246" s="113" t="n">
        <v>0</v>
      </c>
      <c r="BZ246" s="110" t="n">
        <v>43374</v>
      </c>
      <c r="CA246" s="185" t="n">
        <v>37</v>
      </c>
      <c r="CB246" s="116" t="n">
        <v>37</v>
      </c>
      <c r="CC246" s="181" t="n">
        <v>37</v>
      </c>
      <c r="CD246" s="181" t="n">
        <v>37</v>
      </c>
      <c r="CE246" s="117" t="n">
        <v>1</v>
      </c>
    </row>
    <row r="247" customFormat="false" ht="12.75" hidden="false" customHeight="false" outlineLevel="0" collapsed="false">
      <c r="A247" s="0" t="n">
        <f aca="true">IF(ISERROR(MATCH(D247,iRefDt,0)),"",MATCH(D247,iRefDt,0))</f>
        <v>247</v>
      </c>
      <c r="B247" s="92" t="n">
        <f aca="false">MATCH(YEAR(D247),iSpreads)</f>
        <v>18</v>
      </c>
      <c r="C247" s="0" t="n">
        <f aca="false">MONTH(D247)</f>
        <v>11</v>
      </c>
      <c r="D247" s="93" t="n">
        <f aca="false">DATE(YEAR(D246),MONTH(D246)+1,1)</f>
        <v>43405</v>
      </c>
      <c r="E247" s="94" t="n">
        <f aca="false">VLOOKUP($D247,tblPriorPrice,2)</f>
        <v>31</v>
      </c>
      <c r="F247" s="190" t="n">
        <f aca="false">G247-E247</f>
        <v>0</v>
      </c>
      <c r="G247" s="190" t="n">
        <f aca="true">G235+OFFSET($CG$4,$B247,$C247)</f>
        <v>31</v>
      </c>
      <c r="H247" s="96" t="n">
        <f aca="true">G247+OFFSET($CU$4,$B247,$C247)</f>
        <v>26</v>
      </c>
      <c r="I247" s="96" t="n">
        <f aca="true">G247+OFFSET($DI$4,$B247,$C247)</f>
        <v>63</v>
      </c>
      <c r="J247" s="94" t="n">
        <f aca="false">VLOOKUP($D247,tblPriorPrice,3)</f>
        <v>31</v>
      </c>
      <c r="K247" s="190" t="n">
        <f aca="false">L247-J247</f>
        <v>0</v>
      </c>
      <c r="L247" s="190" t="n">
        <f aca="true">L235+OFFSET($CG$27,$B247,$C247)</f>
        <v>31</v>
      </c>
      <c r="M247" s="96" t="n">
        <f aca="true">$L247+OFFSET($CU$27,$B247,$C247)</f>
        <v>26</v>
      </c>
      <c r="N247" s="97" t="n">
        <f aca="true">$L247+OFFSET($DI$27,$B247,$C247)</f>
        <v>53</v>
      </c>
      <c r="O247" s="59" t="n">
        <f aca="true">IF($A247="",0,INDEX(tblPosn,$A247,2))</f>
        <v>59229.625</v>
      </c>
      <c r="P247" s="59" t="n">
        <f aca="true">IF($A247="",0,INDEX(tblPosn,$A247,3))</f>
        <v>42306.875</v>
      </c>
      <c r="Q247" s="59" t="n">
        <f aca="true">IF($A247="",0,INDEX(tblPosn,$A247,4))</f>
        <v>11281.8330078125</v>
      </c>
      <c r="R247" s="59" t="n">
        <f aca="true">IF($A247="",0,INDEX(tblPosn,$A247,5))</f>
        <v>14102.2919921875</v>
      </c>
      <c r="S247" s="59" t="n">
        <f aca="true">IF($A247="",0,INDEX(tblPosn,$A247,6))</f>
        <v>0</v>
      </c>
      <c r="T247" s="98" t="n">
        <f aca="false">O247*F247+P247*K247+R247*AC247+S247*AH247/0.72+Q247*X247</f>
        <v>0</v>
      </c>
      <c r="V247" s="161" t="n">
        <f aca="false">D247</f>
        <v>43405</v>
      </c>
      <c r="W247" s="94" t="n">
        <f aca="false">VLOOKUP($D247,tblPriorPrice,4)</f>
        <v>31</v>
      </c>
      <c r="X247" s="95" t="n">
        <f aca="false">Y247-W247</f>
        <v>0</v>
      </c>
      <c r="Y247" s="191" t="n">
        <f aca="true">Y235+OFFSET($CG$50,$B247,$C247)</f>
        <v>31</v>
      </c>
      <c r="Z247" s="96" t="n">
        <f aca="true">Y247+OFFSET($CU$51,$B247,$C247)</f>
        <v>26</v>
      </c>
      <c r="AA247" s="177" t="n">
        <f aca="true">Y247+OFFSET($DI$51,$B247,$C247)</f>
        <v>64</v>
      </c>
      <c r="AB247" s="94" t="n">
        <f aca="false">VLOOKUP($D247,tblPriorPrice,5)</f>
        <v>31</v>
      </c>
      <c r="AC247" s="190" t="n">
        <f aca="false">AD247-AB247</f>
        <v>0</v>
      </c>
      <c r="AD247" s="191" t="n">
        <f aca="true">AD235+OFFSET($CG$73,$B247,$C247)</f>
        <v>31</v>
      </c>
      <c r="AE247" s="96" t="n">
        <f aca="true">AD247+OFFSET($CU$74,$B247,$C247)</f>
        <v>26</v>
      </c>
      <c r="AF247" s="177" t="n">
        <f aca="true">AD247+OFFSET($DI$74,$B247,$C247)</f>
        <v>64</v>
      </c>
      <c r="AG247" s="94" t="n">
        <f aca="false">VLOOKUP($D247,tblPriorPrice,6)</f>
        <v>1</v>
      </c>
      <c r="AH247" s="190" t="n">
        <f aca="false">AI247-AG247</f>
        <v>0</v>
      </c>
      <c r="AI247" s="191" t="n">
        <f aca="true">AI235+OFFSET($CG$96,$B247,$C247)</f>
        <v>1</v>
      </c>
      <c r="AJ247" s="96" t="n">
        <f aca="true">AI247+OFFSET($CU$96,$B247,$C247)</f>
        <v>1</v>
      </c>
      <c r="AK247" s="97" t="n">
        <f aca="true">AI247+OFFSET($DI$96,$B247,$C247)</f>
        <v>1</v>
      </c>
      <c r="AL247" s="178" t="n">
        <v>72</v>
      </c>
      <c r="AM247" s="165" t="n">
        <v>0.4</v>
      </c>
      <c r="AN247" s="167" t="n">
        <f aca="false">'[3]Pricing Summary'!$AM225</f>
        <v>0.17</v>
      </c>
      <c r="AO247" s="167" t="n">
        <f aca="false">0.9*AN247</f>
        <v>0.153</v>
      </c>
      <c r="AP247" s="166" t="n">
        <f aca="false">1.5*AN247</f>
        <v>0.255</v>
      </c>
      <c r="AQ247" s="167" t="n">
        <f aca="false">AN247</f>
        <v>0.17</v>
      </c>
      <c r="AR247" s="166" t="n">
        <f aca="false">0.8*AQ247</f>
        <v>0.136</v>
      </c>
      <c r="AS247" s="166" t="n">
        <f aca="false">1.2*AQ247</f>
        <v>0.204</v>
      </c>
      <c r="AT247" s="169" t="n">
        <f aca="false">IF(G247&lt;110,17.94063*(LN(G247/100))+6.727568*(LN(G247/100)^2)+15.06494,(-4.1*G247+2135)/100)*0.5</f>
        <v>1.64058990686036</v>
      </c>
      <c r="AU247" s="169" t="n">
        <f aca="false">(0.75*AT247-AT247)</f>
        <v>-0.410147476715089</v>
      </c>
      <c r="AV247" s="166" t="n">
        <f aca="false">AT247/0.5*1.25-AT247</f>
        <v>2.46088486029054</v>
      </c>
      <c r="AW247" s="168" t="n">
        <f aca="false">IF(L247&lt;15,(15*L247+375)/100,(-4.71*L247+670.65)/100)*0.5</f>
        <v>2.6232</v>
      </c>
      <c r="AX247" s="166" t="n">
        <f aca="false">0.75*AW247-AW247</f>
        <v>-0.6558</v>
      </c>
      <c r="AY247" s="166" t="n">
        <f aca="false">AW247/0.5*1.25-AW247</f>
        <v>3.9348</v>
      </c>
      <c r="AZ247" s="167" t="n">
        <v>0.5</v>
      </c>
      <c r="BA247" s="74"/>
      <c r="BQ247" s="108" t="n">
        <v>36907.7428240741</v>
      </c>
      <c r="BR247" s="109" t="n">
        <v>36907.743287037</v>
      </c>
      <c r="BS247" s="110" t="n">
        <v>43344</v>
      </c>
      <c r="BT247" s="111" t="n">
        <v>54166.625</v>
      </c>
      <c r="BU247" s="112" t="n">
        <v>42763.125</v>
      </c>
      <c r="BV247" s="112" t="n">
        <v>14254.375</v>
      </c>
      <c r="BW247" s="112" t="n">
        <v>17105.25</v>
      </c>
      <c r="BX247" s="113" t="n">
        <v>0</v>
      </c>
      <c r="BZ247" s="110" t="n">
        <v>43405</v>
      </c>
      <c r="CA247" s="185" t="n">
        <v>31</v>
      </c>
      <c r="CB247" s="116" t="n">
        <v>31</v>
      </c>
      <c r="CC247" s="181" t="n">
        <v>31</v>
      </c>
      <c r="CD247" s="181" t="n">
        <v>31</v>
      </c>
      <c r="CE247" s="117" t="n">
        <v>1</v>
      </c>
    </row>
    <row r="248" customFormat="false" ht="12.75" hidden="false" customHeight="false" outlineLevel="0" collapsed="false">
      <c r="A248" s="0" t="n">
        <f aca="true">IF(ISERROR(MATCH(D248,iRefDt,0)),"",MATCH(D248,iRefDt,0))</f>
        <v>248</v>
      </c>
      <c r="B248" s="92" t="n">
        <f aca="false">MATCH(YEAR(D248),iSpreads)</f>
        <v>18</v>
      </c>
      <c r="C248" s="0" t="n">
        <f aca="false">MONTH(D248)</f>
        <v>12</v>
      </c>
      <c r="D248" s="93" t="n">
        <f aca="false">DATE(YEAR(D247),MONTH(D247)+1,1)</f>
        <v>43435</v>
      </c>
      <c r="E248" s="94" t="n">
        <f aca="false">VLOOKUP($D248,tblPriorPrice,2)</f>
        <v>32</v>
      </c>
      <c r="F248" s="190" t="n">
        <f aca="false">G248-E248</f>
        <v>0</v>
      </c>
      <c r="G248" s="190" t="n">
        <f aca="true">G236+OFFSET($CG$4,$B248,$C248)</f>
        <v>32</v>
      </c>
      <c r="H248" s="96" t="n">
        <f aca="true">G248+OFFSET($CU$4,$B248,$C248)</f>
        <v>27</v>
      </c>
      <c r="I248" s="96" t="n">
        <f aca="true">G248+OFFSET($DI$4,$B248,$C248)</f>
        <v>64</v>
      </c>
      <c r="J248" s="94" t="n">
        <f aca="false">VLOOKUP($D248,tblPriorPrice,3)</f>
        <v>29</v>
      </c>
      <c r="K248" s="190" t="n">
        <f aca="false">L248-J248</f>
        <v>0</v>
      </c>
      <c r="L248" s="190" t="n">
        <f aca="true">L236+OFFSET($CG$27,$B248,$C248)</f>
        <v>29</v>
      </c>
      <c r="M248" s="96" t="n">
        <f aca="true">$L248+OFFSET($CU$27,$B248,$C248)</f>
        <v>24</v>
      </c>
      <c r="N248" s="97" t="n">
        <f aca="true">$L248+OFFSET($DI$27,$B248,$C248)</f>
        <v>51</v>
      </c>
      <c r="O248" s="59" t="n">
        <f aca="true">IF($A248="",0,INDEX(tblPosn,$A248,2))</f>
        <v>56102.3046875</v>
      </c>
      <c r="P248" s="59" t="n">
        <f aca="true">IF($A248="",0,INDEX(tblPosn,$A248,3))</f>
        <v>43479.2890625</v>
      </c>
      <c r="Q248" s="59" t="n">
        <f aca="true">IF($A248="",0,INDEX(tblPosn,$A248,4))</f>
        <v>14025.576171875</v>
      </c>
      <c r="R248" s="59" t="n">
        <f aca="true">IF($A248="",0,INDEX(tblPosn,$A248,5))</f>
        <v>16830.69140625</v>
      </c>
      <c r="S248" s="59" t="n">
        <f aca="true">IF($A248="",0,INDEX(tblPosn,$A248,6))</f>
        <v>0</v>
      </c>
      <c r="T248" s="98" t="n">
        <f aca="false">O248*F248+P248*K248+R248*AC248+S248*AH248/0.72+Q248*X248</f>
        <v>0</v>
      </c>
      <c r="V248" s="161" t="n">
        <f aca="false">D248</f>
        <v>43435</v>
      </c>
      <c r="W248" s="94" t="n">
        <f aca="false">VLOOKUP($D248,tblPriorPrice,4)</f>
        <v>29</v>
      </c>
      <c r="X248" s="95" t="n">
        <f aca="false">Y248-W248</f>
        <v>0</v>
      </c>
      <c r="Y248" s="191" t="n">
        <f aca="true">Y236+OFFSET($CG$50,$B248,$C248)</f>
        <v>29</v>
      </c>
      <c r="Z248" s="96" t="n">
        <f aca="true">Y248+OFFSET($CU$51,$B248,$C248)</f>
        <v>24</v>
      </c>
      <c r="AA248" s="177" t="n">
        <f aca="true">Y248+OFFSET($DI$51,$B248,$C248)</f>
        <v>62</v>
      </c>
      <c r="AB248" s="94" t="n">
        <f aca="false">VLOOKUP($D248,tblPriorPrice,5)</f>
        <v>29</v>
      </c>
      <c r="AC248" s="190" t="n">
        <f aca="false">AD248-AB248</f>
        <v>0</v>
      </c>
      <c r="AD248" s="191" t="n">
        <f aca="true">AD236+OFFSET($CG$73,$B248,$C248)</f>
        <v>29</v>
      </c>
      <c r="AE248" s="96" t="n">
        <f aca="true">AD248+OFFSET($CU$74,$B248,$C248)</f>
        <v>24</v>
      </c>
      <c r="AF248" s="177" t="n">
        <f aca="true">AD248+OFFSET($DI$74,$B248,$C248)</f>
        <v>62</v>
      </c>
      <c r="AG248" s="94" t="n">
        <f aca="false">VLOOKUP($D248,tblPriorPrice,6)</f>
        <v>1</v>
      </c>
      <c r="AH248" s="190" t="n">
        <f aca="false">AI248-AG248</f>
        <v>0</v>
      </c>
      <c r="AI248" s="191" t="n">
        <f aca="true">AI236+OFFSET($CG$96,$B248,$C248)</f>
        <v>1</v>
      </c>
      <c r="AJ248" s="96" t="n">
        <f aca="true">AI248+OFFSET($CU$96,$B248,$C248)</f>
        <v>1</v>
      </c>
      <c r="AK248" s="97" t="n">
        <f aca="true">AI248+OFFSET($DI$96,$B248,$C248)</f>
        <v>1</v>
      </c>
      <c r="AL248" s="178" t="n">
        <v>73</v>
      </c>
      <c r="AM248" s="165" t="n">
        <v>0.4</v>
      </c>
      <c r="AN248" s="167" t="n">
        <f aca="false">'[3]Pricing Summary'!$AM226</f>
        <v>0.17</v>
      </c>
      <c r="AO248" s="167" t="n">
        <f aca="false">0.9*AN248</f>
        <v>0.153</v>
      </c>
      <c r="AP248" s="166" t="n">
        <f aca="false">1.5*AN248</f>
        <v>0.255</v>
      </c>
      <c r="AQ248" s="167" t="n">
        <f aca="false">AN248</f>
        <v>0.17</v>
      </c>
      <c r="AR248" s="166" t="n">
        <f aca="false">0.8*AQ248</f>
        <v>0.136</v>
      </c>
      <c r="AS248" s="166" t="n">
        <f aca="false">1.2*AQ248</f>
        <v>0.204</v>
      </c>
      <c r="AT248" s="169" t="n">
        <f aca="false">IF(G248&lt;110,17.94063*(LN(G248/100))+6.727568*(LN(G248/100)^2)+15.06494,(-4.1*G248+2135)/100)*0.5</f>
        <v>1.67862159684781</v>
      </c>
      <c r="AU248" s="169" t="n">
        <f aca="false">(0.75*AT248-AT248)</f>
        <v>-0.419655399211954</v>
      </c>
      <c r="AV248" s="166" t="n">
        <f aca="false">AT248/0.5*1.25-AT248</f>
        <v>2.51793239527172</v>
      </c>
      <c r="AW248" s="168" t="n">
        <f aca="false">IF(L248&lt;15,(15*L248+375)/100,(-4.71*L248+670.65)/100)*0.5</f>
        <v>2.6703</v>
      </c>
      <c r="AX248" s="166" t="n">
        <f aca="false">0.75*AW248-AW248</f>
        <v>-0.667575</v>
      </c>
      <c r="AY248" s="166" t="n">
        <f aca="false">AW248/0.5*1.25-AW248</f>
        <v>4.00545</v>
      </c>
      <c r="AZ248" s="167" t="n">
        <v>0.5</v>
      </c>
      <c r="BA248" s="74"/>
      <c r="BQ248" s="108" t="n">
        <v>36907.7428240741</v>
      </c>
      <c r="BR248" s="109" t="n">
        <v>36907.743287037</v>
      </c>
      <c r="BS248" s="110" t="n">
        <v>43374</v>
      </c>
      <c r="BT248" s="111" t="n">
        <v>62379.734375</v>
      </c>
      <c r="BU248" s="112" t="n">
        <v>44126.57421875</v>
      </c>
      <c r="BV248" s="112" t="n">
        <v>11341.76953125</v>
      </c>
      <c r="BW248" s="112" t="n">
        <v>14177.2119140625</v>
      </c>
      <c r="BX248" s="113" t="n">
        <v>0</v>
      </c>
      <c r="BZ248" s="110" t="n">
        <v>43435</v>
      </c>
      <c r="CA248" s="185" t="n">
        <v>32</v>
      </c>
      <c r="CB248" s="116" t="n">
        <v>29</v>
      </c>
      <c r="CC248" s="181" t="n">
        <v>29</v>
      </c>
      <c r="CD248" s="181" t="n">
        <v>29</v>
      </c>
      <c r="CE248" s="117" t="n">
        <v>1</v>
      </c>
    </row>
    <row r="249" customFormat="false" ht="12.75" hidden="false" customHeight="false" outlineLevel="0" collapsed="false">
      <c r="A249" s="0" t="n">
        <f aca="true">IF(ISERROR(MATCH(D249,iRefDt,0)),"",MATCH(D249,iRefDt,0))</f>
        <v>249</v>
      </c>
      <c r="B249" s="92" t="n">
        <f aca="false">MATCH(YEAR(D249),iSpreads)</f>
        <v>19</v>
      </c>
      <c r="C249" s="0" t="n">
        <f aca="false">MONTH(D249)</f>
        <v>1</v>
      </c>
      <c r="D249" s="93" t="n">
        <f aca="false">DATE(YEAR(D248),MONTH(D248)+1,1)</f>
        <v>43466</v>
      </c>
      <c r="E249" s="94" t="n">
        <f aca="false">VLOOKUP($D249,tblPriorPrice,2)</f>
        <v>33</v>
      </c>
      <c r="F249" s="190" t="n">
        <f aca="false">G249-E249</f>
        <v>0</v>
      </c>
      <c r="G249" s="190" t="n">
        <f aca="true">G237+OFFSET($CG$4,$B249,$C249)</f>
        <v>33</v>
      </c>
      <c r="H249" s="96" t="n">
        <f aca="true">G249+OFFSET($CU$4,$B249,$C249)</f>
        <v>28</v>
      </c>
      <c r="I249" s="96" t="n">
        <f aca="true">G249+OFFSET($DI$4,$B249,$C249)</f>
        <v>66</v>
      </c>
      <c r="J249" s="94" t="n">
        <f aca="false">VLOOKUP($D249,tblPriorPrice,3)</f>
        <v>31</v>
      </c>
      <c r="K249" s="190" t="n">
        <f aca="false">L249-J249</f>
        <v>0</v>
      </c>
      <c r="L249" s="190" t="n">
        <f aca="true">L237+OFFSET($CG$27,$B249,$C249)</f>
        <v>31</v>
      </c>
      <c r="M249" s="96" t="n">
        <f aca="true">$L249+OFFSET($CU$27,$B249,$C249)</f>
        <v>26</v>
      </c>
      <c r="N249" s="97" t="n">
        <f aca="true">$L249+OFFSET($DI$27,$B249,$C249)</f>
        <v>54</v>
      </c>
      <c r="O249" s="59" t="n">
        <f aca="true">IF($A249="",0,INDEX(tblPosn,$A249,2))</f>
        <v>56828.3515625</v>
      </c>
      <c r="P249" s="59" t="n">
        <f aca="true">IF($A249="",0,INDEX(tblPosn,$A249,3))</f>
        <v>41944.734375</v>
      </c>
      <c r="Q249" s="59" t="n">
        <f aca="true">IF($A249="",0,INDEX(tblPosn,$A249,4))</f>
        <v>10824.4482421875</v>
      </c>
      <c r="R249" s="59" t="n">
        <f aca="true">IF($A249="",0,INDEX(tblPosn,$A249,5))</f>
        <v>16236.671875</v>
      </c>
      <c r="S249" s="59" t="n">
        <f aca="true">IF($A249="",0,INDEX(tblPosn,$A249,6))</f>
        <v>0</v>
      </c>
      <c r="T249" s="98" t="n">
        <f aca="false">O249*F249+P249*K249+R249*AC249+S249*AH249/0.72+Q249*X249</f>
        <v>0</v>
      </c>
      <c r="V249" s="161" t="n">
        <f aca="false">D249</f>
        <v>43466</v>
      </c>
      <c r="W249" s="94" t="n">
        <f aca="false">VLOOKUP($D249,tblPriorPrice,4)</f>
        <v>31</v>
      </c>
      <c r="X249" s="95" t="n">
        <f aca="false">Y249-W249</f>
        <v>0</v>
      </c>
      <c r="Y249" s="191" t="n">
        <f aca="true">Y237+OFFSET($CG$50,$B249,$C249)</f>
        <v>31</v>
      </c>
      <c r="Z249" s="96" t="n">
        <f aca="true">Y249+OFFSET($CU$51,$B249,$C249)</f>
        <v>26</v>
      </c>
      <c r="AA249" s="177" t="n">
        <f aca="true">Y249+OFFSET($DI$51,$B249,$C249)</f>
        <v>65</v>
      </c>
      <c r="AB249" s="94" t="n">
        <f aca="false">VLOOKUP($D249,tblPriorPrice,5)</f>
        <v>31</v>
      </c>
      <c r="AC249" s="190" t="n">
        <f aca="false">AD249-AB249</f>
        <v>0</v>
      </c>
      <c r="AD249" s="191" t="n">
        <f aca="true">AD237+OFFSET($CG$73,$B249,$C249)</f>
        <v>31</v>
      </c>
      <c r="AE249" s="96" t="n">
        <f aca="true">AD249+OFFSET($CU$74,$B249,$C249)</f>
        <v>26</v>
      </c>
      <c r="AF249" s="177" t="n">
        <f aca="true">AD249+OFFSET($DI$74,$B249,$C249)</f>
        <v>65</v>
      </c>
      <c r="AG249" s="94" t="n">
        <f aca="false">VLOOKUP($D249,tblPriorPrice,6)</f>
        <v>1</v>
      </c>
      <c r="AH249" s="190" t="n">
        <f aca="false">AI249-AG249</f>
        <v>0</v>
      </c>
      <c r="AI249" s="191" t="n">
        <f aca="true">AI237+OFFSET($CG$96,$B249,$C249)</f>
        <v>1</v>
      </c>
      <c r="AJ249" s="96" t="n">
        <f aca="true">AI249+OFFSET($CU$96,$B249,$C249)</f>
        <v>1</v>
      </c>
      <c r="AK249" s="97" t="n">
        <f aca="true">AI249+OFFSET($DI$96,$B249,$C249)</f>
        <v>1</v>
      </c>
      <c r="AL249" s="178" t="n">
        <v>73</v>
      </c>
      <c r="AM249" s="165" t="n">
        <v>0.4</v>
      </c>
      <c r="AN249" s="167" t="n">
        <f aca="false">'[3]Pricing Summary'!$AM227</f>
        <v>0.17</v>
      </c>
      <c r="AO249" s="167" t="n">
        <f aca="false">0.9*AN249</f>
        <v>0.153</v>
      </c>
      <c r="AP249" s="166" t="n">
        <f aca="false">1.5*AN249</f>
        <v>0.255</v>
      </c>
      <c r="AQ249" s="167" t="n">
        <f aca="false">AN249</f>
        <v>0.17</v>
      </c>
      <c r="AR249" s="166" t="n">
        <f aca="false">0.8*AQ249</f>
        <v>0.136</v>
      </c>
      <c r="AS249" s="166" t="n">
        <f aca="false">1.2*AQ249</f>
        <v>0.204</v>
      </c>
      <c r="AT249" s="169" t="n">
        <f aca="false">IF(G249&lt;110,17.94063*(LN(G249/100))+6.727568*(LN(G249/100)^2)+15.06494,(-4.1*G249+2135)/100)*0.5</f>
        <v>1.72195432632388</v>
      </c>
      <c r="AU249" s="169" t="n">
        <f aca="false">(0.75*AT249-AT249)</f>
        <v>-0.43048858158097</v>
      </c>
      <c r="AV249" s="166" t="n">
        <f aca="false">AT249/0.5*1.25-AT249</f>
        <v>2.58293148948582</v>
      </c>
      <c r="AW249" s="168" t="n">
        <f aca="false">IF(L249&lt;15,(15*L249+375)/100,(-4.71*L249+670.65)/100)*0.5</f>
        <v>2.6232</v>
      </c>
      <c r="AX249" s="166" t="n">
        <f aca="false">0.75*AW249-AW249</f>
        <v>-0.6558</v>
      </c>
      <c r="AY249" s="166" t="n">
        <f aca="false">AW249/0.5*1.25-AW249</f>
        <v>3.9348</v>
      </c>
      <c r="AZ249" s="167" t="n">
        <v>0.5</v>
      </c>
      <c r="BA249" s="74"/>
      <c r="BQ249" s="108" t="n">
        <v>36907.7428240741</v>
      </c>
      <c r="BR249" s="109" t="n">
        <v>36907.743287037</v>
      </c>
      <c r="BS249" s="110" t="n">
        <v>43405</v>
      </c>
      <c r="BT249" s="111" t="n">
        <v>59229.625</v>
      </c>
      <c r="BU249" s="112" t="n">
        <v>42306.875</v>
      </c>
      <c r="BV249" s="112" t="n">
        <v>11281.8330078125</v>
      </c>
      <c r="BW249" s="112" t="n">
        <v>14102.2919921875</v>
      </c>
      <c r="BX249" s="113" t="n">
        <v>0</v>
      </c>
      <c r="BZ249" s="110" t="n">
        <v>43466</v>
      </c>
      <c r="CA249" s="185" t="n">
        <v>33</v>
      </c>
      <c r="CB249" s="116" t="n">
        <v>31</v>
      </c>
      <c r="CC249" s="181" t="n">
        <v>31</v>
      </c>
      <c r="CD249" s="181" t="n">
        <v>31</v>
      </c>
      <c r="CE249" s="117" t="n">
        <v>1</v>
      </c>
    </row>
    <row r="250" customFormat="false" ht="12.75" hidden="false" customHeight="false" outlineLevel="0" collapsed="false">
      <c r="A250" s="0" t="n">
        <f aca="true">IF(ISERROR(MATCH(D250,iRefDt,0)),"",MATCH(D250,iRefDt,0))</f>
        <v>250</v>
      </c>
      <c r="B250" s="92" t="n">
        <f aca="false">MATCH(YEAR(D250),iSpreads)</f>
        <v>19</v>
      </c>
      <c r="C250" s="0" t="n">
        <f aca="false">MONTH(D250)</f>
        <v>2</v>
      </c>
      <c r="D250" s="93" t="n">
        <f aca="false">DATE(YEAR(D249),MONTH(D249)+1,1)</f>
        <v>43497</v>
      </c>
      <c r="E250" s="94" t="n">
        <f aca="false">VLOOKUP($D250,tblPriorPrice,2)</f>
        <v>30</v>
      </c>
      <c r="F250" s="190" t="n">
        <f aca="false">G250-E250</f>
        <v>0</v>
      </c>
      <c r="G250" s="190" t="n">
        <f aca="true">G238+OFFSET($CG$4,$B250,$C250)</f>
        <v>30</v>
      </c>
      <c r="H250" s="96" t="n">
        <f aca="true">G250+OFFSET($CU$4,$B250,$C250)</f>
        <v>25</v>
      </c>
      <c r="I250" s="96" t="n">
        <f aca="true">G250+OFFSET($DI$4,$B250,$C250)</f>
        <v>63</v>
      </c>
      <c r="J250" s="94" t="n">
        <f aca="false">VLOOKUP($D250,tblPriorPrice,3)</f>
        <v>30</v>
      </c>
      <c r="K250" s="190" t="n">
        <f aca="false">L250-J250</f>
        <v>0</v>
      </c>
      <c r="L250" s="190" t="n">
        <f aca="true">L238+OFFSET($CG$27,$B250,$C250)</f>
        <v>30</v>
      </c>
      <c r="M250" s="96" t="n">
        <f aca="true">$L250+OFFSET($CU$27,$B250,$C250)</f>
        <v>25</v>
      </c>
      <c r="N250" s="97" t="n">
        <f aca="true">$L250+OFFSET($DI$27,$B250,$C250)</f>
        <v>53</v>
      </c>
      <c r="O250" s="59" t="n">
        <f aca="true">IF($A250="",0,INDEX(tblPosn,$A250,2))</f>
        <v>51162.19140625</v>
      </c>
      <c r="P250" s="59" t="n">
        <f aca="true">IF($A250="",0,INDEX(tblPosn,$A250,3))</f>
        <v>37698.45703125</v>
      </c>
      <c r="Q250" s="59" t="n">
        <f aca="true">IF($A250="",0,INDEX(tblPosn,$A250,4))</f>
        <v>10770.9873046875</v>
      </c>
      <c r="R250" s="59" t="n">
        <f aca="true">IF($A250="",0,INDEX(tblPosn,$A250,5))</f>
        <v>13463.734375</v>
      </c>
      <c r="S250" s="59" t="n">
        <f aca="true">IF($A250="",0,INDEX(tblPosn,$A250,6))</f>
        <v>0</v>
      </c>
      <c r="T250" s="98" t="n">
        <f aca="false">O250*F250+P250*K250+R250*AC250+S250*AH250/0.72+Q250*X250</f>
        <v>0</v>
      </c>
      <c r="V250" s="161" t="n">
        <f aca="false">D250</f>
        <v>43497</v>
      </c>
      <c r="W250" s="94" t="n">
        <f aca="false">VLOOKUP($D250,tblPriorPrice,4)</f>
        <v>30</v>
      </c>
      <c r="X250" s="95" t="n">
        <f aca="false">Y250-W250</f>
        <v>0</v>
      </c>
      <c r="Y250" s="191" t="n">
        <f aca="true">Y238+OFFSET($CG$50,$B250,$C250)</f>
        <v>30</v>
      </c>
      <c r="Z250" s="96" t="n">
        <f aca="true">Y250+OFFSET($CU$51,$B250,$C250)</f>
        <v>25</v>
      </c>
      <c r="AA250" s="177" t="n">
        <f aca="true">Y250+OFFSET($DI$51,$B250,$C250)</f>
        <v>64</v>
      </c>
      <c r="AB250" s="94" t="n">
        <f aca="false">VLOOKUP($D250,tblPriorPrice,5)</f>
        <v>30</v>
      </c>
      <c r="AC250" s="190" t="n">
        <f aca="false">AD250-AB250</f>
        <v>0</v>
      </c>
      <c r="AD250" s="191" t="n">
        <f aca="true">AD238+OFFSET($CG$73,$B250,$C250)</f>
        <v>30</v>
      </c>
      <c r="AE250" s="96" t="n">
        <f aca="true">AD250+OFFSET($CU$74,$B250,$C250)</f>
        <v>25</v>
      </c>
      <c r="AF250" s="177" t="n">
        <f aca="true">AD250+OFFSET($DI$74,$B250,$C250)</f>
        <v>64</v>
      </c>
      <c r="AG250" s="94" t="n">
        <f aca="false">VLOOKUP($D250,tblPriorPrice,6)</f>
        <v>1</v>
      </c>
      <c r="AH250" s="190" t="n">
        <f aca="false">AI250-AG250</f>
        <v>0</v>
      </c>
      <c r="AI250" s="191" t="n">
        <f aca="true">AI238+OFFSET($CG$96,$B250,$C250)</f>
        <v>1</v>
      </c>
      <c r="AJ250" s="96" t="n">
        <f aca="true">AI250+OFFSET($CU$96,$B250,$C250)</f>
        <v>1</v>
      </c>
      <c r="AK250" s="97" t="n">
        <f aca="true">AI250+OFFSET($DI$96,$B250,$C250)</f>
        <v>1</v>
      </c>
      <c r="AL250" s="178" t="n">
        <v>73</v>
      </c>
      <c r="AM250" s="165" t="n">
        <v>0.4</v>
      </c>
      <c r="AN250" s="167" t="n">
        <f aca="false">'[3]Pricing Summary'!$AM228</f>
        <v>0.17</v>
      </c>
      <c r="AO250" s="167" t="n">
        <f aca="false">0.9*AN250</f>
        <v>0.153</v>
      </c>
      <c r="AP250" s="166" t="n">
        <f aca="false">1.5*AN250</f>
        <v>0.255</v>
      </c>
      <c r="AQ250" s="167" t="n">
        <f aca="false">AN250</f>
        <v>0.17</v>
      </c>
      <c r="AR250" s="166" t="n">
        <f aca="false">0.8*AQ250</f>
        <v>0.136</v>
      </c>
      <c r="AS250" s="166" t="n">
        <f aca="false">1.2*AQ250</f>
        <v>0.204</v>
      </c>
      <c r="AT250" s="169" t="n">
        <f aca="false">IF(G250&lt;110,17.94063*(LN(G250/100))+6.727568*(LN(G250/100)^2)+15.06494,(-4.1*G250+2135)/100)*0.5</f>
        <v>1.60842951845599</v>
      </c>
      <c r="AU250" s="169" t="n">
        <f aca="false">(0.75*AT250-AT250)</f>
        <v>-0.402107379613998</v>
      </c>
      <c r="AV250" s="166" t="n">
        <f aca="false">AT250/0.5*1.25-AT250</f>
        <v>2.41264427768399</v>
      </c>
      <c r="AW250" s="168" t="n">
        <f aca="false">IF(L250&lt;15,(15*L250+375)/100,(-4.71*L250+670.65)/100)*0.5</f>
        <v>2.64675</v>
      </c>
      <c r="AX250" s="166" t="n">
        <f aca="false">0.75*AW250-AW250</f>
        <v>-0.6616875</v>
      </c>
      <c r="AY250" s="166" t="n">
        <f aca="false">AW250/0.5*1.25-AW250</f>
        <v>3.970125</v>
      </c>
      <c r="AZ250" s="167" t="n">
        <v>0.5</v>
      </c>
      <c r="BA250" s="74"/>
      <c r="BQ250" s="108" t="n">
        <v>36907.7428240741</v>
      </c>
      <c r="BR250" s="109" t="n">
        <v>36907.743287037</v>
      </c>
      <c r="BS250" s="110" t="n">
        <v>43435</v>
      </c>
      <c r="BT250" s="111" t="n">
        <v>56102.3046875</v>
      </c>
      <c r="BU250" s="112" t="n">
        <v>43479.2890625</v>
      </c>
      <c r="BV250" s="112" t="n">
        <v>14025.576171875</v>
      </c>
      <c r="BW250" s="112" t="n">
        <v>16830.69140625</v>
      </c>
      <c r="BX250" s="113" t="n">
        <v>0</v>
      </c>
      <c r="BZ250" s="110" t="n">
        <v>43497</v>
      </c>
      <c r="CA250" s="185" t="n">
        <v>30</v>
      </c>
      <c r="CB250" s="116" t="n">
        <v>30</v>
      </c>
      <c r="CC250" s="181" t="n">
        <v>30</v>
      </c>
      <c r="CD250" s="181" t="n">
        <v>30</v>
      </c>
      <c r="CE250" s="117" t="n">
        <v>1</v>
      </c>
    </row>
    <row r="251" customFormat="false" ht="12.75" hidden="false" customHeight="false" outlineLevel="0" collapsed="false">
      <c r="A251" s="0" t="n">
        <f aca="true">IF(ISERROR(MATCH(D251,iRefDt,0)),"",MATCH(D251,iRefDt,0))</f>
        <v>251</v>
      </c>
      <c r="B251" s="92" t="n">
        <f aca="false">MATCH(YEAR(D251),iSpreads)</f>
        <v>19</v>
      </c>
      <c r="C251" s="0" t="n">
        <f aca="false">MONTH(D251)</f>
        <v>3</v>
      </c>
      <c r="D251" s="93" t="n">
        <f aca="false">DATE(YEAR(D250),MONTH(D250)+1,1)</f>
        <v>43525</v>
      </c>
      <c r="E251" s="94" t="n">
        <f aca="false">VLOOKUP($D251,tblPriorPrice,2)</f>
        <v>29</v>
      </c>
      <c r="F251" s="190" t="n">
        <f aca="false">G251-E251</f>
        <v>0</v>
      </c>
      <c r="G251" s="190" t="n">
        <f aca="true">G239+OFFSET($CG$4,$B251,$C251)</f>
        <v>29</v>
      </c>
      <c r="H251" s="96" t="n">
        <f aca="true">G251+OFFSET($CU$4,$B251,$C251)</f>
        <v>24</v>
      </c>
      <c r="I251" s="96" t="n">
        <f aca="true">G251+OFFSET($DI$4,$B251,$C251)</f>
        <v>62</v>
      </c>
      <c r="J251" s="94" t="n">
        <f aca="false">VLOOKUP($D251,tblPriorPrice,3)</f>
        <v>29</v>
      </c>
      <c r="K251" s="190" t="n">
        <f aca="false">L251-J251</f>
        <v>0</v>
      </c>
      <c r="L251" s="190" t="n">
        <f aca="true">L239+OFFSET($CG$27,$B251,$C251)</f>
        <v>29</v>
      </c>
      <c r="M251" s="96" t="n">
        <f aca="true">$L251+OFFSET($CU$27,$B251,$C251)</f>
        <v>24</v>
      </c>
      <c r="N251" s="97" t="n">
        <f aca="true">$L251+OFFSET($DI$27,$B251,$C251)</f>
        <v>52</v>
      </c>
      <c r="O251" s="59" t="n">
        <f aca="true">IF($A251="",0,INDEX(tblPosn,$A251,2))</f>
        <v>56235.828125</v>
      </c>
      <c r="P251" s="59" t="n">
        <f aca="true">IF($A251="",0,INDEX(tblPosn,$A251,3))</f>
        <v>41507.39453125</v>
      </c>
      <c r="Q251" s="59" t="n">
        <f aca="true">IF($A251="",0,INDEX(tblPosn,$A251,4))</f>
        <v>13389.4833984375</v>
      </c>
      <c r="R251" s="59" t="n">
        <f aca="true">IF($A251="",0,INDEX(tblPosn,$A251,5))</f>
        <v>13389.4833984375</v>
      </c>
      <c r="S251" s="59" t="n">
        <f aca="true">IF($A251="",0,INDEX(tblPosn,$A251,6))</f>
        <v>0</v>
      </c>
      <c r="T251" s="98" t="n">
        <f aca="false">O251*F251+P251*K251+R251*AC251+S251*AH251/0.72+Q251*X251</f>
        <v>0</v>
      </c>
      <c r="V251" s="161" t="n">
        <f aca="false">D251</f>
        <v>43525</v>
      </c>
      <c r="W251" s="94" t="n">
        <f aca="false">VLOOKUP($D251,tblPriorPrice,4)</f>
        <v>29</v>
      </c>
      <c r="X251" s="95" t="n">
        <f aca="false">Y251-W251</f>
        <v>0</v>
      </c>
      <c r="Y251" s="191" t="n">
        <f aca="true">Y239+OFFSET($CG$50,$B251,$C251)</f>
        <v>29</v>
      </c>
      <c r="Z251" s="96" t="n">
        <f aca="true">Y251+OFFSET($CU$51,$B251,$C251)</f>
        <v>24</v>
      </c>
      <c r="AA251" s="177" t="n">
        <f aca="true">Y251+OFFSET($DI$51,$B251,$C251)</f>
        <v>63</v>
      </c>
      <c r="AB251" s="94" t="n">
        <f aca="false">VLOOKUP($D251,tblPriorPrice,5)</f>
        <v>29</v>
      </c>
      <c r="AC251" s="190" t="n">
        <f aca="false">AD251-AB251</f>
        <v>0</v>
      </c>
      <c r="AD251" s="191" t="n">
        <f aca="true">AD239+OFFSET($CG$73,$B251,$C251)</f>
        <v>29</v>
      </c>
      <c r="AE251" s="96" t="n">
        <f aca="true">AD251+OFFSET($CU$74,$B251,$C251)</f>
        <v>24</v>
      </c>
      <c r="AF251" s="177" t="n">
        <f aca="true">AD251+OFFSET($DI$74,$B251,$C251)</f>
        <v>63</v>
      </c>
      <c r="AG251" s="94" t="n">
        <f aca="false">VLOOKUP($D251,tblPriorPrice,6)</f>
        <v>1</v>
      </c>
      <c r="AH251" s="190" t="n">
        <f aca="false">AI251-AG251</f>
        <v>0</v>
      </c>
      <c r="AI251" s="191" t="n">
        <f aca="true">AI239+OFFSET($CG$96,$B251,$C251)</f>
        <v>1</v>
      </c>
      <c r="AJ251" s="96" t="n">
        <f aca="true">AI251+OFFSET($CU$96,$B251,$C251)</f>
        <v>1</v>
      </c>
      <c r="AK251" s="97" t="n">
        <f aca="true">AI251+OFFSET($DI$96,$B251,$C251)</f>
        <v>1</v>
      </c>
      <c r="AL251" s="178" t="n">
        <v>74</v>
      </c>
      <c r="AM251" s="165" t="n">
        <v>0.4</v>
      </c>
      <c r="AN251" s="167" t="n">
        <f aca="false">'[3]Pricing Summary'!$AM229</f>
        <v>0.17</v>
      </c>
      <c r="AO251" s="167" t="n">
        <f aca="false">0.9*AN251</f>
        <v>0.153</v>
      </c>
      <c r="AP251" s="166" t="n">
        <f aca="false">1.5*AN251</f>
        <v>0.255</v>
      </c>
      <c r="AQ251" s="167" t="n">
        <f aca="false">AN251</f>
        <v>0.17</v>
      </c>
      <c r="AR251" s="166" t="n">
        <f aca="false">0.8*AQ251</f>
        <v>0.136</v>
      </c>
      <c r="AS251" s="166" t="n">
        <f aca="false">1.2*AQ251</f>
        <v>0.204</v>
      </c>
      <c r="AT251" s="169" t="n">
        <f aca="false">IF(G251&lt;110,17.94063*(LN(G251/100))+6.727568*(LN(G251/100)^2)+15.06494,(-4.1*G251+2135)/100)*0.5</f>
        <v>1.58278405940532</v>
      </c>
      <c r="AU251" s="169" t="n">
        <f aca="false">(0.75*AT251-AT251)</f>
        <v>-0.395696014851329</v>
      </c>
      <c r="AV251" s="166" t="n">
        <f aca="false">AT251/0.5*1.25-AT251</f>
        <v>2.37417608910797</v>
      </c>
      <c r="AW251" s="168" t="n">
        <f aca="false">IF(L251&lt;15,(15*L251+375)/100,(-4.71*L251+670.65)/100)*0.5</f>
        <v>2.6703</v>
      </c>
      <c r="AX251" s="166" t="n">
        <f aca="false">0.75*AW251-AW251</f>
        <v>-0.667575</v>
      </c>
      <c r="AY251" s="166" t="n">
        <f aca="false">AW251/0.5*1.25-AW251</f>
        <v>4.00545</v>
      </c>
      <c r="AZ251" s="167" t="n">
        <v>0.5</v>
      </c>
      <c r="BA251" s="74"/>
      <c r="BQ251" s="108" t="n">
        <v>36907.7428240741</v>
      </c>
      <c r="BR251" s="109" t="n">
        <v>36907.743287037</v>
      </c>
      <c r="BS251" s="110" t="n">
        <v>43466</v>
      </c>
      <c r="BT251" s="111" t="n">
        <v>56828.3515625</v>
      </c>
      <c r="BU251" s="112" t="n">
        <v>41944.734375</v>
      </c>
      <c r="BV251" s="112" t="n">
        <v>10824.4482421875</v>
      </c>
      <c r="BW251" s="112" t="n">
        <v>16236.671875</v>
      </c>
      <c r="BX251" s="113" t="n">
        <v>0</v>
      </c>
      <c r="BZ251" s="110" t="n">
        <v>43525</v>
      </c>
      <c r="CA251" s="185" t="n">
        <v>29</v>
      </c>
      <c r="CB251" s="116" t="n">
        <v>29</v>
      </c>
      <c r="CC251" s="181" t="n">
        <v>29</v>
      </c>
      <c r="CD251" s="181" t="n">
        <v>29</v>
      </c>
      <c r="CE251" s="117" t="n">
        <v>1</v>
      </c>
    </row>
    <row r="252" customFormat="false" ht="12.75" hidden="false" customHeight="false" outlineLevel="0" collapsed="false">
      <c r="A252" s="0" t="n">
        <f aca="true">IF(ISERROR(MATCH(D252,iRefDt,0)),"",MATCH(D252,iRefDt,0))</f>
        <v>252</v>
      </c>
      <c r="B252" s="92" t="n">
        <f aca="false">MATCH(YEAR(D252),iSpreads)</f>
        <v>19</v>
      </c>
      <c r="C252" s="0" t="n">
        <f aca="false">MONTH(D252)</f>
        <v>4</v>
      </c>
      <c r="D252" s="93" t="n">
        <f aca="false">DATE(YEAR(D251),MONTH(D251)+1,1)</f>
        <v>43556</v>
      </c>
      <c r="E252" s="94" t="n">
        <f aca="false">VLOOKUP($D252,tblPriorPrice,2)</f>
        <v>29</v>
      </c>
      <c r="F252" s="190" t="n">
        <f aca="false">G252-E252</f>
        <v>0</v>
      </c>
      <c r="G252" s="190" t="n">
        <f aca="true">G240+OFFSET($CG$4,$B252,$C252)</f>
        <v>29</v>
      </c>
      <c r="H252" s="96" t="n">
        <f aca="true">G252+OFFSET($CU$4,$B252,$C252)</f>
        <v>24</v>
      </c>
      <c r="I252" s="96" t="n">
        <f aca="true">G252+OFFSET($DI$4,$B252,$C252)</f>
        <v>62</v>
      </c>
      <c r="J252" s="94" t="n">
        <f aca="false">VLOOKUP($D252,tblPriorPrice,3)</f>
        <v>29</v>
      </c>
      <c r="K252" s="190" t="n">
        <f aca="false">L252-J252</f>
        <v>0</v>
      </c>
      <c r="L252" s="190" t="n">
        <f aca="true">L240+OFFSET($CG$27,$B252,$C252)</f>
        <v>29</v>
      </c>
      <c r="M252" s="96" t="n">
        <f aca="true">$L252+OFFSET($CU$27,$B252,$C252)</f>
        <v>24</v>
      </c>
      <c r="N252" s="97" t="n">
        <f aca="true">$L252+OFFSET($DI$27,$B252,$C252)</f>
        <v>52</v>
      </c>
      <c r="O252" s="59" t="n">
        <f aca="true">IF($A252="",0,INDEX(tblPosn,$A252,2))</f>
        <v>55940.6796875</v>
      </c>
      <c r="P252" s="59" t="n">
        <f aca="true">IF($A252="",0,INDEX(tblPosn,$A252,3))</f>
        <v>39791.13671875</v>
      </c>
      <c r="Q252" s="59" t="n">
        <f aca="true">IF($A252="",0,INDEX(tblPosn,$A252,4))</f>
        <v>10655.3671875</v>
      </c>
      <c r="R252" s="59" t="n">
        <f aca="true">IF($A252="",0,INDEX(tblPosn,$A252,5))</f>
        <v>13319.208984375</v>
      </c>
      <c r="S252" s="59" t="n">
        <f aca="true">IF($A252="",0,INDEX(tblPosn,$A252,6))</f>
        <v>0</v>
      </c>
      <c r="T252" s="98" t="n">
        <f aca="false">O252*F252+P252*K252+R252*AC252+S252*AH252/0.72+Q252*X252</f>
        <v>0</v>
      </c>
      <c r="V252" s="161" t="n">
        <f aca="false">D252</f>
        <v>43556</v>
      </c>
      <c r="W252" s="94" t="n">
        <f aca="false">VLOOKUP($D252,tblPriorPrice,4)</f>
        <v>29</v>
      </c>
      <c r="X252" s="95" t="n">
        <f aca="false">Y252-W252</f>
        <v>0</v>
      </c>
      <c r="Y252" s="191" t="n">
        <f aca="true">Y240+OFFSET($CG$50,$B252,$C252)</f>
        <v>29</v>
      </c>
      <c r="Z252" s="96" t="n">
        <f aca="true">Y252+OFFSET($CU$51,$B252,$C252)</f>
        <v>24</v>
      </c>
      <c r="AA252" s="177" t="n">
        <f aca="true">Y252+OFFSET($DI$51,$B252,$C252)</f>
        <v>63</v>
      </c>
      <c r="AB252" s="94" t="n">
        <f aca="false">VLOOKUP($D252,tblPriorPrice,5)</f>
        <v>29</v>
      </c>
      <c r="AC252" s="190" t="n">
        <f aca="false">AD252-AB252</f>
        <v>0</v>
      </c>
      <c r="AD252" s="191" t="n">
        <f aca="true">AD240+OFFSET($CG$73,$B252,$C252)</f>
        <v>29</v>
      </c>
      <c r="AE252" s="96" t="n">
        <f aca="true">AD252+OFFSET($CU$74,$B252,$C252)</f>
        <v>24</v>
      </c>
      <c r="AF252" s="177" t="n">
        <f aca="true">AD252+OFFSET($DI$74,$B252,$C252)</f>
        <v>63</v>
      </c>
      <c r="AG252" s="94" t="n">
        <f aca="false">VLOOKUP($D252,tblPriorPrice,6)</f>
        <v>1</v>
      </c>
      <c r="AH252" s="190" t="n">
        <f aca="false">AI252-AG252</f>
        <v>0</v>
      </c>
      <c r="AI252" s="191" t="n">
        <f aca="true">AI240+OFFSET($CG$96,$B252,$C252)</f>
        <v>1</v>
      </c>
      <c r="AJ252" s="96" t="n">
        <f aca="true">AI252+OFFSET($CU$96,$B252,$C252)</f>
        <v>1</v>
      </c>
      <c r="AK252" s="97" t="n">
        <f aca="true">AI252+OFFSET($DI$96,$B252,$C252)</f>
        <v>1</v>
      </c>
      <c r="AL252" s="178" t="n">
        <v>74</v>
      </c>
      <c r="AM252" s="165" t="n">
        <v>0.4</v>
      </c>
      <c r="AN252" s="167" t="n">
        <f aca="false">'[3]Pricing Summary'!$AM230</f>
        <v>0.17</v>
      </c>
      <c r="AO252" s="167" t="n">
        <f aca="false">0.9*AN252</f>
        <v>0.153</v>
      </c>
      <c r="AP252" s="166" t="n">
        <f aca="false">1.5*AN252</f>
        <v>0.255</v>
      </c>
      <c r="AQ252" s="167" t="n">
        <f aca="false">AN252</f>
        <v>0.17</v>
      </c>
      <c r="AR252" s="166" t="n">
        <f aca="false">0.8*AQ252</f>
        <v>0.136</v>
      </c>
      <c r="AS252" s="166" t="n">
        <f aca="false">1.2*AQ252</f>
        <v>0.204</v>
      </c>
      <c r="AT252" s="169" t="n">
        <f aca="false">IF(G252&lt;110,17.94063*(LN(G252/100))+6.727568*(LN(G252/100)^2)+15.06494,(-4.1*G252+2135)/100)*0.5</f>
        <v>1.58278405940532</v>
      </c>
      <c r="AU252" s="169" t="n">
        <f aca="false">(0.75*AT252-AT252)</f>
        <v>-0.395696014851329</v>
      </c>
      <c r="AV252" s="166" t="n">
        <f aca="false">AT252/0.5*1.25-AT252</f>
        <v>2.37417608910797</v>
      </c>
      <c r="AW252" s="168" t="n">
        <f aca="false">IF(L252&lt;15,(15*L252+375)/100,(-4.71*L252+670.65)/100)*0.5</f>
        <v>2.6703</v>
      </c>
      <c r="AX252" s="166" t="n">
        <f aca="false">0.75*AW252-AW252</f>
        <v>-0.667575</v>
      </c>
      <c r="AY252" s="166" t="n">
        <f aca="false">AW252/0.5*1.25-AW252</f>
        <v>4.00545</v>
      </c>
      <c r="AZ252" s="167" t="n">
        <v>0.5</v>
      </c>
      <c r="BA252" s="74"/>
      <c r="BQ252" s="108" t="n">
        <v>36907.7428240741</v>
      </c>
      <c r="BR252" s="109" t="n">
        <v>36907.743287037</v>
      </c>
      <c r="BS252" s="110" t="n">
        <v>43497</v>
      </c>
      <c r="BT252" s="111" t="n">
        <v>51162.19140625</v>
      </c>
      <c r="BU252" s="112" t="n">
        <v>37698.45703125</v>
      </c>
      <c r="BV252" s="112" t="n">
        <v>10770.9873046875</v>
      </c>
      <c r="BW252" s="112" t="n">
        <v>13463.734375</v>
      </c>
      <c r="BX252" s="113" t="n">
        <v>0</v>
      </c>
      <c r="BZ252" s="110" t="n">
        <v>43556</v>
      </c>
      <c r="CA252" s="185" t="n">
        <v>29</v>
      </c>
      <c r="CB252" s="116" t="n">
        <v>29</v>
      </c>
      <c r="CC252" s="181" t="n">
        <v>29</v>
      </c>
      <c r="CD252" s="181" t="n">
        <v>29</v>
      </c>
      <c r="CE252" s="117" t="n">
        <v>1</v>
      </c>
    </row>
    <row r="253" customFormat="false" ht="12.75" hidden="false" customHeight="false" outlineLevel="0" collapsed="false">
      <c r="A253" s="0" t="n">
        <f aca="true">IF(ISERROR(MATCH(D253,iRefDt,0)),"",MATCH(D253,iRefDt,0))</f>
        <v>253</v>
      </c>
      <c r="B253" s="92" t="n">
        <f aca="false">MATCH(YEAR(D253),iSpreads)</f>
        <v>19</v>
      </c>
      <c r="C253" s="0" t="n">
        <f aca="false">MONTH(D253)</f>
        <v>5</v>
      </c>
      <c r="D253" s="93" t="n">
        <f aca="false">DATE(YEAR(D252),MONTH(D252)+1,1)</f>
        <v>43586</v>
      </c>
      <c r="E253" s="94" t="n">
        <f aca="false">VLOOKUP($D253,tblPriorPrice,2)</f>
        <v>32</v>
      </c>
      <c r="F253" s="190" t="n">
        <f aca="false">G253-E253</f>
        <v>0</v>
      </c>
      <c r="G253" s="190" t="n">
        <f aca="true">G241+OFFSET($CG$4,$B253,$C253)</f>
        <v>32</v>
      </c>
      <c r="H253" s="96" t="n">
        <f aca="true">G253+OFFSET($CU$4,$B253,$C253)</f>
        <v>27</v>
      </c>
      <c r="I253" s="96" t="n">
        <f aca="true">G253+OFFSET($DI$4,$B253,$C253)</f>
        <v>65</v>
      </c>
      <c r="J253" s="94" t="n">
        <f aca="false">VLOOKUP($D253,tblPriorPrice,3)</f>
        <v>32</v>
      </c>
      <c r="K253" s="190" t="n">
        <f aca="false">L253-J253</f>
        <v>0</v>
      </c>
      <c r="L253" s="190" t="n">
        <f aca="true">L241+OFFSET($CG$27,$B253,$C253)</f>
        <v>32</v>
      </c>
      <c r="M253" s="96" t="n">
        <f aca="true">$L253+OFFSET($CU$27,$B253,$C253)</f>
        <v>27</v>
      </c>
      <c r="N253" s="97" t="n">
        <f aca="true">$L253+OFFSET($DI$27,$B253,$C253)</f>
        <v>55</v>
      </c>
      <c r="O253" s="59" t="n">
        <f aca="true">IF($A253="",0,INDEX(tblPosn,$A253,2))</f>
        <v>58283.78515625</v>
      </c>
      <c r="P253" s="59" t="n">
        <f aca="true">IF($A253="",0,INDEX(tblPosn,$A253,3))</f>
        <v>41063.578125</v>
      </c>
      <c r="Q253" s="59" t="n">
        <f aca="true">IF($A253="",0,INDEX(tblPosn,$A253,4))</f>
        <v>10597.0517578125</v>
      </c>
      <c r="R253" s="59" t="n">
        <f aca="true">IF($A253="",0,INDEX(tblPosn,$A253,5))</f>
        <v>13246.314453125</v>
      </c>
      <c r="S253" s="59" t="n">
        <f aca="true">IF($A253="",0,INDEX(tblPosn,$A253,6))</f>
        <v>0</v>
      </c>
      <c r="T253" s="98" t="n">
        <f aca="false">O253*F253+P253*K253+R253*AC253+S253*AH253/0.72+Q253*X253</f>
        <v>0</v>
      </c>
      <c r="V253" s="161" t="n">
        <f aca="false">D253</f>
        <v>43586</v>
      </c>
      <c r="W253" s="94" t="n">
        <f aca="false">VLOOKUP($D253,tblPriorPrice,4)</f>
        <v>32</v>
      </c>
      <c r="X253" s="95" t="n">
        <f aca="false">Y253-W253</f>
        <v>0</v>
      </c>
      <c r="Y253" s="191" t="n">
        <f aca="true">Y241+OFFSET($CG$50,$B253,$C253)</f>
        <v>32</v>
      </c>
      <c r="Z253" s="96" t="n">
        <f aca="true">Y253+OFFSET($CU$51,$B253,$C253)</f>
        <v>27</v>
      </c>
      <c r="AA253" s="177" t="n">
        <f aca="true">Y253+OFFSET($DI$51,$B253,$C253)</f>
        <v>66</v>
      </c>
      <c r="AB253" s="94" t="n">
        <f aca="false">VLOOKUP($D253,tblPriorPrice,5)</f>
        <v>32</v>
      </c>
      <c r="AC253" s="190" t="n">
        <f aca="false">AD253-AB253</f>
        <v>0</v>
      </c>
      <c r="AD253" s="191" t="n">
        <f aca="true">AD241+OFFSET($CG$73,$B253,$C253)</f>
        <v>32</v>
      </c>
      <c r="AE253" s="96" t="n">
        <f aca="true">AD253+OFFSET($CU$74,$B253,$C253)</f>
        <v>27</v>
      </c>
      <c r="AF253" s="177" t="n">
        <f aca="true">AD253+OFFSET($DI$74,$B253,$C253)</f>
        <v>66</v>
      </c>
      <c r="AG253" s="94" t="n">
        <f aca="false">VLOOKUP($D253,tblPriorPrice,6)</f>
        <v>1</v>
      </c>
      <c r="AH253" s="190" t="n">
        <f aca="false">AI253-AG253</f>
        <v>0</v>
      </c>
      <c r="AI253" s="191" t="n">
        <f aca="true">AI241+OFFSET($CG$96,$B253,$C253)</f>
        <v>1</v>
      </c>
      <c r="AJ253" s="96" t="n">
        <f aca="true">AI253+OFFSET($CU$96,$B253,$C253)</f>
        <v>1</v>
      </c>
      <c r="AK253" s="97" t="n">
        <f aca="true">AI253+OFFSET($DI$96,$B253,$C253)</f>
        <v>1</v>
      </c>
      <c r="AL253" s="178" t="n">
        <v>74</v>
      </c>
      <c r="AM253" s="165" t="n">
        <v>0.4</v>
      </c>
      <c r="AN253" s="167" t="n">
        <f aca="false">'[3]Pricing Summary'!$AM231</f>
        <v>0.17</v>
      </c>
      <c r="AO253" s="167" t="n">
        <f aca="false">0.9*AN253</f>
        <v>0.153</v>
      </c>
      <c r="AP253" s="166" t="n">
        <f aca="false">1.5*AN253</f>
        <v>0.255</v>
      </c>
      <c r="AQ253" s="167" t="n">
        <f aca="false">AN253</f>
        <v>0.17</v>
      </c>
      <c r="AR253" s="166" t="n">
        <f aca="false">0.8*AQ253</f>
        <v>0.136</v>
      </c>
      <c r="AS253" s="166" t="n">
        <f aca="false">1.2*AQ253</f>
        <v>0.204</v>
      </c>
      <c r="AT253" s="169" t="n">
        <f aca="false">IF(G253&lt;110,17.94063*(LN(G253/100))+6.727568*(LN(G253/100)^2)+15.06494,(-4.1*G253+2135)/100)*0.5</f>
        <v>1.67862159684781</v>
      </c>
      <c r="AU253" s="169" t="n">
        <f aca="false">(0.75*AT253-AT253)</f>
        <v>-0.419655399211954</v>
      </c>
      <c r="AV253" s="166" t="n">
        <f aca="false">AT253/0.5*1.25-AT253</f>
        <v>2.51793239527172</v>
      </c>
      <c r="AW253" s="168" t="n">
        <f aca="false">IF(L253&lt;15,(15*L253+375)/100,(-4.71*L253+670.65)/100)*0.5</f>
        <v>2.59965</v>
      </c>
      <c r="AX253" s="166" t="n">
        <f aca="false">0.75*AW253-AW253</f>
        <v>-0.6499125</v>
      </c>
      <c r="AY253" s="166" t="n">
        <f aca="false">AW253/0.5*1.25-AW253</f>
        <v>3.899475</v>
      </c>
      <c r="AZ253" s="167" t="n">
        <v>0.5</v>
      </c>
      <c r="BA253" s="74"/>
      <c r="BQ253" s="108" t="n">
        <v>36907.7428240741</v>
      </c>
      <c r="BR253" s="109" t="n">
        <v>36907.743287037</v>
      </c>
      <c r="BS253" s="110" t="n">
        <v>43525</v>
      </c>
      <c r="BT253" s="111" t="n">
        <v>56235.828125</v>
      </c>
      <c r="BU253" s="112" t="n">
        <v>41507.39453125</v>
      </c>
      <c r="BV253" s="112" t="n">
        <v>13389.4833984375</v>
      </c>
      <c r="BW253" s="112" t="n">
        <v>13389.4833984375</v>
      </c>
      <c r="BX253" s="113" t="n">
        <v>0</v>
      </c>
      <c r="BZ253" s="110" t="n">
        <v>43586</v>
      </c>
      <c r="CA253" s="185" t="n">
        <v>32</v>
      </c>
      <c r="CB253" s="116" t="n">
        <v>32</v>
      </c>
      <c r="CC253" s="181" t="n">
        <v>32</v>
      </c>
      <c r="CD253" s="181" t="n">
        <v>32</v>
      </c>
      <c r="CE253" s="117" t="n">
        <v>1</v>
      </c>
    </row>
    <row r="254" customFormat="false" ht="12.75" hidden="false" customHeight="false" outlineLevel="0" collapsed="false">
      <c r="A254" s="0" t="n">
        <f aca="true">IF(ISERROR(MATCH(D254,iRefDt,0)),"",MATCH(D254,iRefDt,0))</f>
        <v>254</v>
      </c>
      <c r="B254" s="92" t="n">
        <f aca="false">MATCH(YEAR(D254),iSpreads)</f>
        <v>19</v>
      </c>
      <c r="C254" s="0" t="n">
        <f aca="false">MONTH(D254)</f>
        <v>6</v>
      </c>
      <c r="D254" s="93" t="n">
        <f aca="false">DATE(YEAR(D253),MONTH(D253)+1,1)</f>
        <v>43617</v>
      </c>
      <c r="E254" s="94" t="n">
        <f aca="false">VLOOKUP($D254,tblPriorPrice,2)</f>
        <v>39</v>
      </c>
      <c r="F254" s="190" t="n">
        <f aca="false">G254-E254</f>
        <v>0</v>
      </c>
      <c r="G254" s="190" t="n">
        <f aca="true">G242+OFFSET($CG$4,$B254,$C254)</f>
        <v>39</v>
      </c>
      <c r="H254" s="96" t="n">
        <f aca="true">G254+OFFSET($CU$4,$B254,$C254)</f>
        <v>34</v>
      </c>
      <c r="I254" s="96" t="n">
        <f aca="true">G254+OFFSET($DI$4,$B254,$C254)</f>
        <v>72</v>
      </c>
      <c r="J254" s="94" t="n">
        <f aca="false">VLOOKUP($D254,tblPriorPrice,3)</f>
        <v>39</v>
      </c>
      <c r="K254" s="190" t="n">
        <f aca="false">L254-J254</f>
        <v>0</v>
      </c>
      <c r="L254" s="190" t="n">
        <f aca="true">L242+OFFSET($CG$27,$B254,$C254)</f>
        <v>39</v>
      </c>
      <c r="M254" s="96" t="n">
        <f aca="true">$L254+OFFSET($CU$27,$B254,$C254)</f>
        <v>34</v>
      </c>
      <c r="N254" s="97" t="n">
        <f aca="true">$L254+OFFSET($DI$27,$B254,$C254)</f>
        <v>62</v>
      </c>
      <c r="O254" s="59" t="n">
        <f aca="true">IF($A254="",0,INDEX(tblPosn,$A254,2))</f>
        <v>52705.7265625</v>
      </c>
      <c r="P254" s="59" t="n">
        <f aca="true">IF($A254="",0,INDEX(tblPosn,$A254,3))</f>
        <v>39529.296875</v>
      </c>
      <c r="Q254" s="59" t="n">
        <f aca="true">IF($A254="",0,INDEX(tblPosn,$A254,4))</f>
        <v>13176.431640625</v>
      </c>
      <c r="R254" s="59" t="n">
        <f aca="true">IF($A254="",0,INDEX(tblPosn,$A254,5))</f>
        <v>13176.431640625</v>
      </c>
      <c r="S254" s="59" t="n">
        <f aca="true">IF($A254="",0,INDEX(tblPosn,$A254,6))</f>
        <v>0</v>
      </c>
      <c r="T254" s="98" t="n">
        <f aca="false">O254*F254+P254*K254+R254*AC254+S254*AH254/0.72+Q254*X254</f>
        <v>0</v>
      </c>
      <c r="V254" s="161" t="n">
        <f aca="false">D254</f>
        <v>43617</v>
      </c>
      <c r="W254" s="94" t="n">
        <f aca="false">VLOOKUP($D254,tblPriorPrice,4)</f>
        <v>39</v>
      </c>
      <c r="X254" s="95" t="n">
        <f aca="false">Y254-W254</f>
        <v>0</v>
      </c>
      <c r="Y254" s="191" t="n">
        <f aca="true">Y242+OFFSET($CG$50,$B254,$C254)</f>
        <v>39</v>
      </c>
      <c r="Z254" s="96" t="n">
        <f aca="true">Y254+OFFSET($CU$51,$B254,$C254)</f>
        <v>34</v>
      </c>
      <c r="AA254" s="177" t="n">
        <f aca="true">Y254+OFFSET($DI$51,$B254,$C254)</f>
        <v>73</v>
      </c>
      <c r="AB254" s="94" t="n">
        <f aca="false">VLOOKUP($D254,tblPriorPrice,5)</f>
        <v>39</v>
      </c>
      <c r="AC254" s="190" t="n">
        <f aca="false">AD254-AB254</f>
        <v>0</v>
      </c>
      <c r="AD254" s="191" t="n">
        <f aca="true">AD242+OFFSET($CG$73,$B254,$C254)</f>
        <v>39</v>
      </c>
      <c r="AE254" s="96" t="n">
        <f aca="true">AD254+OFFSET($CU$74,$B254,$C254)</f>
        <v>34</v>
      </c>
      <c r="AF254" s="177" t="n">
        <f aca="true">AD254+OFFSET($DI$74,$B254,$C254)</f>
        <v>73</v>
      </c>
      <c r="AG254" s="94" t="n">
        <f aca="false">VLOOKUP($D254,tblPriorPrice,6)</f>
        <v>1</v>
      </c>
      <c r="AH254" s="190" t="n">
        <f aca="false">AI254-AG254</f>
        <v>0</v>
      </c>
      <c r="AI254" s="191" t="n">
        <f aca="true">AI242+OFFSET($CG$96,$B254,$C254)</f>
        <v>1</v>
      </c>
      <c r="AJ254" s="96" t="n">
        <f aca="true">AI254+OFFSET($CU$96,$B254,$C254)</f>
        <v>1</v>
      </c>
      <c r="AK254" s="97" t="n">
        <f aca="true">AI254+OFFSET($DI$96,$B254,$C254)</f>
        <v>1</v>
      </c>
      <c r="AL254" s="178" t="n">
        <v>74</v>
      </c>
      <c r="AM254" s="165" t="n">
        <v>0.4</v>
      </c>
      <c r="AN254" s="167" t="n">
        <f aca="false">'[3]Pricing Summary'!$AM232</f>
        <v>0.17</v>
      </c>
      <c r="AO254" s="167" t="n">
        <f aca="false">0.9*AN254</f>
        <v>0.153</v>
      </c>
      <c r="AP254" s="166" t="n">
        <f aca="false">1.5*AN254</f>
        <v>0.255</v>
      </c>
      <c r="AQ254" s="167" t="n">
        <f aca="false">AN254</f>
        <v>0.17</v>
      </c>
      <c r="AR254" s="166" t="n">
        <f aca="false">0.8*AQ254</f>
        <v>0.136</v>
      </c>
      <c r="AS254" s="166" t="n">
        <f aca="false">1.2*AQ254</f>
        <v>0.204</v>
      </c>
      <c r="AT254" s="169" t="n">
        <f aca="false">IF(G254&lt;110,17.94063*(LN(G254/100))+6.727568*(LN(G254/100)^2)+15.06494,(-4.1*G254+2135)/100)*0.5</f>
        <v>2.06836530423771</v>
      </c>
      <c r="AU254" s="169" t="n">
        <f aca="false">(0.75*AT254-AT254)</f>
        <v>-0.517091326059428</v>
      </c>
      <c r="AV254" s="166" t="n">
        <f aca="false">AT254/0.5*1.25-AT254</f>
        <v>3.10254795635657</v>
      </c>
      <c r="AW254" s="168" t="n">
        <f aca="false">IF(L254&lt;15,(15*L254+375)/100,(-4.71*L254+670.65)/100)*0.5</f>
        <v>2.4348</v>
      </c>
      <c r="AX254" s="166" t="n">
        <f aca="false">0.75*AW254-AW254</f>
        <v>-0.6087</v>
      </c>
      <c r="AY254" s="166" t="n">
        <f aca="false">AW254/0.5*1.25-AW254</f>
        <v>3.6522</v>
      </c>
      <c r="AZ254" s="167" t="n">
        <v>0.5</v>
      </c>
      <c r="BA254" s="74"/>
      <c r="BQ254" s="108" t="n">
        <v>36907.7428240741</v>
      </c>
      <c r="BR254" s="109" t="n">
        <v>36907.743287037</v>
      </c>
      <c r="BS254" s="110" t="n">
        <v>43556</v>
      </c>
      <c r="BT254" s="111" t="n">
        <v>55940.6796875</v>
      </c>
      <c r="BU254" s="112" t="n">
        <v>39791.13671875</v>
      </c>
      <c r="BV254" s="112" t="n">
        <v>10655.3671875</v>
      </c>
      <c r="BW254" s="112" t="n">
        <v>13319.208984375</v>
      </c>
      <c r="BX254" s="113" t="n">
        <v>0</v>
      </c>
      <c r="BZ254" s="110" t="n">
        <v>43617</v>
      </c>
      <c r="CA254" s="185" t="n">
        <v>39</v>
      </c>
      <c r="CB254" s="116" t="n">
        <v>39</v>
      </c>
      <c r="CC254" s="181" t="n">
        <v>39</v>
      </c>
      <c r="CD254" s="181" t="n">
        <v>39</v>
      </c>
      <c r="CE254" s="117" t="n">
        <v>1</v>
      </c>
    </row>
    <row r="255" customFormat="false" ht="12.75" hidden="false" customHeight="false" outlineLevel="0" collapsed="false">
      <c r="A255" s="0" t="n">
        <f aca="true">IF(ISERROR(MATCH(D255,iRefDt,0)),"",MATCH(D255,iRefDt,0))</f>
        <v>255</v>
      </c>
      <c r="B255" s="92" t="n">
        <f aca="false">MATCH(YEAR(D255),iSpreads)</f>
        <v>19</v>
      </c>
      <c r="C255" s="0" t="n">
        <f aca="false">MONTH(D255)</f>
        <v>7</v>
      </c>
      <c r="D255" s="93" t="n">
        <f aca="false">DATE(YEAR(D254),MONTH(D254)+1,1)</f>
        <v>43647</v>
      </c>
      <c r="E255" s="94" t="n">
        <f aca="false">VLOOKUP($D255,tblPriorPrice,2)</f>
        <v>39</v>
      </c>
      <c r="F255" s="190" t="n">
        <f aca="false">G255-E255</f>
        <v>0</v>
      </c>
      <c r="G255" s="190" t="n">
        <f aca="true">G243+OFFSET($CG$4,$B255,$C255)</f>
        <v>39</v>
      </c>
      <c r="H255" s="96" t="n">
        <f aca="true">G255+OFFSET($CU$4,$B255,$C255)</f>
        <v>34</v>
      </c>
      <c r="I255" s="96" t="n">
        <f aca="true">G255+OFFSET($DI$4,$B255,$C255)</f>
        <v>72</v>
      </c>
      <c r="J255" s="94" t="n">
        <f aca="false">VLOOKUP($D255,tblPriorPrice,3)</f>
        <v>39</v>
      </c>
      <c r="K255" s="190" t="n">
        <f aca="false">L255-J255</f>
        <v>0</v>
      </c>
      <c r="L255" s="190" t="n">
        <f aca="true">L243+OFFSET($CG$27,$B255,$C255)</f>
        <v>39</v>
      </c>
      <c r="M255" s="96" t="n">
        <f aca="true">$L255+OFFSET($CU$27,$B255,$C255)</f>
        <v>34</v>
      </c>
      <c r="N255" s="97" t="n">
        <f aca="true">$L255+OFFSET($DI$27,$B255,$C255)</f>
        <v>62</v>
      </c>
      <c r="O255" s="59" t="n">
        <f aca="true">IF($A255="",0,INDEX(tblPosn,$A255,2))</f>
        <v>57657.41015625</v>
      </c>
      <c r="P255" s="59" t="n">
        <f aca="true">IF($A255="",0,INDEX(tblPosn,$A255,3))</f>
        <v>40622.265625</v>
      </c>
      <c r="Q255" s="59" t="n">
        <f aca="true">IF($A255="",0,INDEX(tblPosn,$A255,4))</f>
        <v>10483.166015625</v>
      </c>
      <c r="R255" s="59" t="n">
        <f aca="true">IF($A255="",0,INDEX(tblPosn,$A255,5))</f>
        <v>13103.95703125</v>
      </c>
      <c r="S255" s="59" t="n">
        <f aca="true">IF($A255="",0,INDEX(tblPosn,$A255,6))</f>
        <v>0</v>
      </c>
      <c r="T255" s="98" t="n">
        <f aca="false">O255*F255+P255*K255+R255*AC255+S255*AH255/0.72+Q255*X255</f>
        <v>0</v>
      </c>
      <c r="V255" s="161" t="n">
        <f aca="false">D255</f>
        <v>43647</v>
      </c>
      <c r="W255" s="94" t="n">
        <f aca="false">VLOOKUP($D255,tblPriorPrice,4)</f>
        <v>39</v>
      </c>
      <c r="X255" s="95" t="n">
        <f aca="false">Y255-W255</f>
        <v>0</v>
      </c>
      <c r="Y255" s="191" t="n">
        <f aca="true">Y243+OFFSET($CG$50,$B255,$C255)</f>
        <v>39</v>
      </c>
      <c r="Z255" s="96" t="n">
        <f aca="true">Y255+OFFSET($CU$51,$B255,$C255)</f>
        <v>34</v>
      </c>
      <c r="AA255" s="177" t="n">
        <f aca="true">Y255+OFFSET($DI$51,$B255,$C255)</f>
        <v>73</v>
      </c>
      <c r="AB255" s="94" t="n">
        <f aca="false">VLOOKUP($D255,tblPriorPrice,5)</f>
        <v>39</v>
      </c>
      <c r="AC255" s="190" t="n">
        <f aca="false">AD255-AB255</f>
        <v>0</v>
      </c>
      <c r="AD255" s="191" t="n">
        <f aca="true">AD243+OFFSET($CG$73,$B255,$C255)</f>
        <v>39</v>
      </c>
      <c r="AE255" s="96" t="n">
        <f aca="true">AD255+OFFSET($CU$74,$B255,$C255)</f>
        <v>34</v>
      </c>
      <c r="AF255" s="177" t="n">
        <f aca="true">AD255+OFFSET($DI$74,$B255,$C255)</f>
        <v>73</v>
      </c>
      <c r="AG255" s="94" t="n">
        <f aca="false">VLOOKUP($D255,tblPriorPrice,6)</f>
        <v>1</v>
      </c>
      <c r="AH255" s="190" t="n">
        <f aca="false">AI255-AG255</f>
        <v>0</v>
      </c>
      <c r="AI255" s="191" t="n">
        <f aca="true">AI243+OFFSET($CG$96,$B255,$C255)</f>
        <v>1</v>
      </c>
      <c r="AJ255" s="96" t="n">
        <f aca="true">AI255+OFFSET($CU$96,$B255,$C255)</f>
        <v>1</v>
      </c>
      <c r="AK255" s="97" t="n">
        <f aca="true">AI255+OFFSET($DI$96,$B255,$C255)</f>
        <v>1</v>
      </c>
      <c r="AL255" s="178" t="n">
        <v>74</v>
      </c>
      <c r="AM255" s="165" t="n">
        <v>0.4</v>
      </c>
      <c r="AN255" s="167" t="n">
        <f aca="false">'[3]Pricing Summary'!$AM233</f>
        <v>0.17</v>
      </c>
      <c r="AO255" s="167" t="n">
        <f aca="false">0.9*AN255</f>
        <v>0.153</v>
      </c>
      <c r="AP255" s="166" t="n">
        <f aca="false">1.5*AN255</f>
        <v>0.255</v>
      </c>
      <c r="AQ255" s="167" t="n">
        <f aca="false">AN255</f>
        <v>0.17</v>
      </c>
      <c r="AR255" s="166" t="n">
        <f aca="false">0.8*AQ255</f>
        <v>0.136</v>
      </c>
      <c r="AS255" s="166" t="n">
        <f aca="false">1.2*AQ255</f>
        <v>0.204</v>
      </c>
      <c r="AT255" s="169" t="n">
        <f aca="false">IF(G255&lt;110,17.94063*(LN(G255/100))+6.727568*(LN(G255/100)^2)+15.06494,(-4.1*G255+2135)/100)*0.5</f>
        <v>2.06836530423771</v>
      </c>
      <c r="AU255" s="169" t="n">
        <f aca="false">(0.75*AT255-AT255)</f>
        <v>-0.517091326059428</v>
      </c>
      <c r="AV255" s="166" t="n">
        <f aca="false">AT255/0.5*1.25-AT255</f>
        <v>3.10254795635657</v>
      </c>
      <c r="AW255" s="168" t="n">
        <f aca="false">IF(L255&lt;15,(15*L255+375)/100,(-4.71*L255+670.65)/100)*0.5</f>
        <v>2.4348</v>
      </c>
      <c r="AX255" s="166" t="n">
        <f aca="false">0.75*AW255-AW255</f>
        <v>-0.6087</v>
      </c>
      <c r="AY255" s="166" t="n">
        <f aca="false">AW255/0.5*1.25-AW255</f>
        <v>3.6522</v>
      </c>
      <c r="AZ255" s="167" t="n">
        <v>0.5</v>
      </c>
      <c r="BA255" s="74"/>
      <c r="BQ255" s="108" t="n">
        <v>36907.7428240741</v>
      </c>
      <c r="BR255" s="109" t="n">
        <v>36907.743287037</v>
      </c>
      <c r="BS255" s="110" t="n">
        <v>43586</v>
      </c>
      <c r="BT255" s="111" t="n">
        <v>58283.78515625</v>
      </c>
      <c r="BU255" s="112" t="n">
        <v>41063.578125</v>
      </c>
      <c r="BV255" s="112" t="n">
        <v>10597.0517578125</v>
      </c>
      <c r="BW255" s="112" t="n">
        <v>13246.314453125</v>
      </c>
      <c r="BX255" s="113" t="n">
        <v>0</v>
      </c>
      <c r="BZ255" s="110" t="n">
        <v>43647</v>
      </c>
      <c r="CA255" s="185" t="n">
        <v>39</v>
      </c>
      <c r="CB255" s="116" t="n">
        <v>39</v>
      </c>
      <c r="CC255" s="181" t="n">
        <v>39</v>
      </c>
      <c r="CD255" s="181" t="n">
        <v>39</v>
      </c>
      <c r="CE255" s="117" t="n">
        <v>1</v>
      </c>
    </row>
    <row r="256" customFormat="false" ht="12.75" hidden="false" customHeight="false" outlineLevel="0" collapsed="false">
      <c r="A256" s="0" t="n">
        <f aca="true">IF(ISERROR(MATCH(D256,iRefDt,0)),"",MATCH(D256,iRefDt,0))</f>
        <v>256</v>
      </c>
      <c r="B256" s="92" t="n">
        <f aca="false">MATCH(YEAR(D256),iSpreads)</f>
        <v>19</v>
      </c>
      <c r="C256" s="0" t="n">
        <f aca="false">MONTH(D256)</f>
        <v>8</v>
      </c>
      <c r="D256" s="93" t="n">
        <f aca="false">DATE(YEAR(D255),MONTH(D255)+1,1)</f>
        <v>43678</v>
      </c>
      <c r="E256" s="94" t="n">
        <f aca="false">VLOOKUP($D256,tblPriorPrice,2)</f>
        <v>41</v>
      </c>
      <c r="F256" s="190" t="n">
        <f aca="false">G256-E256</f>
        <v>0</v>
      </c>
      <c r="G256" s="190" t="n">
        <f aca="true">G244+OFFSET($CG$4,$B256,$C256)</f>
        <v>41</v>
      </c>
      <c r="H256" s="96" t="n">
        <f aca="true">G256+OFFSET($CU$4,$B256,$C256)</f>
        <v>36</v>
      </c>
      <c r="I256" s="96" t="n">
        <f aca="true">G256+OFFSET($DI$4,$B256,$C256)</f>
        <v>74</v>
      </c>
      <c r="J256" s="94" t="n">
        <f aca="false">VLOOKUP($D256,tblPriorPrice,3)</f>
        <v>41</v>
      </c>
      <c r="K256" s="190" t="n">
        <f aca="false">L256-J256</f>
        <v>0</v>
      </c>
      <c r="L256" s="190" t="n">
        <f aca="true">L244+OFFSET($CG$27,$B256,$C256)</f>
        <v>41</v>
      </c>
      <c r="M256" s="96" t="n">
        <f aca="true">$L256+OFFSET($CU$27,$B256,$C256)</f>
        <v>36</v>
      </c>
      <c r="N256" s="97" t="n">
        <f aca="true">$L256+OFFSET($DI$27,$B256,$C256)</f>
        <v>64</v>
      </c>
      <c r="O256" s="59" t="n">
        <f aca="true">IF($A256="",0,INDEX(tblPosn,$A256,2))</f>
        <v>57344.1640625</v>
      </c>
      <c r="P256" s="59" t="n">
        <f aca="true">IF($A256="",0,INDEX(tblPosn,$A256,3))</f>
        <v>40401.5703125</v>
      </c>
      <c r="Q256" s="59" t="n">
        <f aca="true">IF($A256="",0,INDEX(tblPosn,$A256,4))</f>
        <v>13032.7646484375</v>
      </c>
      <c r="R256" s="59" t="n">
        <f aca="true">IF($A256="",0,INDEX(tblPosn,$A256,5))</f>
        <v>10426.2119140625</v>
      </c>
      <c r="T256" s="98" t="n">
        <f aca="false">O256*F256+P256*K256+R256*AC256+S256*AH256/0.72+Q256*X256</f>
        <v>0</v>
      </c>
      <c r="V256" s="161" t="n">
        <f aca="false">D256</f>
        <v>43678</v>
      </c>
      <c r="W256" s="94" t="n">
        <f aca="false">VLOOKUP($D256,tblPriorPrice,4)</f>
        <v>41</v>
      </c>
      <c r="X256" s="95" t="n">
        <f aca="false">Y256-W256</f>
        <v>0</v>
      </c>
      <c r="Y256" s="191" t="n">
        <f aca="true">Y244+OFFSET($CG$50,$B256,$C256)</f>
        <v>41</v>
      </c>
      <c r="Z256" s="96" t="n">
        <f aca="true">Y256+OFFSET($CU$51,$B256,$C256)</f>
        <v>36</v>
      </c>
      <c r="AA256" s="177" t="n">
        <f aca="true">Y256+OFFSET($DI$51,$B256,$C256)</f>
        <v>75</v>
      </c>
      <c r="AB256" s="94" t="n">
        <f aca="false">VLOOKUP($D256,tblPriorPrice,5)</f>
        <v>41</v>
      </c>
      <c r="AC256" s="190" t="n">
        <f aca="false">AD256-AB256</f>
        <v>0</v>
      </c>
      <c r="AD256" s="191" t="n">
        <f aca="true">AD244+OFFSET($CG$73,$B256,$C256)</f>
        <v>41</v>
      </c>
      <c r="AE256" s="96" t="n">
        <f aca="true">AD256+OFFSET($CU$74,$B256,$C256)</f>
        <v>36</v>
      </c>
      <c r="AF256" s="177" t="n">
        <f aca="true">AD256+OFFSET($DI$74,$B256,$C256)</f>
        <v>75</v>
      </c>
      <c r="AG256" s="94" t="n">
        <f aca="false">VLOOKUP($D256,tblPriorPrice,6)</f>
        <v>1</v>
      </c>
      <c r="AH256" s="190" t="n">
        <f aca="false">AI256-AG256</f>
        <v>0</v>
      </c>
      <c r="AI256" s="191" t="n">
        <f aca="true">AI244+OFFSET($CG$96,$B256,$C256)</f>
        <v>1</v>
      </c>
      <c r="AJ256" s="96" t="n">
        <f aca="true">AI256+OFFSET($CU$96,$B256,$C256)</f>
        <v>1</v>
      </c>
      <c r="AK256" s="97" t="n">
        <f aca="true">AI256+OFFSET($DI$96,$B256,$C256)</f>
        <v>1</v>
      </c>
      <c r="AL256" s="178" t="n">
        <v>74</v>
      </c>
      <c r="AM256" s="165" t="n">
        <v>0.4</v>
      </c>
      <c r="AN256" s="167" t="n">
        <f aca="false">'[3]Pricing Summary'!$AM234</f>
        <v>0.17</v>
      </c>
      <c r="AO256" s="167" t="n">
        <f aca="false">0.9*AN256</f>
        <v>0.153</v>
      </c>
      <c r="AP256" s="166" t="n">
        <f aca="false">1.5*AN256</f>
        <v>0.255</v>
      </c>
      <c r="AQ256" s="167" t="n">
        <f aca="false">AN256</f>
        <v>0.17</v>
      </c>
      <c r="AR256" s="166" t="n">
        <f aca="false">0.8*AQ256</f>
        <v>0.136</v>
      </c>
      <c r="AS256" s="166" t="n">
        <f aca="false">1.2*AQ256</f>
        <v>0.204</v>
      </c>
      <c r="AT256" s="169" t="n">
        <f aca="false">IF(G256&lt;110,17.94063*(LN(G256/100))+6.727568*(LN(G256/100)^2)+15.06494,(-4.1*G256+2135)/100)*0.5</f>
        <v>2.20858471004844</v>
      </c>
      <c r="AU256" s="169" t="n">
        <f aca="false">(0.75*AT256-AT256)</f>
        <v>-0.552146177512111</v>
      </c>
      <c r="AV256" s="166" t="n">
        <f aca="false">AT256/0.5*1.25-AT256</f>
        <v>3.31287706507267</v>
      </c>
      <c r="AW256" s="168" t="n">
        <f aca="false">IF(L256&lt;15,(15*L256+375)/100,(-4.71*L256+670.65)/100)*0.5</f>
        <v>2.3877</v>
      </c>
      <c r="AX256" s="166" t="n">
        <f aca="false">0.75*AW256-AW256</f>
        <v>-0.596925</v>
      </c>
      <c r="AY256" s="166" t="n">
        <f aca="false">AW256/0.5*1.25-AW256</f>
        <v>3.58155</v>
      </c>
      <c r="AZ256" s="167" t="n">
        <v>0.5</v>
      </c>
      <c r="BA256" s="74"/>
      <c r="BQ256" s="108" t="n">
        <v>36907.7428240741</v>
      </c>
      <c r="BR256" s="109" t="n">
        <v>36907.743287037</v>
      </c>
      <c r="BS256" s="110" t="n">
        <v>43617</v>
      </c>
      <c r="BT256" s="111" t="n">
        <v>52705.7265625</v>
      </c>
      <c r="BU256" s="112" t="n">
        <v>39529.296875</v>
      </c>
      <c r="BV256" s="112" t="n">
        <v>13176.431640625</v>
      </c>
      <c r="BW256" s="112" t="n">
        <v>13176.431640625</v>
      </c>
      <c r="BX256" s="113" t="n">
        <v>0</v>
      </c>
      <c r="BZ256" s="110" t="n">
        <v>43678</v>
      </c>
      <c r="CA256" s="185" t="n">
        <v>41</v>
      </c>
      <c r="CB256" s="116" t="n">
        <v>41</v>
      </c>
      <c r="CC256" s="181" t="n">
        <v>41</v>
      </c>
      <c r="CD256" s="181" t="n">
        <v>41</v>
      </c>
      <c r="CE256" s="117" t="n">
        <v>1</v>
      </c>
    </row>
    <row r="257" customFormat="false" ht="12.75" hidden="false" customHeight="false" outlineLevel="0" collapsed="false">
      <c r="A257" s="0" t="n">
        <f aca="true">IF(ISERROR(MATCH(D257,iRefDt,0)),"",MATCH(D257,iRefDt,0))</f>
        <v>257</v>
      </c>
      <c r="B257" s="92" t="n">
        <f aca="false">MATCH(YEAR(D257),iSpreads)</f>
        <v>19</v>
      </c>
      <c r="C257" s="0" t="n">
        <f aca="false">MONTH(D257)</f>
        <v>9</v>
      </c>
      <c r="D257" s="93" t="n">
        <f aca="false">DATE(YEAR(D256),MONTH(D256)+1,1)</f>
        <v>43709</v>
      </c>
      <c r="E257" s="94" t="n">
        <f aca="false">VLOOKUP($D257,tblPriorPrice,2)</f>
        <v>35</v>
      </c>
      <c r="F257" s="190" t="n">
        <f aca="false">G257-E257</f>
        <v>0</v>
      </c>
      <c r="G257" s="190" t="n">
        <f aca="true">G245+OFFSET($CG$4,$B257,$C257)</f>
        <v>35</v>
      </c>
      <c r="H257" s="96" t="n">
        <f aca="true">G257+OFFSET($CU$4,$B257,$C257)</f>
        <v>30</v>
      </c>
      <c r="I257" s="96" t="n">
        <f aca="true">G257+OFFSET($DI$4,$B257,$C257)</f>
        <v>68</v>
      </c>
      <c r="J257" s="94" t="n">
        <f aca="false">VLOOKUP($D257,tblPriorPrice,3)</f>
        <v>35</v>
      </c>
      <c r="K257" s="190" t="n">
        <f aca="false">L257-J257</f>
        <v>0</v>
      </c>
      <c r="L257" s="190" t="n">
        <f aca="true">L245+OFFSET($CG$27,$B257,$C257)</f>
        <v>35</v>
      </c>
      <c r="M257" s="96" t="n">
        <f aca="true">$L257+OFFSET($CU$27,$B257,$C257)</f>
        <v>30</v>
      </c>
      <c r="N257" s="97" t="n">
        <f aca="true">$L257+OFFSET($DI$27,$B257,$C257)</f>
        <v>58</v>
      </c>
      <c r="O257" s="59" t="n">
        <f aca="true">IF($A257="",0,INDEX(tblPosn,$A257,2))</f>
        <v>51852.08203125</v>
      </c>
      <c r="P257" s="59" t="n">
        <f aca="true">IF($A257="",0,INDEX(tblPosn,$A257,3))</f>
        <v>38889.0625</v>
      </c>
      <c r="Q257" s="59" t="n">
        <f aca="true">IF($A257="",0,INDEX(tblPosn,$A257,4))</f>
        <v>10370.416015625</v>
      </c>
      <c r="R257" s="59" t="n">
        <f aca="true">IF($A257="",0,INDEX(tblPosn,$A257,5))</f>
        <v>15555.6240234375</v>
      </c>
      <c r="T257" s="98" t="n">
        <f aca="false">O257*F257+P257*K257+R257*AC257+S257*AH257/0.72+Q257*X257</f>
        <v>0</v>
      </c>
      <c r="V257" s="161" t="n">
        <f aca="false">D257</f>
        <v>43709</v>
      </c>
      <c r="W257" s="94" t="n">
        <f aca="false">VLOOKUP($D257,tblPriorPrice,4)</f>
        <v>35</v>
      </c>
      <c r="X257" s="95" t="n">
        <f aca="false">Y257-W257</f>
        <v>0</v>
      </c>
      <c r="Y257" s="191" t="n">
        <f aca="true">Y245+OFFSET($CG$50,$B257,$C257)</f>
        <v>35</v>
      </c>
      <c r="Z257" s="96" t="n">
        <f aca="true">Y257+OFFSET($CU$51,$B257,$C257)</f>
        <v>30</v>
      </c>
      <c r="AA257" s="177" t="n">
        <f aca="true">Y257+OFFSET($DI$51,$B257,$C257)</f>
        <v>69</v>
      </c>
      <c r="AB257" s="94" t="n">
        <f aca="false">VLOOKUP($D257,tblPriorPrice,5)</f>
        <v>35</v>
      </c>
      <c r="AC257" s="190" t="n">
        <f aca="false">AD257-AB257</f>
        <v>0</v>
      </c>
      <c r="AD257" s="191" t="n">
        <f aca="true">AD245+OFFSET($CG$73,$B257,$C257)</f>
        <v>35</v>
      </c>
      <c r="AE257" s="96" t="n">
        <f aca="true">AD257+OFFSET($CU$74,$B257,$C257)</f>
        <v>30</v>
      </c>
      <c r="AF257" s="177" t="n">
        <f aca="true">AD257+OFFSET($DI$74,$B257,$C257)</f>
        <v>69</v>
      </c>
      <c r="AG257" s="94" t="n">
        <f aca="false">VLOOKUP($D257,tblPriorPrice,6)</f>
        <v>1</v>
      </c>
      <c r="AH257" s="190" t="n">
        <f aca="false">AI257-AG257</f>
        <v>0</v>
      </c>
      <c r="AI257" s="191" t="n">
        <f aca="true">AI245+OFFSET($CG$96,$B257,$C257)</f>
        <v>1</v>
      </c>
      <c r="AJ257" s="96" t="n">
        <f aca="true">AI257+OFFSET($CU$96,$B257,$C257)</f>
        <v>1</v>
      </c>
      <c r="AK257" s="97" t="n">
        <f aca="true">AI257+OFFSET($DI$96,$B257,$C257)</f>
        <v>1</v>
      </c>
      <c r="AL257" s="178" t="n">
        <v>74</v>
      </c>
      <c r="AM257" s="165" t="n">
        <v>0.4</v>
      </c>
      <c r="AN257" s="167" t="n">
        <f aca="false">'[3]Pricing Summary'!$AM235</f>
        <v>0.17</v>
      </c>
      <c r="AO257" s="167" t="n">
        <f aca="false">0.9*AN257</f>
        <v>0.153</v>
      </c>
      <c r="AP257" s="166" t="n">
        <f aca="false">1.5*AN257</f>
        <v>0.255</v>
      </c>
      <c r="AQ257" s="167" t="n">
        <f aca="false">AN257</f>
        <v>0.17</v>
      </c>
      <c r="AR257" s="166" t="n">
        <f aca="false">0.8*AQ257</f>
        <v>0.136</v>
      </c>
      <c r="AS257" s="166" t="n">
        <f aca="false">1.2*AQ257</f>
        <v>0.204</v>
      </c>
      <c r="AT257" s="169" t="n">
        <f aca="false">IF(G257&lt;110,17.94063*(LN(G257/100))+6.727568*(LN(G257/100)^2)+15.06494,(-4.1*G257+2135)/100)*0.5</f>
        <v>1.82255031269953</v>
      </c>
      <c r="AU257" s="169" t="n">
        <f aca="false">(0.75*AT257-AT257)</f>
        <v>-0.455637578174882</v>
      </c>
      <c r="AV257" s="166" t="n">
        <f aca="false">AT257/0.5*1.25-AT257</f>
        <v>2.73382546904929</v>
      </c>
      <c r="AW257" s="168" t="n">
        <f aca="false">IF(L257&lt;15,(15*L257+375)/100,(-4.71*L257+670.65)/100)*0.5</f>
        <v>2.529</v>
      </c>
      <c r="AX257" s="166" t="n">
        <f aca="false">0.75*AW257-AW257</f>
        <v>-0.63225</v>
      </c>
      <c r="AY257" s="166" t="n">
        <f aca="false">AW257/0.5*1.25-AW257</f>
        <v>3.7935</v>
      </c>
      <c r="AZ257" s="167" t="n">
        <v>0.5</v>
      </c>
      <c r="BA257" s="74"/>
      <c r="BQ257" s="108" t="n">
        <v>36907.7428240741</v>
      </c>
      <c r="BR257" s="109" t="n">
        <v>36907.743287037</v>
      </c>
      <c r="BS257" s="110" t="n">
        <v>43647</v>
      </c>
      <c r="BT257" s="111" t="n">
        <v>57657.41015625</v>
      </c>
      <c r="BU257" s="112" t="n">
        <v>40622.265625</v>
      </c>
      <c r="BV257" s="112" t="n">
        <v>10483.166015625</v>
      </c>
      <c r="BW257" s="112" t="n">
        <v>13103.95703125</v>
      </c>
      <c r="BX257" s="113" t="n">
        <v>0</v>
      </c>
      <c r="BZ257" s="110" t="n">
        <v>43709</v>
      </c>
      <c r="CA257" s="185" t="n">
        <v>35</v>
      </c>
      <c r="CB257" s="116" t="n">
        <v>35</v>
      </c>
      <c r="CC257" s="181" t="n">
        <v>35</v>
      </c>
      <c r="CD257" s="181" t="n">
        <v>35</v>
      </c>
      <c r="CE257" s="117" t="n">
        <v>1</v>
      </c>
    </row>
    <row r="258" customFormat="false" ht="12.75" hidden="false" customHeight="false" outlineLevel="0" collapsed="false">
      <c r="A258" s="0" t="n">
        <f aca="true">IF(ISERROR(MATCH(D258,iRefDt,0)),"",MATCH(D258,iRefDt,0))</f>
        <v>258</v>
      </c>
      <c r="B258" s="92" t="n">
        <f aca="false">MATCH(YEAR(D258),iSpreads)</f>
        <v>19</v>
      </c>
      <c r="C258" s="0" t="n">
        <f aca="false">MONTH(D258)</f>
        <v>10</v>
      </c>
      <c r="D258" s="93" t="n">
        <f aca="false">DATE(YEAR(D257),MONTH(D257)+1,1)</f>
        <v>43739</v>
      </c>
      <c r="E258" s="94" t="n">
        <f aca="false">VLOOKUP($D258,tblPriorPrice,2)</f>
        <v>37</v>
      </c>
      <c r="F258" s="190" t="n">
        <f aca="false">G258-E258</f>
        <v>0</v>
      </c>
      <c r="G258" s="190" t="n">
        <f aca="true">G246+OFFSET($CG$4,$B258,$C258)</f>
        <v>37</v>
      </c>
      <c r="H258" s="96" t="n">
        <f aca="true">G258+OFFSET($CU$4,$B258,$C258)</f>
        <v>32</v>
      </c>
      <c r="I258" s="96" t="n">
        <f aca="true">G258+OFFSET($DI$4,$B258,$C258)</f>
        <v>70</v>
      </c>
      <c r="J258" s="94" t="n">
        <f aca="false">VLOOKUP($D258,tblPriorPrice,3)</f>
        <v>37</v>
      </c>
      <c r="K258" s="190" t="n">
        <f aca="false">L258-J258</f>
        <v>0</v>
      </c>
      <c r="L258" s="190" t="n">
        <f aca="true">L246+OFFSET($CG$27,$B258,$C258)</f>
        <v>37</v>
      </c>
      <c r="M258" s="96" t="n">
        <f aca="true">$L258+OFFSET($CU$27,$B258,$C258)</f>
        <v>32</v>
      </c>
      <c r="N258" s="97" t="n">
        <f aca="true">$L258+OFFSET($DI$27,$B258,$C258)</f>
        <v>60</v>
      </c>
      <c r="O258" s="59" t="n">
        <f aca="true">IF($A258="",0,INDEX(tblPosn,$A258,2))</f>
        <v>56724.5234375</v>
      </c>
      <c r="P258" s="59" t="n">
        <f aca="true">IF($A258="",0,INDEX(tblPosn,$A258,3))</f>
        <v>40126.15234375</v>
      </c>
      <c r="Q258" s="59" t="n">
        <f aca="true">IF($A258="",0,INDEX(tblPosn,$A258,4))</f>
        <v>10313.5498046875</v>
      </c>
      <c r="R258" s="59" t="n">
        <f aca="true">IF($A258="",0,INDEX(tblPosn,$A258,5))</f>
        <v>12891.9365234375</v>
      </c>
      <c r="T258" s="98" t="n">
        <f aca="false">O258*F258+P258*K258+R258*AC258+S258*AH258/0.72+Q258*X258</f>
        <v>0</v>
      </c>
      <c r="V258" s="161" t="n">
        <f aca="false">D258</f>
        <v>43739</v>
      </c>
      <c r="W258" s="94" t="n">
        <f aca="false">VLOOKUP($D258,tblPriorPrice,4)</f>
        <v>37</v>
      </c>
      <c r="X258" s="95" t="n">
        <f aca="false">Y258-W258</f>
        <v>0</v>
      </c>
      <c r="Y258" s="191" t="n">
        <f aca="true">Y246+OFFSET($CG$50,$B258,$C258)</f>
        <v>37</v>
      </c>
      <c r="Z258" s="96" t="n">
        <f aca="true">Y258+OFFSET($CU$51,$B258,$C258)</f>
        <v>32</v>
      </c>
      <c r="AA258" s="177" t="n">
        <f aca="true">Y258+OFFSET($DI$51,$B258,$C258)</f>
        <v>71</v>
      </c>
      <c r="AB258" s="94" t="n">
        <f aca="false">VLOOKUP($D258,tblPriorPrice,5)</f>
        <v>37</v>
      </c>
      <c r="AC258" s="190" t="n">
        <f aca="false">AD258-AB258</f>
        <v>0</v>
      </c>
      <c r="AD258" s="191" t="n">
        <f aca="true">AD246+OFFSET($CG$73,$B258,$C258)</f>
        <v>37</v>
      </c>
      <c r="AE258" s="96" t="n">
        <f aca="true">AD258+OFFSET($CU$74,$B258,$C258)</f>
        <v>32</v>
      </c>
      <c r="AF258" s="177" t="n">
        <f aca="true">AD258+OFFSET($DI$74,$B258,$C258)</f>
        <v>71</v>
      </c>
      <c r="AG258" s="94" t="n">
        <f aca="false">VLOOKUP($D258,tblPriorPrice,6)</f>
        <v>1</v>
      </c>
      <c r="AH258" s="190" t="n">
        <f aca="false">AI258-AG258</f>
        <v>0</v>
      </c>
      <c r="AI258" s="191" t="n">
        <f aca="true">AI246+OFFSET($CG$96,$B258,$C258)</f>
        <v>1</v>
      </c>
      <c r="AJ258" s="96" t="n">
        <f aca="true">AI258+OFFSET($CU$96,$B258,$C258)</f>
        <v>1</v>
      </c>
      <c r="AK258" s="97" t="n">
        <f aca="true">AI258+OFFSET($DI$96,$B258,$C258)</f>
        <v>1</v>
      </c>
      <c r="AL258" s="178" t="n">
        <v>74</v>
      </c>
      <c r="AM258" s="165" t="n">
        <v>0.4</v>
      </c>
      <c r="AN258" s="167" t="n">
        <f aca="false">'[3]Pricing Summary'!$AM236</f>
        <v>0.17</v>
      </c>
      <c r="AO258" s="167" t="n">
        <f aca="false">0.9*AN258</f>
        <v>0.153</v>
      </c>
      <c r="AP258" s="166" t="n">
        <f aca="false">1.5*AN258</f>
        <v>0.255</v>
      </c>
      <c r="AQ258" s="167" t="n">
        <f aca="false">AN258</f>
        <v>0.17</v>
      </c>
      <c r="AR258" s="166" t="n">
        <f aca="false">0.8*AQ258</f>
        <v>0.136</v>
      </c>
      <c r="AS258" s="166" t="n">
        <f aca="false">1.2*AQ258</f>
        <v>0.204</v>
      </c>
      <c r="AT258" s="169" t="n">
        <f aca="false">IF(G258&lt;110,17.94063*(LN(G258/100))+6.727568*(LN(G258/100)^2)+15.06494,(-4.1*G258+2135)/100)*0.5</f>
        <v>1.93894082389981</v>
      </c>
      <c r="AU258" s="169" t="n">
        <f aca="false">(0.75*AT258-AT258)</f>
        <v>-0.484735205974953</v>
      </c>
      <c r="AV258" s="166" t="n">
        <f aca="false">AT258/0.5*1.25-AT258</f>
        <v>2.90841123584972</v>
      </c>
      <c r="AW258" s="168" t="n">
        <f aca="false">IF(L258&lt;15,(15*L258+375)/100,(-4.71*L258+670.65)/100)*0.5</f>
        <v>2.4819</v>
      </c>
      <c r="AX258" s="166" t="n">
        <f aca="false">0.75*AW258-AW258</f>
        <v>-0.620475</v>
      </c>
      <c r="AY258" s="166" t="n">
        <f aca="false">AW258/0.5*1.25-AW258</f>
        <v>3.72285</v>
      </c>
      <c r="AZ258" s="167" t="n">
        <v>0.5</v>
      </c>
      <c r="BA258" s="74"/>
      <c r="BQ258" s="108" t="n">
        <v>36907.7428240741</v>
      </c>
      <c r="BR258" s="109" t="n">
        <v>36907.743287037</v>
      </c>
      <c r="BS258" s="110" t="n">
        <v>43678</v>
      </c>
      <c r="BT258" s="111" t="n">
        <v>57344.1640625</v>
      </c>
      <c r="BU258" s="112" t="n">
        <v>40401.5703125</v>
      </c>
      <c r="BV258" s="112" t="n">
        <v>13032.7646484375</v>
      </c>
      <c r="BW258" s="112" t="n">
        <v>10426.2119140625</v>
      </c>
      <c r="BX258" s="113" t="n">
        <v>0</v>
      </c>
      <c r="BZ258" s="110" t="n">
        <v>43739</v>
      </c>
      <c r="CA258" s="185" t="n">
        <v>37</v>
      </c>
      <c r="CB258" s="116" t="n">
        <v>37</v>
      </c>
      <c r="CC258" s="181" t="n">
        <v>37</v>
      </c>
      <c r="CD258" s="181" t="n">
        <v>37</v>
      </c>
      <c r="CE258" s="117" t="n">
        <v>1</v>
      </c>
    </row>
    <row r="259" customFormat="false" ht="12.75" hidden="false" customHeight="false" outlineLevel="0" collapsed="false">
      <c r="A259" s="0" t="n">
        <f aca="true">IF(ISERROR(MATCH(D259,iRefDt,0)),"",MATCH(D259,iRefDt,0))</f>
        <v>259</v>
      </c>
      <c r="B259" s="92" t="n">
        <f aca="false">MATCH(YEAR(D259),iSpreads)</f>
        <v>19</v>
      </c>
      <c r="C259" s="0" t="n">
        <f aca="false">MONTH(D259)</f>
        <v>11</v>
      </c>
      <c r="D259" s="93" t="n">
        <f aca="false">DATE(YEAR(D258),MONTH(D258)+1,1)</f>
        <v>43770</v>
      </c>
      <c r="E259" s="94" t="n">
        <f aca="false">VLOOKUP($D259,tblPriorPrice,2)</f>
        <v>31</v>
      </c>
      <c r="F259" s="190" t="n">
        <f aca="false">G259-E259</f>
        <v>0</v>
      </c>
      <c r="G259" s="190" t="n">
        <f aca="true">G247+OFFSET($CG$4,$B259,$C259)</f>
        <v>31</v>
      </c>
      <c r="H259" s="96" t="n">
        <f aca="true">G259+OFFSET($CU$4,$B259,$C259)</f>
        <v>26</v>
      </c>
      <c r="I259" s="96" t="n">
        <f aca="true">G259+OFFSET($DI$4,$B259,$C259)</f>
        <v>64</v>
      </c>
      <c r="J259" s="94" t="n">
        <f aca="false">VLOOKUP($D259,tblPriorPrice,3)</f>
        <v>31</v>
      </c>
      <c r="K259" s="190" t="n">
        <f aca="false">L259-J259</f>
        <v>0</v>
      </c>
      <c r="L259" s="190" t="n">
        <f aca="true">L247+OFFSET($CG$27,$B259,$C259)</f>
        <v>31</v>
      </c>
      <c r="M259" s="96" t="n">
        <f aca="true">$L259+OFFSET($CU$27,$B259,$C259)</f>
        <v>26</v>
      </c>
      <c r="N259" s="97" t="n">
        <f aca="true">$L259+OFFSET($DI$27,$B259,$C259)</f>
        <v>54</v>
      </c>
      <c r="O259" s="59" t="n">
        <f aca="true">IF($A259="",0,INDEX(tblPosn,$A259,2))</f>
        <v>48728.12890625</v>
      </c>
      <c r="P259" s="59" t="n">
        <f aca="true">IF($A259="",0,INDEX(tblPosn,$A259,3))</f>
        <v>38469.57421875</v>
      </c>
      <c r="Q259" s="59" t="n">
        <f aca="true">IF($A259="",0,INDEX(tblPosn,$A259,4))</f>
        <v>12823.19140625</v>
      </c>
      <c r="R259" s="59" t="n">
        <f aca="true">IF($A259="",0,INDEX(tblPosn,$A259,5))</f>
        <v>15387.830078125</v>
      </c>
      <c r="T259" s="98" t="n">
        <f aca="false">O259*F259+P259*K259+R259*AC259+S259*AH259/0.72+Q259*X259</f>
        <v>0</v>
      </c>
      <c r="V259" s="161" t="n">
        <f aca="false">D259</f>
        <v>43770</v>
      </c>
      <c r="W259" s="94" t="n">
        <f aca="false">VLOOKUP($D259,tblPriorPrice,4)</f>
        <v>31</v>
      </c>
      <c r="X259" s="95" t="n">
        <f aca="false">Y259-W259</f>
        <v>0</v>
      </c>
      <c r="Y259" s="191" t="n">
        <f aca="true">Y247+OFFSET($CG$50,$B259,$C259)</f>
        <v>31</v>
      </c>
      <c r="Z259" s="96" t="n">
        <f aca="true">Y259+OFFSET($CU$51,$B259,$C259)</f>
        <v>26</v>
      </c>
      <c r="AA259" s="177" t="n">
        <f aca="true">Y259+OFFSET($DI$51,$B259,$C259)</f>
        <v>65</v>
      </c>
      <c r="AB259" s="94" t="n">
        <f aca="false">VLOOKUP($D259,tblPriorPrice,5)</f>
        <v>31</v>
      </c>
      <c r="AC259" s="190" t="n">
        <f aca="false">AD259-AB259</f>
        <v>0</v>
      </c>
      <c r="AD259" s="191" t="n">
        <f aca="true">AD247+OFFSET($CG$73,$B259,$C259)</f>
        <v>31</v>
      </c>
      <c r="AE259" s="96" t="n">
        <f aca="true">AD259+OFFSET($CU$74,$B259,$C259)</f>
        <v>26</v>
      </c>
      <c r="AF259" s="177" t="n">
        <f aca="true">AD259+OFFSET($DI$74,$B259,$C259)</f>
        <v>65</v>
      </c>
      <c r="AG259" s="94" t="n">
        <f aca="false">VLOOKUP($D259,tblPriorPrice,6)</f>
        <v>1</v>
      </c>
      <c r="AH259" s="190" t="n">
        <f aca="false">AI259-AG259</f>
        <v>0</v>
      </c>
      <c r="AI259" s="191" t="n">
        <f aca="true">AI247+OFFSET($CG$96,$B259,$C259)</f>
        <v>1</v>
      </c>
      <c r="AJ259" s="96" t="n">
        <f aca="true">AI259+OFFSET($CU$96,$B259,$C259)</f>
        <v>1</v>
      </c>
      <c r="AK259" s="97" t="n">
        <f aca="true">AI259+OFFSET($DI$96,$B259,$C259)</f>
        <v>1</v>
      </c>
      <c r="AL259" s="178" t="n">
        <v>74</v>
      </c>
      <c r="AM259" s="165" t="n">
        <v>0.4</v>
      </c>
      <c r="AN259" s="167" t="n">
        <f aca="false">'[3]Pricing Summary'!$AM237</f>
        <v>0.17</v>
      </c>
      <c r="AO259" s="167" t="n">
        <f aca="false">0.9*AN259</f>
        <v>0.153</v>
      </c>
      <c r="AP259" s="166" t="n">
        <f aca="false">1.5*AN259</f>
        <v>0.255</v>
      </c>
      <c r="AQ259" s="167" t="n">
        <f aca="false">AN259</f>
        <v>0.17</v>
      </c>
      <c r="AR259" s="166" t="n">
        <f aca="false">0.8*AQ259</f>
        <v>0.136</v>
      </c>
      <c r="AS259" s="166" t="n">
        <f aca="false">1.2*AQ259</f>
        <v>0.204</v>
      </c>
      <c r="AT259" s="169" t="n">
        <f aca="false">IF(G259&lt;110,17.94063*(LN(G259/100))+6.727568*(LN(G259/100)^2)+15.06494,(-4.1*G259+2135)/100)*0.5</f>
        <v>1.64058990686036</v>
      </c>
      <c r="AU259" s="169" t="n">
        <f aca="false">(0.75*AT259-AT259)</f>
        <v>-0.410147476715089</v>
      </c>
      <c r="AV259" s="166" t="n">
        <f aca="false">AT259/0.5*1.25-AT259</f>
        <v>2.46088486029054</v>
      </c>
      <c r="AW259" s="168" t="n">
        <f aca="false">IF(L259&lt;15,(15*L259+375)/100,(-4.71*L259+670.65)/100)*0.5</f>
        <v>2.6232</v>
      </c>
      <c r="AX259" s="166" t="n">
        <f aca="false">0.75*AW259-AW259</f>
        <v>-0.6558</v>
      </c>
      <c r="AY259" s="166" t="n">
        <f aca="false">AW259/0.5*1.25-AW259</f>
        <v>3.9348</v>
      </c>
      <c r="AZ259" s="167" t="n">
        <v>0.5</v>
      </c>
      <c r="BA259" s="74"/>
      <c r="BQ259" s="108" t="n">
        <v>36907.7428240741</v>
      </c>
      <c r="BR259" s="109" t="n">
        <v>36907.743287037</v>
      </c>
      <c r="BS259" s="110" t="n">
        <v>43709</v>
      </c>
      <c r="BT259" s="111" t="n">
        <v>51852.08203125</v>
      </c>
      <c r="BU259" s="112" t="n">
        <v>38889.0625</v>
      </c>
      <c r="BV259" s="112" t="n">
        <v>10370.416015625</v>
      </c>
      <c r="BW259" s="112" t="n">
        <v>15555.6240234375</v>
      </c>
      <c r="BX259" s="113" t="n">
        <v>0</v>
      </c>
      <c r="BZ259" s="110" t="n">
        <v>43770</v>
      </c>
      <c r="CA259" s="185" t="n">
        <v>31</v>
      </c>
      <c r="CB259" s="116" t="n">
        <v>31</v>
      </c>
      <c r="CC259" s="181" t="n">
        <v>31</v>
      </c>
      <c r="CD259" s="181" t="n">
        <v>31</v>
      </c>
      <c r="CE259" s="117" t="n">
        <v>1</v>
      </c>
    </row>
    <row r="260" customFormat="false" ht="12.75" hidden="false" customHeight="false" outlineLevel="0" collapsed="false">
      <c r="A260" s="0" t="n">
        <f aca="true">IF(ISERROR(MATCH(D260,iRefDt,0)),"",MATCH(D260,iRefDt,0))</f>
        <v>260</v>
      </c>
      <c r="B260" s="92" t="n">
        <f aca="false">MATCH(YEAR(D260),iSpreads)</f>
        <v>19</v>
      </c>
      <c r="C260" s="0" t="n">
        <f aca="false">MONTH(D260)</f>
        <v>12</v>
      </c>
      <c r="D260" s="93" t="n">
        <f aca="false">DATE(YEAR(D259),MONTH(D259)+1,1)</f>
        <v>43800</v>
      </c>
      <c r="E260" s="94" t="n">
        <f aca="false">VLOOKUP($D260,tblPriorPrice,2)</f>
        <v>32</v>
      </c>
      <c r="F260" s="190" t="n">
        <f aca="false">G260-E260</f>
        <v>0</v>
      </c>
      <c r="G260" s="190" t="n">
        <f aca="true">G248+OFFSET($CG$4,$B260,$C260)</f>
        <v>32</v>
      </c>
      <c r="H260" s="96" t="n">
        <f aca="true">G260+OFFSET($CU$4,$B260,$C260)</f>
        <v>27</v>
      </c>
      <c r="I260" s="96" t="n">
        <f aca="true">G260+OFFSET($DI$4,$B260,$C260)</f>
        <v>65</v>
      </c>
      <c r="J260" s="94" t="n">
        <f aca="false">VLOOKUP($D260,tblPriorPrice,3)</f>
        <v>29</v>
      </c>
      <c r="K260" s="190" t="n">
        <f aca="false">L260-J260</f>
        <v>0</v>
      </c>
      <c r="L260" s="190" t="n">
        <f aca="true">L248+OFFSET($CG$27,$B260,$C260)</f>
        <v>29</v>
      </c>
      <c r="M260" s="96" t="n">
        <f aca="true">$L260+OFFSET($CU$27,$B260,$C260)</f>
        <v>24</v>
      </c>
      <c r="N260" s="97" t="n">
        <f aca="true">$L260+OFFSET($DI$27,$B260,$C260)</f>
        <v>52</v>
      </c>
      <c r="O260" s="59" t="n">
        <f aca="true">IF($A260="",0,INDEX(tblPosn,$A260,2))</f>
        <v>53564.34765625</v>
      </c>
      <c r="P260" s="59" t="n">
        <f aca="true">IF($A260="",0,INDEX(tblPosn,$A260,3))</f>
        <v>39535.58984375</v>
      </c>
      <c r="Q260" s="59" t="n">
        <f aca="true">IF($A260="",0,INDEX(tblPosn,$A260,4))</f>
        <v>10202.7333984375</v>
      </c>
      <c r="R260" s="59" t="n">
        <f aca="true">IF($A260="",0,INDEX(tblPosn,$A260,5))</f>
        <v>15304.099609375</v>
      </c>
      <c r="T260" s="98" t="n">
        <f aca="false">O260*F260+P260*K260+R260*AC260+S260*AH260/0.72+Q260*X260</f>
        <v>0</v>
      </c>
      <c r="V260" s="161" t="n">
        <f aca="false">D260</f>
        <v>43800</v>
      </c>
      <c r="W260" s="94" t="n">
        <f aca="false">VLOOKUP($D260,tblPriorPrice,4)</f>
        <v>29</v>
      </c>
      <c r="X260" s="95" t="n">
        <f aca="false">Y260-W260</f>
        <v>0</v>
      </c>
      <c r="Y260" s="191" t="n">
        <f aca="true">Y248+OFFSET($CG$50,$B260,$C260)</f>
        <v>29</v>
      </c>
      <c r="Z260" s="96" t="n">
        <f aca="true">Y260+OFFSET($CU$51,$B260,$C260)</f>
        <v>24</v>
      </c>
      <c r="AA260" s="177" t="n">
        <f aca="true">Y260+OFFSET($DI$51,$B260,$C260)</f>
        <v>63</v>
      </c>
      <c r="AB260" s="94" t="n">
        <f aca="false">VLOOKUP($D260,tblPriorPrice,5)</f>
        <v>29</v>
      </c>
      <c r="AC260" s="190" t="n">
        <f aca="false">AD260-AB260</f>
        <v>0</v>
      </c>
      <c r="AD260" s="191" t="n">
        <f aca="true">AD248+OFFSET($CG$73,$B260,$C260)</f>
        <v>29</v>
      </c>
      <c r="AE260" s="96" t="n">
        <f aca="true">AD260+OFFSET($CU$74,$B260,$C260)</f>
        <v>24</v>
      </c>
      <c r="AF260" s="177" t="n">
        <f aca="true">AD260+OFFSET($DI$74,$B260,$C260)</f>
        <v>63</v>
      </c>
      <c r="AG260" s="94" t="n">
        <f aca="false">VLOOKUP($D260,tblPriorPrice,6)</f>
        <v>1</v>
      </c>
      <c r="AH260" s="190" t="n">
        <f aca="false">AI260-AG260</f>
        <v>0</v>
      </c>
      <c r="AI260" s="191" t="n">
        <f aca="true">AI248+OFFSET($CG$96,$B260,$C260)</f>
        <v>1</v>
      </c>
      <c r="AJ260" s="96" t="n">
        <f aca="true">AI260+OFFSET($CU$96,$B260,$C260)</f>
        <v>1</v>
      </c>
      <c r="AK260" s="97" t="n">
        <f aca="true">AI260+OFFSET($DI$96,$B260,$C260)</f>
        <v>1</v>
      </c>
      <c r="AL260" s="178" t="n">
        <v>74</v>
      </c>
      <c r="AM260" s="165" t="n">
        <v>0.4</v>
      </c>
      <c r="AN260" s="167" t="n">
        <f aca="false">'[3]Pricing Summary'!$AM238</f>
        <v>0.17</v>
      </c>
      <c r="AO260" s="167" t="n">
        <f aca="false">0.9*AN260</f>
        <v>0.153</v>
      </c>
      <c r="AP260" s="166" t="n">
        <f aca="false">1.5*AN260</f>
        <v>0.255</v>
      </c>
      <c r="AQ260" s="167" t="n">
        <f aca="false">AN260</f>
        <v>0.17</v>
      </c>
      <c r="AR260" s="166" t="n">
        <f aca="false">0.8*AQ260</f>
        <v>0.136</v>
      </c>
      <c r="AS260" s="166" t="n">
        <f aca="false">1.2*AQ260</f>
        <v>0.204</v>
      </c>
      <c r="AT260" s="169" t="n">
        <f aca="false">IF(G260&lt;110,17.94063*(LN(G260/100))+6.727568*(LN(G260/100)^2)+15.06494,(-4.1*G260+2135)/100)*0.5</f>
        <v>1.67862159684781</v>
      </c>
      <c r="AU260" s="169" t="n">
        <f aca="false">(0.75*AT260-AT260)</f>
        <v>-0.419655399211954</v>
      </c>
      <c r="AV260" s="166" t="n">
        <f aca="false">AT260/0.5*1.25-AT260</f>
        <v>2.51793239527172</v>
      </c>
      <c r="AW260" s="168" t="n">
        <f aca="false">IF(L260&lt;15,(15*L260+375)/100,(-4.71*L260+670.65)/100)*0.5</f>
        <v>2.6703</v>
      </c>
      <c r="AX260" s="166" t="n">
        <f aca="false">0.75*AW260-AW260</f>
        <v>-0.667575</v>
      </c>
      <c r="AY260" s="166" t="n">
        <f aca="false">AW260/0.5*1.25-AW260</f>
        <v>4.00545</v>
      </c>
      <c r="AZ260" s="167" t="n">
        <v>0.5</v>
      </c>
      <c r="BA260" s="74"/>
      <c r="BQ260" s="108" t="n">
        <v>36907.7428240741</v>
      </c>
      <c r="BR260" s="109" t="n">
        <v>36907.743287037</v>
      </c>
      <c r="BS260" s="110" t="n">
        <v>43739</v>
      </c>
      <c r="BT260" s="111" t="n">
        <v>56724.5234375</v>
      </c>
      <c r="BU260" s="112" t="n">
        <v>40126.15234375</v>
      </c>
      <c r="BV260" s="112" t="n">
        <v>10313.5498046875</v>
      </c>
      <c r="BW260" s="112" t="n">
        <v>12891.9365234375</v>
      </c>
      <c r="BX260" s="113" t="n">
        <v>0</v>
      </c>
      <c r="BZ260" s="110" t="n">
        <v>43800</v>
      </c>
      <c r="CA260" s="185" t="n">
        <v>32</v>
      </c>
      <c r="CB260" s="116" t="n">
        <v>29</v>
      </c>
      <c r="CC260" s="181" t="n">
        <v>29</v>
      </c>
      <c r="CD260" s="181" t="n">
        <v>29</v>
      </c>
      <c r="CE260" s="117" t="n">
        <v>1</v>
      </c>
    </row>
    <row r="261" customFormat="false" ht="12.75" hidden="false" customHeight="false" outlineLevel="0" collapsed="false">
      <c r="A261" s="0" t="n">
        <f aca="true">IF(ISERROR(MATCH(D261,iRefDt,0)),"",MATCH(D261,iRefDt,0))</f>
        <v>261</v>
      </c>
      <c r="B261" s="92" t="n">
        <f aca="false">MATCH(YEAR(D261),iSpreads)</f>
        <v>20</v>
      </c>
      <c r="C261" s="0" t="n">
        <f aca="false">MONTH(D261)</f>
        <v>1</v>
      </c>
      <c r="D261" s="93" t="n">
        <f aca="false">DATE(YEAR(D260),MONTH(D260)+1,1)</f>
        <v>43831</v>
      </c>
      <c r="E261" s="94" t="n">
        <f aca="false">VLOOKUP($D261,tblPriorPrice,2)</f>
        <v>33</v>
      </c>
      <c r="F261" s="190" t="n">
        <f aca="false">G261-E261</f>
        <v>0</v>
      </c>
      <c r="G261" s="190" t="n">
        <f aca="true">G249+OFFSET($CG$4,$B261,$C261)</f>
        <v>33</v>
      </c>
      <c r="H261" s="96" t="n">
        <f aca="true">G261+OFFSET($CU$4,$B261,$C261)</f>
        <v>28</v>
      </c>
      <c r="I261" s="96" t="n">
        <f aca="true">G261+OFFSET($DI$4,$B261,$C261)</f>
        <v>67</v>
      </c>
      <c r="J261" s="94" t="n">
        <f aca="false">VLOOKUP($D261,tblPriorPrice,3)</f>
        <v>31</v>
      </c>
      <c r="K261" s="190" t="n">
        <f aca="false">L261-J261</f>
        <v>0</v>
      </c>
      <c r="L261" s="190" t="n">
        <f aca="true">L249+OFFSET($CG$27,$B261,$C261)</f>
        <v>31</v>
      </c>
      <c r="M261" s="96" t="n">
        <f aca="true">$L261+OFFSET($CU$27,$B261,$C261)</f>
        <v>26</v>
      </c>
      <c r="N261" s="97" t="n">
        <f aca="true">$L261+OFFSET($DI$27,$B261,$C261)</f>
        <v>55</v>
      </c>
      <c r="O261" s="59" t="n">
        <f aca="true">IF($A261="",0,INDEX(tblPosn,$A261,2))</f>
        <v>51828.8984375</v>
      </c>
      <c r="P261" s="59" t="n">
        <f aca="true">IF($A261="",0,INDEX(tblPosn,$A261,3))</f>
        <v>38254.66015625</v>
      </c>
      <c r="Q261" s="59" t="n">
        <f aca="true">IF($A261="",0,INDEX(tblPosn,$A261,4))</f>
        <v>9872.1708984375</v>
      </c>
      <c r="R261" s="59" t="n">
        <f aca="true">IF($A261="",0,INDEX(tblPosn,$A261,5))</f>
        <v>14808.2568359375</v>
      </c>
      <c r="T261" s="98" t="n">
        <f aca="false">O261*F261+P261*K261+R261*AC261+S261*AH261/0.72+Q261*X261</f>
        <v>0</v>
      </c>
      <c r="V261" s="161" t="n">
        <f aca="false">D261</f>
        <v>43831</v>
      </c>
      <c r="W261" s="94" t="n">
        <f aca="false">VLOOKUP($D261,tblPriorPrice,4)</f>
        <v>31</v>
      </c>
      <c r="X261" s="95" t="n">
        <f aca="false">Y261-W261</f>
        <v>0</v>
      </c>
      <c r="Y261" s="191" t="n">
        <f aca="true">Y249+OFFSET($CG$50,$B261,$C261)</f>
        <v>31</v>
      </c>
      <c r="Z261" s="96" t="n">
        <f aca="true">Y261+OFFSET($CU$51,$B261,$C261)</f>
        <v>31</v>
      </c>
      <c r="AA261" s="177" t="n">
        <f aca="true">Y261+OFFSET($DI$51,$B261,$C261)</f>
        <v>31</v>
      </c>
      <c r="AB261" s="94" t="n">
        <f aca="false">VLOOKUP($D261,tblPriorPrice,5)</f>
        <v>31</v>
      </c>
      <c r="AC261" s="190" t="n">
        <f aca="false">AD261-AB261</f>
        <v>0</v>
      </c>
      <c r="AD261" s="191" t="n">
        <f aca="true">AD249+OFFSET($CG$73,$B261,$C261)</f>
        <v>31</v>
      </c>
      <c r="AE261" s="96" t="n">
        <f aca="true">AD261+OFFSET($CU$74,$B261,$C261)</f>
        <v>31</v>
      </c>
      <c r="AF261" s="177" t="n">
        <f aca="true">AD261+OFFSET($DI$74,$B261,$C261)</f>
        <v>31</v>
      </c>
      <c r="AG261" s="94" t="n">
        <f aca="false">VLOOKUP($D261,tblPriorPrice,6)</f>
        <v>1</v>
      </c>
      <c r="AH261" s="190" t="n">
        <f aca="false">AI261-AG261</f>
        <v>0</v>
      </c>
      <c r="AI261" s="191" t="n">
        <f aca="true">AI249+OFFSET($CG$96,$B261,$C261)</f>
        <v>1</v>
      </c>
      <c r="AJ261" s="96" t="n">
        <f aca="true">AI261+OFFSET($CU$96,$B261,$C261)</f>
        <v>1</v>
      </c>
      <c r="AK261" s="97" t="n">
        <f aca="true">AI261+OFFSET($DI$96,$B261,$C261)</f>
        <v>1</v>
      </c>
      <c r="AL261" s="178" t="n">
        <v>74</v>
      </c>
      <c r="AM261" s="165" t="n">
        <v>0.4</v>
      </c>
      <c r="AN261" s="167" t="n">
        <f aca="false">'[3]Pricing Summary'!$AM239</f>
        <v>0.17</v>
      </c>
      <c r="AO261" s="167" t="n">
        <f aca="false">0.9*AN261</f>
        <v>0.153</v>
      </c>
      <c r="AP261" s="166" t="n">
        <f aca="false">1.5*AN261</f>
        <v>0.255</v>
      </c>
      <c r="AQ261" s="167" t="n">
        <f aca="false">AN261</f>
        <v>0.17</v>
      </c>
      <c r="AR261" s="166" t="n">
        <f aca="false">0.8*AQ261</f>
        <v>0.136</v>
      </c>
      <c r="AS261" s="166" t="n">
        <f aca="false">1.2*AQ261</f>
        <v>0.204</v>
      </c>
      <c r="AT261" s="169" t="n">
        <f aca="false">IF(G261&lt;110,17.94063*(LN(G261/100))+6.727568*(LN(G261/100)^2)+15.06494,(-4.1*G261+2135)/100)*0.5</f>
        <v>1.72195432632388</v>
      </c>
      <c r="AU261" s="169" t="n">
        <f aca="false">(0.75*AT261-AT261)</f>
        <v>-0.43048858158097</v>
      </c>
      <c r="AV261" s="166" t="n">
        <f aca="false">AT261/0.5*1.25-AT261</f>
        <v>2.58293148948582</v>
      </c>
      <c r="AW261" s="168" t="n">
        <f aca="false">IF(L261&lt;15,(15*L261+375)/100,(-4.71*L261+670.65)/100)*0.5</f>
        <v>2.6232</v>
      </c>
      <c r="AX261" s="166" t="n">
        <f aca="false">0.75*AW261-AW261</f>
        <v>-0.6558</v>
      </c>
      <c r="AY261" s="166" t="n">
        <f aca="false">AW261/0.5*1.25-AW261</f>
        <v>3.9348</v>
      </c>
      <c r="AZ261" s="167" t="n">
        <v>0.5</v>
      </c>
      <c r="BA261" s="74"/>
      <c r="BQ261" s="108" t="n">
        <v>36907.7428240741</v>
      </c>
      <c r="BR261" s="109" t="n">
        <v>36907.743287037</v>
      </c>
      <c r="BS261" s="110" t="n">
        <v>43770</v>
      </c>
      <c r="BT261" s="111" t="n">
        <v>48728.12890625</v>
      </c>
      <c r="BU261" s="112" t="n">
        <v>38469.57421875</v>
      </c>
      <c r="BV261" s="112" t="n">
        <v>12823.19140625</v>
      </c>
      <c r="BW261" s="112" t="n">
        <v>15387.830078125</v>
      </c>
      <c r="BX261" s="113" t="n">
        <v>0</v>
      </c>
      <c r="BZ261" s="110" t="n">
        <v>43831</v>
      </c>
      <c r="CA261" s="185" t="n">
        <v>33</v>
      </c>
      <c r="CB261" s="116" t="n">
        <v>31</v>
      </c>
      <c r="CC261" s="181" t="n">
        <v>31</v>
      </c>
      <c r="CD261" s="181" t="n">
        <v>31</v>
      </c>
      <c r="CE261" s="117" t="n">
        <v>1</v>
      </c>
    </row>
    <row r="262" customFormat="false" ht="12.75" hidden="false" customHeight="false" outlineLevel="0" collapsed="false">
      <c r="A262" s="0" t="n">
        <f aca="true">IF(ISERROR(MATCH(D262,iRefDt,0)),"",MATCH(D262,iRefDt,0))</f>
        <v>262</v>
      </c>
      <c r="B262" s="92" t="n">
        <f aca="false">MATCH(YEAR(D262),iSpreads)</f>
        <v>20</v>
      </c>
      <c r="C262" s="0" t="n">
        <f aca="false">MONTH(D262)</f>
        <v>2</v>
      </c>
      <c r="D262" s="93" t="n">
        <f aca="false">DATE(YEAR(D261),MONTH(D261)+1,1)</f>
        <v>43862</v>
      </c>
      <c r="E262" s="94" t="n">
        <f aca="false">VLOOKUP($D262,tblPriorPrice,2)</f>
        <v>30</v>
      </c>
      <c r="F262" s="190" t="n">
        <f aca="false">G262-E262</f>
        <v>0</v>
      </c>
      <c r="G262" s="190" t="n">
        <f aca="true">G250+OFFSET($CG$4,$B262,$C262)</f>
        <v>30</v>
      </c>
      <c r="H262" s="96" t="n">
        <f aca="true">G262+OFFSET($CU$4,$B262,$C262)</f>
        <v>25</v>
      </c>
      <c r="I262" s="96" t="n">
        <f aca="true">G262+OFFSET($DI$4,$B262,$C262)</f>
        <v>64</v>
      </c>
      <c r="J262" s="94" t="n">
        <f aca="false">VLOOKUP($D262,tblPriorPrice,3)</f>
        <v>30</v>
      </c>
      <c r="K262" s="190" t="n">
        <f aca="false">L262-J262</f>
        <v>0</v>
      </c>
      <c r="L262" s="190" t="n">
        <f aca="true">L250+OFFSET($CG$27,$B262,$C262)</f>
        <v>30</v>
      </c>
      <c r="M262" s="96" t="n">
        <f aca="true">$L262+OFFSET($CU$27,$B262,$C262)</f>
        <v>25</v>
      </c>
      <c r="N262" s="97" t="n">
        <f aca="true">$L262+OFFSET($DI$27,$B262,$C262)</f>
        <v>54</v>
      </c>
      <c r="O262" s="59" t="n">
        <f aca="true">IF($A262="",0,INDEX(tblPosn,$A262,2))</f>
        <v>46650.7265625</v>
      </c>
      <c r="P262" s="59" t="n">
        <f aca="true">IF($A262="",0,INDEX(tblPosn,$A262,3))</f>
        <v>35601.8671875</v>
      </c>
      <c r="Q262" s="59" t="n">
        <f aca="true">IF($A262="",0,INDEX(tblPosn,$A262,4))</f>
        <v>12276.5068359375</v>
      </c>
      <c r="R262" s="59" t="n">
        <f aca="true">IF($A262="",0,INDEX(tblPosn,$A262,5))</f>
        <v>12276.5068359375</v>
      </c>
      <c r="T262" s="98" t="n">
        <f aca="false">O262*F262+P262*K262+R262*AC262+S262*AH262/0.72+Q262*X262</f>
        <v>0</v>
      </c>
      <c r="V262" s="161" t="n">
        <f aca="false">D262</f>
        <v>43862</v>
      </c>
      <c r="W262" s="94" t="n">
        <f aca="false">VLOOKUP($D262,tblPriorPrice,4)</f>
        <v>30</v>
      </c>
      <c r="X262" s="95" t="n">
        <f aca="false">Y262-W262</f>
        <v>0</v>
      </c>
      <c r="Y262" s="191" t="n">
        <f aca="true">Y250+OFFSET($CG$50,$B262,$C262)</f>
        <v>30</v>
      </c>
      <c r="Z262" s="96" t="n">
        <f aca="true">Y262+OFFSET($CU$51,$B262,$C262)</f>
        <v>30</v>
      </c>
      <c r="AA262" s="177" t="n">
        <f aca="true">Y262+OFFSET($DI$51,$B262,$C262)</f>
        <v>30</v>
      </c>
      <c r="AB262" s="94" t="n">
        <f aca="false">VLOOKUP($D262,tblPriorPrice,5)</f>
        <v>30</v>
      </c>
      <c r="AC262" s="190" t="n">
        <f aca="false">AD262-AB262</f>
        <v>0</v>
      </c>
      <c r="AD262" s="191" t="n">
        <f aca="true">AD250+OFFSET($CG$73,$B262,$C262)</f>
        <v>30</v>
      </c>
      <c r="AE262" s="96" t="n">
        <f aca="true">AD262+OFFSET($CU$74,$B262,$C262)</f>
        <v>30</v>
      </c>
      <c r="AF262" s="177" t="n">
        <f aca="true">AD262+OFFSET($DI$74,$B262,$C262)</f>
        <v>30</v>
      </c>
      <c r="AG262" s="94" t="n">
        <f aca="false">VLOOKUP($D262,tblPriorPrice,6)</f>
        <v>1</v>
      </c>
      <c r="AH262" s="190" t="n">
        <f aca="false">AI262-AG262</f>
        <v>0</v>
      </c>
      <c r="AI262" s="191" t="n">
        <f aca="true">AI250+OFFSET($CG$96,$B262,$C262)</f>
        <v>1</v>
      </c>
      <c r="AJ262" s="96" t="n">
        <f aca="true">AI262+OFFSET($CU$96,$B262,$C262)</f>
        <v>1</v>
      </c>
      <c r="AK262" s="97" t="n">
        <f aca="true">AI262+OFFSET($DI$96,$B262,$C262)</f>
        <v>1</v>
      </c>
      <c r="AL262" s="178" t="n">
        <v>74</v>
      </c>
      <c r="AM262" s="165" t="n">
        <v>0.4</v>
      </c>
      <c r="AN262" s="167" t="n">
        <f aca="false">'[3]Pricing Summary'!$AM240</f>
        <v>0.17</v>
      </c>
      <c r="AO262" s="167" t="n">
        <f aca="false">0.9*AN262</f>
        <v>0.153</v>
      </c>
      <c r="AP262" s="166" t="n">
        <f aca="false">1.5*AN262</f>
        <v>0.255</v>
      </c>
      <c r="AQ262" s="167" t="n">
        <f aca="false">AN262</f>
        <v>0.17</v>
      </c>
      <c r="AR262" s="166" t="n">
        <f aca="false">0.8*AQ262</f>
        <v>0.136</v>
      </c>
      <c r="AS262" s="166" t="n">
        <f aca="false">1.2*AQ262</f>
        <v>0.204</v>
      </c>
      <c r="AT262" s="169" t="n">
        <f aca="false">IF(G262&lt;110,17.94063*(LN(G262/100))+6.727568*(LN(G262/100)^2)+15.06494,(-4.1*G262+2135)/100)*0.5</f>
        <v>1.60842951845599</v>
      </c>
      <c r="AU262" s="169" t="n">
        <f aca="false">(0.75*AT262-AT262)</f>
        <v>-0.402107379613998</v>
      </c>
      <c r="AV262" s="166" t="n">
        <f aca="false">AT262/0.5*1.25-AT262</f>
        <v>2.41264427768399</v>
      </c>
      <c r="AW262" s="168" t="n">
        <f aca="false">IF(L262&lt;15,(15*L262+375)/100,(-4.71*L262+670.65)/100)*0.5</f>
        <v>2.64675</v>
      </c>
      <c r="AX262" s="166" t="n">
        <f aca="false">0.75*AW262-AW262</f>
        <v>-0.6616875</v>
      </c>
      <c r="AY262" s="166" t="n">
        <f aca="false">AW262/0.5*1.25-AW262</f>
        <v>3.970125</v>
      </c>
      <c r="AZ262" s="167" t="n">
        <v>0.5</v>
      </c>
      <c r="BA262" s="74"/>
      <c r="BQ262" s="108" t="n">
        <v>36907.7428240741</v>
      </c>
      <c r="BR262" s="109" t="n">
        <v>36907.743287037</v>
      </c>
      <c r="BS262" s="110" t="n">
        <v>43800</v>
      </c>
      <c r="BT262" s="111" t="n">
        <v>53564.34765625</v>
      </c>
      <c r="BU262" s="112" t="n">
        <v>39535.58984375</v>
      </c>
      <c r="BV262" s="112" t="n">
        <v>10202.7333984375</v>
      </c>
      <c r="BW262" s="112" t="n">
        <v>15304.099609375</v>
      </c>
      <c r="BX262" s="113" t="n">
        <v>0</v>
      </c>
      <c r="BZ262" s="110" t="n">
        <v>43862</v>
      </c>
      <c r="CA262" s="185" t="n">
        <v>30</v>
      </c>
      <c r="CB262" s="116" t="n">
        <v>30</v>
      </c>
      <c r="CC262" s="181" t="n">
        <v>30</v>
      </c>
      <c r="CD262" s="181" t="n">
        <v>30</v>
      </c>
      <c r="CE262" s="117" t="n">
        <v>1</v>
      </c>
    </row>
    <row r="263" customFormat="false" ht="12.75" hidden="false" customHeight="false" outlineLevel="0" collapsed="false">
      <c r="A263" s="0" t="n">
        <f aca="true">IF(ISERROR(MATCH(D263,iRefDt,0)),"",MATCH(D263,iRefDt,0))</f>
        <v>263</v>
      </c>
      <c r="B263" s="92" t="n">
        <f aca="false">MATCH(YEAR(D263),iSpreads)</f>
        <v>20</v>
      </c>
      <c r="C263" s="0" t="n">
        <f aca="false">MONTH(D263)</f>
        <v>3</v>
      </c>
      <c r="D263" s="93" t="n">
        <f aca="false">DATE(YEAR(D262),MONTH(D262)+1,1)</f>
        <v>43891</v>
      </c>
      <c r="E263" s="94" t="n">
        <f aca="false">VLOOKUP($D263,tblPriorPrice,2)</f>
        <v>29</v>
      </c>
      <c r="F263" s="190" t="n">
        <f aca="false">G263-E263</f>
        <v>0</v>
      </c>
      <c r="G263" s="190" t="n">
        <f aca="true">G251+OFFSET($CG$4,$B263,$C263)</f>
        <v>29</v>
      </c>
      <c r="H263" s="96" t="n">
        <f aca="true">G263+OFFSET($CU$4,$B263,$C263)</f>
        <v>24</v>
      </c>
      <c r="I263" s="96" t="n">
        <f aca="true">G263+OFFSET($DI$4,$B263,$C263)</f>
        <v>63</v>
      </c>
      <c r="J263" s="94" t="n">
        <f aca="false">VLOOKUP($D263,tblPriorPrice,3)</f>
        <v>29</v>
      </c>
      <c r="K263" s="190" t="n">
        <f aca="false">L263-J263</f>
        <v>0</v>
      </c>
      <c r="L263" s="190" t="n">
        <f aca="true">L251+OFFSET($CG$27,$B263,$C263)</f>
        <v>29</v>
      </c>
      <c r="M263" s="96" t="n">
        <f aca="true">$L263+OFFSET($CU$27,$B263,$C263)</f>
        <v>24</v>
      </c>
      <c r="N263" s="97" t="n">
        <f aca="true">$L263+OFFSET($DI$27,$B263,$C263)</f>
        <v>53</v>
      </c>
      <c r="O263" s="59" t="n">
        <f aca="true">IF($A263="",0,INDEX(tblPosn,$A263,2))</f>
        <v>53721.14453125</v>
      </c>
      <c r="P263" s="59" t="n">
        <f aca="true">IF($A263="",0,INDEX(tblPosn,$A263,3))</f>
        <v>37848.98828125</v>
      </c>
      <c r="Q263" s="59" t="n">
        <f aca="true">IF($A263="",0,INDEX(tblPosn,$A263,4))</f>
        <v>9767.4814453125</v>
      </c>
      <c r="R263" s="59" t="n">
        <f aca="true">IF($A263="",0,INDEX(tblPosn,$A263,5))</f>
        <v>12209.3515625</v>
      </c>
      <c r="T263" s="98" t="n">
        <f aca="false">O263*F263+P263*K263+R263*AC263+S263*AH263/0.72+Q263*X263</f>
        <v>0</v>
      </c>
      <c r="V263" s="161" t="n">
        <f aca="false">D263</f>
        <v>43891</v>
      </c>
      <c r="W263" s="94" t="n">
        <f aca="false">VLOOKUP($D263,tblPriorPrice,4)</f>
        <v>29</v>
      </c>
      <c r="X263" s="95" t="n">
        <f aca="false">Y263-W263</f>
        <v>0</v>
      </c>
      <c r="Y263" s="191" t="n">
        <f aca="true">Y251+OFFSET($CG$50,$B263,$C263)</f>
        <v>29</v>
      </c>
      <c r="Z263" s="96" t="n">
        <f aca="true">Y263+OFFSET($CU$51,$B263,$C263)</f>
        <v>29</v>
      </c>
      <c r="AA263" s="177" t="n">
        <f aca="true">Y263+OFFSET($DI$51,$B263,$C263)</f>
        <v>29</v>
      </c>
      <c r="AB263" s="94" t="n">
        <f aca="false">VLOOKUP($D263,tblPriorPrice,5)</f>
        <v>29</v>
      </c>
      <c r="AC263" s="190" t="n">
        <f aca="false">AD263-AB263</f>
        <v>0</v>
      </c>
      <c r="AD263" s="191" t="n">
        <f aca="true">AD251+OFFSET($CG$73,$B263,$C263)</f>
        <v>29</v>
      </c>
      <c r="AE263" s="96" t="n">
        <f aca="true">AD263+OFFSET($CU$74,$B263,$C263)</f>
        <v>29</v>
      </c>
      <c r="AF263" s="177" t="n">
        <f aca="true">AD263+OFFSET($DI$74,$B263,$C263)</f>
        <v>29</v>
      </c>
      <c r="AG263" s="94" t="n">
        <f aca="false">VLOOKUP($D263,tblPriorPrice,6)</f>
        <v>1</v>
      </c>
      <c r="AH263" s="190" t="n">
        <f aca="false">AI263-AG263</f>
        <v>0</v>
      </c>
      <c r="AI263" s="191" t="n">
        <f aca="true">AI251+OFFSET($CG$96,$B263,$C263)</f>
        <v>1</v>
      </c>
      <c r="AJ263" s="96" t="n">
        <f aca="true">AI263+OFFSET($CU$96,$B263,$C263)</f>
        <v>1</v>
      </c>
      <c r="AK263" s="97" t="n">
        <f aca="true">AI263+OFFSET($DI$96,$B263,$C263)</f>
        <v>1</v>
      </c>
      <c r="AL263" s="178" t="n">
        <v>74</v>
      </c>
      <c r="AM263" s="165" t="n">
        <v>0.4</v>
      </c>
      <c r="AN263" s="167" t="n">
        <f aca="false">'[3]Pricing Summary'!$AM241</f>
        <v>0.17</v>
      </c>
      <c r="AO263" s="167" t="n">
        <f aca="false">0.9*AN263</f>
        <v>0.153</v>
      </c>
      <c r="AP263" s="166" t="n">
        <f aca="false">1.5*AN263</f>
        <v>0.255</v>
      </c>
      <c r="AQ263" s="167" t="n">
        <f aca="false">AN263</f>
        <v>0.17</v>
      </c>
      <c r="AR263" s="166" t="n">
        <f aca="false">0.8*AQ263</f>
        <v>0.136</v>
      </c>
      <c r="AS263" s="166" t="n">
        <f aca="false">1.2*AQ263</f>
        <v>0.204</v>
      </c>
      <c r="AT263" s="169" t="n">
        <f aca="false">IF(G263&lt;110,17.94063*(LN(G263/100))+6.727568*(LN(G263/100)^2)+15.06494,(-4.1*G263+2135)/100)*0.5</f>
        <v>1.58278405940532</v>
      </c>
      <c r="AU263" s="169" t="n">
        <f aca="false">(0.75*AT263-AT263)</f>
        <v>-0.395696014851329</v>
      </c>
      <c r="AV263" s="166" t="n">
        <f aca="false">AT263/0.5*1.25-AT263</f>
        <v>2.37417608910797</v>
      </c>
      <c r="AW263" s="168" t="n">
        <f aca="false">IF(L263&lt;15,(15*L263+375)/100,(-4.71*L263+670.65)/100)*0.5</f>
        <v>2.6703</v>
      </c>
      <c r="AX263" s="166" t="n">
        <f aca="false">0.75*AW263-AW263</f>
        <v>-0.667575</v>
      </c>
      <c r="AY263" s="166" t="n">
        <f aca="false">AW263/0.5*1.25-AW263</f>
        <v>4.00545</v>
      </c>
      <c r="AZ263" s="167" t="n">
        <v>0.5</v>
      </c>
      <c r="BA263" s="74"/>
      <c r="BQ263" s="108" t="n">
        <v>36907.7428240741</v>
      </c>
      <c r="BR263" s="109" t="n">
        <v>36907.743287037</v>
      </c>
      <c r="BS263" s="110" t="n">
        <v>43831</v>
      </c>
      <c r="BT263" s="111" t="n">
        <v>51828.8984375</v>
      </c>
      <c r="BU263" s="112" t="n">
        <v>38254.66015625</v>
      </c>
      <c r="BV263" s="112" t="n">
        <v>9872.1708984375</v>
      </c>
      <c r="BW263" s="112" t="n">
        <v>14808.2568359375</v>
      </c>
      <c r="BX263" s="113" t="n">
        <v>0</v>
      </c>
      <c r="BZ263" s="110" t="n">
        <v>43891</v>
      </c>
      <c r="CA263" s="185" t="n">
        <v>29</v>
      </c>
      <c r="CB263" s="116" t="n">
        <v>29</v>
      </c>
      <c r="CC263" s="181" t="n">
        <v>29</v>
      </c>
      <c r="CD263" s="181" t="n">
        <v>29</v>
      </c>
      <c r="CE263" s="117" t="n">
        <v>1</v>
      </c>
    </row>
    <row r="264" customFormat="false" ht="12.75" hidden="false" customHeight="false" outlineLevel="0" collapsed="false">
      <c r="A264" s="0" t="n">
        <f aca="true">IF(ISERROR(MATCH(D264,iRefDt,0)),"",MATCH(D264,iRefDt,0))</f>
        <v>264</v>
      </c>
      <c r="B264" s="92" t="n">
        <f aca="false">MATCH(YEAR(D264),iSpreads)</f>
        <v>20</v>
      </c>
      <c r="C264" s="0" t="n">
        <f aca="false">MONTH(D264)</f>
        <v>4</v>
      </c>
      <c r="D264" s="93" t="n">
        <f aca="false">DATE(YEAR(D263),MONTH(D263)+1,1)</f>
        <v>43922</v>
      </c>
      <c r="E264" s="94" t="n">
        <f aca="false">VLOOKUP($D264,tblPriorPrice,2)</f>
        <v>29</v>
      </c>
      <c r="F264" s="190" t="n">
        <f aca="false">G264-E264</f>
        <v>0</v>
      </c>
      <c r="G264" s="190" t="n">
        <f aca="true">G252+OFFSET($CG$4,$B264,$C264)</f>
        <v>29</v>
      </c>
      <c r="H264" s="96" t="n">
        <f aca="true">G264+OFFSET($CU$4,$B264,$C264)</f>
        <v>24</v>
      </c>
      <c r="I264" s="96" t="n">
        <f aca="true">G264+OFFSET($DI$4,$B264,$C264)</f>
        <v>63</v>
      </c>
      <c r="J264" s="94" t="n">
        <f aca="false">VLOOKUP($D264,tblPriorPrice,3)</f>
        <v>29</v>
      </c>
      <c r="K264" s="190" t="n">
        <f aca="false">L264-J264</f>
        <v>0</v>
      </c>
      <c r="L264" s="190" t="n">
        <f aca="true">L252+OFFSET($CG$27,$B264,$C264)</f>
        <v>29</v>
      </c>
      <c r="M264" s="96" t="n">
        <f aca="true">$L264+OFFSET($CU$27,$B264,$C264)</f>
        <v>24</v>
      </c>
      <c r="N264" s="97" t="n">
        <f aca="true">$L264+OFFSET($DI$27,$B264,$C264)</f>
        <v>53</v>
      </c>
      <c r="O264" s="59" t="n">
        <f aca="true">IF($A264="",0,INDEX(tblPosn,$A264,2))</f>
        <v>51006.5</v>
      </c>
      <c r="P264" s="59" t="n">
        <f aca="true">IF($A264="",0,INDEX(tblPosn,$A264,3))</f>
        <v>36281.41015625</v>
      </c>
      <c r="Q264" s="59" t="n">
        <f aca="true">IF($A264="",0,INDEX(tblPosn,$A264,4))</f>
        <v>9715.5234375</v>
      </c>
      <c r="R264" s="59" t="n">
        <f aca="true">IF($A264="",0,INDEX(tblPosn,$A264,5))</f>
        <v>12144.404296875</v>
      </c>
      <c r="T264" s="98" t="n">
        <f aca="false">O264*F264+P264*K264+R264*AC264+S264*AH264/0.72+Q264*X264</f>
        <v>0</v>
      </c>
      <c r="V264" s="161" t="n">
        <f aca="false">D264</f>
        <v>43922</v>
      </c>
      <c r="W264" s="94" t="n">
        <f aca="false">VLOOKUP($D264,tblPriorPrice,4)</f>
        <v>29</v>
      </c>
      <c r="X264" s="95" t="n">
        <f aca="false">Y264-W264</f>
        <v>0</v>
      </c>
      <c r="Y264" s="191" t="n">
        <f aca="true">Y252+OFFSET($CG$50,$B264,$C264)</f>
        <v>29</v>
      </c>
      <c r="Z264" s="96" t="n">
        <f aca="true">Y264+OFFSET($CU$51,$B264,$C264)</f>
        <v>29</v>
      </c>
      <c r="AA264" s="177" t="n">
        <f aca="true">Y264+OFFSET($DI$51,$B264,$C264)</f>
        <v>29</v>
      </c>
      <c r="AB264" s="94" t="n">
        <f aca="false">VLOOKUP($D264,tblPriorPrice,5)</f>
        <v>29</v>
      </c>
      <c r="AC264" s="190" t="n">
        <f aca="false">AD264-AB264</f>
        <v>0</v>
      </c>
      <c r="AD264" s="191" t="n">
        <f aca="true">AD252+OFFSET($CG$73,$B264,$C264)</f>
        <v>29</v>
      </c>
      <c r="AE264" s="96" t="n">
        <f aca="true">AD264+OFFSET($CU$74,$B264,$C264)</f>
        <v>29</v>
      </c>
      <c r="AF264" s="177" t="n">
        <f aca="true">AD264+OFFSET($DI$74,$B264,$C264)</f>
        <v>29</v>
      </c>
      <c r="AG264" s="94" t="n">
        <f aca="false">VLOOKUP($D264,tblPriorPrice,6)</f>
        <v>1</v>
      </c>
      <c r="AH264" s="190" t="n">
        <f aca="false">AI264-AG264</f>
        <v>0</v>
      </c>
      <c r="AI264" s="191" t="n">
        <f aca="true">AI252+OFFSET($CG$96,$B264,$C264)</f>
        <v>1</v>
      </c>
      <c r="AJ264" s="96" t="n">
        <f aca="true">AI264+OFFSET($CU$96,$B264,$C264)</f>
        <v>1</v>
      </c>
      <c r="AK264" s="97" t="n">
        <f aca="true">AI264+OFFSET($DI$96,$B264,$C264)</f>
        <v>1</v>
      </c>
      <c r="AL264" s="178" t="n">
        <v>74</v>
      </c>
      <c r="AM264" s="165" t="n">
        <v>0.4</v>
      </c>
      <c r="AN264" s="167" t="n">
        <f aca="false">'[3]Pricing Summary'!$AM242</f>
        <v>0.17</v>
      </c>
      <c r="AO264" s="167" t="n">
        <f aca="false">0.9*AN264</f>
        <v>0.153</v>
      </c>
      <c r="AP264" s="166" t="n">
        <f aca="false">1.5*AN264</f>
        <v>0.255</v>
      </c>
      <c r="AQ264" s="167" t="n">
        <f aca="false">AN264</f>
        <v>0.17</v>
      </c>
      <c r="AR264" s="166" t="n">
        <f aca="false">0.8*AQ264</f>
        <v>0.136</v>
      </c>
      <c r="AS264" s="166" t="n">
        <f aca="false">1.2*AQ264</f>
        <v>0.204</v>
      </c>
      <c r="AT264" s="169" t="n">
        <f aca="false">IF(G264&lt;110,17.94063*(LN(G264/100))+6.727568*(LN(G264/100)^2)+15.06494,(-4.1*G264+2135)/100)*0.5</f>
        <v>1.58278405940532</v>
      </c>
      <c r="AU264" s="169" t="n">
        <f aca="false">(0.75*AT264-AT264)</f>
        <v>-0.395696014851329</v>
      </c>
      <c r="AV264" s="166" t="n">
        <f aca="false">AT264/0.5*1.25-AT264</f>
        <v>2.37417608910797</v>
      </c>
      <c r="AW264" s="168" t="n">
        <f aca="false">IF(L264&lt;15,(15*L264+375)/100,(-4.71*L264+670.65)/100)*0.5</f>
        <v>2.6703</v>
      </c>
      <c r="AX264" s="166" t="n">
        <f aca="false">0.75*AW264-AW264</f>
        <v>-0.667575</v>
      </c>
      <c r="AY264" s="166" t="n">
        <f aca="false">AW264/0.5*1.25-AW264</f>
        <v>4.00545</v>
      </c>
      <c r="AZ264" s="167" t="n">
        <v>0.5</v>
      </c>
      <c r="BA264" s="74"/>
      <c r="BQ264" s="108" t="n">
        <v>36907.7428240741</v>
      </c>
      <c r="BR264" s="109" t="n">
        <v>36907.743287037</v>
      </c>
      <c r="BS264" s="110" t="n">
        <v>43862</v>
      </c>
      <c r="BT264" s="111" t="n">
        <v>46650.7265625</v>
      </c>
      <c r="BU264" s="112" t="n">
        <v>35601.8671875</v>
      </c>
      <c r="BV264" s="112" t="n">
        <v>12276.5068359375</v>
      </c>
      <c r="BW264" s="112" t="n">
        <v>12276.5068359375</v>
      </c>
      <c r="BX264" s="113" t="n">
        <v>0</v>
      </c>
      <c r="BZ264" s="110" t="n">
        <v>43922</v>
      </c>
      <c r="CA264" s="185" t="n">
        <v>29</v>
      </c>
      <c r="CB264" s="116" t="n">
        <v>29</v>
      </c>
      <c r="CC264" s="181" t="n">
        <v>29</v>
      </c>
      <c r="CD264" s="181" t="n">
        <v>29</v>
      </c>
      <c r="CE264" s="117" t="n">
        <v>1</v>
      </c>
    </row>
    <row r="265" customFormat="false" ht="12.75" hidden="false" customHeight="false" outlineLevel="0" collapsed="false">
      <c r="A265" s="0" t="n">
        <f aca="true">IF(ISERROR(MATCH(D265,iRefDt,0)),"",MATCH(D265,iRefDt,0))</f>
        <v>265</v>
      </c>
      <c r="B265" s="92" t="n">
        <f aca="false">MATCH(YEAR(D265),iSpreads)</f>
        <v>20</v>
      </c>
      <c r="C265" s="0" t="n">
        <f aca="false">MONTH(D265)</f>
        <v>5</v>
      </c>
      <c r="D265" s="93" t="n">
        <f aca="false">DATE(YEAR(D264),MONTH(D264)+1,1)</f>
        <v>43952</v>
      </c>
      <c r="E265" s="94" t="n">
        <f aca="false">VLOOKUP($D265,tblPriorPrice,2)</f>
        <v>32</v>
      </c>
      <c r="F265" s="190" t="n">
        <f aca="false">G265-E265</f>
        <v>0</v>
      </c>
      <c r="G265" s="190" t="n">
        <f aca="true">G253+OFFSET($CG$4,$B265,$C265)</f>
        <v>32</v>
      </c>
      <c r="H265" s="96" t="n">
        <f aca="true">G265+OFFSET($CU$4,$B265,$C265)</f>
        <v>27</v>
      </c>
      <c r="I265" s="96" t="n">
        <f aca="true">G265+OFFSET($DI$4,$B265,$C265)</f>
        <v>66</v>
      </c>
      <c r="J265" s="94" t="n">
        <f aca="false">VLOOKUP($D265,tblPriorPrice,3)</f>
        <v>32</v>
      </c>
      <c r="K265" s="190" t="n">
        <f aca="false">L265-J265</f>
        <v>0</v>
      </c>
      <c r="L265" s="190" t="n">
        <f aca="true">L253+OFFSET($CG$27,$B265,$C265)</f>
        <v>32</v>
      </c>
      <c r="M265" s="96" t="n">
        <f aca="true">$L265+OFFSET($CU$27,$B265,$C265)</f>
        <v>27</v>
      </c>
      <c r="N265" s="97" t="n">
        <f aca="true">$L265+OFFSET($DI$27,$B265,$C265)</f>
        <v>56</v>
      </c>
      <c r="O265" s="59" t="n">
        <f aca="true">IF($A265="",0,INDEX(tblPosn,$A265,2))</f>
        <v>48308.1953125</v>
      </c>
      <c r="P265" s="59" t="n">
        <f aca="true">IF($A265="",0,INDEX(tblPosn,$A265,3))</f>
        <v>37438.8515625</v>
      </c>
      <c r="Q265" s="59" t="n">
        <f aca="true">IF($A265="",0,INDEX(tblPosn,$A265,4))</f>
        <v>12077.048828125</v>
      </c>
      <c r="R265" s="59" t="n">
        <f aca="true">IF($A265="",0,INDEX(tblPosn,$A265,5))</f>
        <v>14492.4580078125</v>
      </c>
      <c r="T265" s="98" t="n">
        <f aca="false">O265*F265+P265*K265+R265*AC265+S265*AH265/0.72+Q265*X265</f>
        <v>0</v>
      </c>
      <c r="V265" s="161" t="n">
        <f aca="false">D265</f>
        <v>43952</v>
      </c>
      <c r="W265" s="94" t="n">
        <f aca="false">VLOOKUP($D265,tblPriorPrice,4)</f>
        <v>32</v>
      </c>
      <c r="X265" s="95" t="n">
        <f aca="false">Y265-W265</f>
        <v>0</v>
      </c>
      <c r="Y265" s="191" t="n">
        <f aca="true">Y253+OFFSET($CG$50,$B265,$C265)</f>
        <v>32</v>
      </c>
      <c r="Z265" s="96" t="n">
        <f aca="true">Y265+OFFSET($CU$51,$B265,$C265)</f>
        <v>32</v>
      </c>
      <c r="AA265" s="177" t="n">
        <f aca="true">Y265+OFFSET($DI$51,$B265,$C265)</f>
        <v>32</v>
      </c>
      <c r="AB265" s="94" t="n">
        <f aca="false">VLOOKUP($D265,tblPriorPrice,5)</f>
        <v>32</v>
      </c>
      <c r="AC265" s="190" t="n">
        <f aca="false">AD265-AB265</f>
        <v>0</v>
      </c>
      <c r="AD265" s="191" t="n">
        <f aca="true">AD253+OFFSET($CG$73,$B265,$C265)</f>
        <v>32</v>
      </c>
      <c r="AE265" s="96" t="n">
        <f aca="true">AD265+OFFSET($CU$74,$B265,$C265)</f>
        <v>32</v>
      </c>
      <c r="AF265" s="177" t="n">
        <f aca="true">AD265+OFFSET($DI$74,$B265,$C265)</f>
        <v>32</v>
      </c>
      <c r="AG265" s="94" t="n">
        <f aca="false">VLOOKUP($D265,tblPriorPrice,6)</f>
        <v>1</v>
      </c>
      <c r="AH265" s="190" t="n">
        <f aca="false">AI265-AG265</f>
        <v>0</v>
      </c>
      <c r="AI265" s="191" t="n">
        <f aca="true">AI253+OFFSET($CG$96,$B265,$C265)</f>
        <v>1</v>
      </c>
      <c r="AJ265" s="96" t="n">
        <f aca="true">AI265+OFFSET($CU$96,$B265,$C265)</f>
        <v>1</v>
      </c>
      <c r="AK265" s="97" t="n">
        <f aca="true">AI265+OFFSET($DI$96,$B265,$C265)</f>
        <v>1</v>
      </c>
      <c r="AL265" s="178" t="n">
        <v>74</v>
      </c>
      <c r="AM265" s="165" t="n">
        <v>0.4</v>
      </c>
      <c r="AN265" s="167" t="n">
        <f aca="false">'[3]Pricing Summary'!$AM243</f>
        <v>0.17</v>
      </c>
      <c r="AO265" s="167" t="n">
        <f aca="false">0.9*AN265</f>
        <v>0.153</v>
      </c>
      <c r="AP265" s="166" t="n">
        <f aca="false">1.5*AN265</f>
        <v>0.255</v>
      </c>
      <c r="AQ265" s="167" t="n">
        <f aca="false">AN265</f>
        <v>0.17</v>
      </c>
      <c r="AR265" s="166" t="n">
        <f aca="false">0.8*AQ265</f>
        <v>0.136</v>
      </c>
      <c r="AS265" s="166" t="n">
        <f aca="false">1.2*AQ265</f>
        <v>0.204</v>
      </c>
      <c r="AT265" s="169" t="n">
        <f aca="false">IF(G265&lt;110,17.94063*(LN(G265/100))+6.727568*(LN(G265/100)^2)+15.06494,(-4.1*G265+2135)/100)*0.5</f>
        <v>1.67862159684781</v>
      </c>
      <c r="AU265" s="169" t="n">
        <f aca="false">(0.75*AT265-AT265)</f>
        <v>-0.419655399211954</v>
      </c>
      <c r="AV265" s="166" t="n">
        <f aca="false">AT265/0.5*1.25-AT265</f>
        <v>2.51793239527172</v>
      </c>
      <c r="AW265" s="168" t="n">
        <f aca="false">IF(L265&lt;15,(15*L265+375)/100,(-4.71*L265+670.65)/100)*0.5</f>
        <v>2.59965</v>
      </c>
      <c r="AX265" s="166" t="n">
        <f aca="false">0.75*AW265-AW265</f>
        <v>-0.6499125</v>
      </c>
      <c r="AY265" s="166" t="n">
        <f aca="false">AW265/0.5*1.25-AW265</f>
        <v>3.899475</v>
      </c>
      <c r="AZ265" s="167" t="n">
        <v>0.5</v>
      </c>
      <c r="BA265" s="74"/>
      <c r="BQ265" s="108" t="n">
        <v>36907.7428240741</v>
      </c>
      <c r="BR265" s="109" t="n">
        <v>36907.743287037</v>
      </c>
      <c r="BS265" s="110" t="n">
        <v>43891</v>
      </c>
      <c r="BT265" s="111" t="n">
        <v>53721.14453125</v>
      </c>
      <c r="BU265" s="112" t="n">
        <v>37848.98828125</v>
      </c>
      <c r="BV265" s="112" t="n">
        <v>9767.4814453125</v>
      </c>
      <c r="BW265" s="112" t="n">
        <v>12209.3515625</v>
      </c>
      <c r="BX265" s="113" t="n">
        <v>0</v>
      </c>
      <c r="BZ265" s="110" t="n">
        <v>43952</v>
      </c>
      <c r="CA265" s="185" t="n">
        <v>32</v>
      </c>
      <c r="CB265" s="116" t="n">
        <v>32</v>
      </c>
      <c r="CC265" s="181" t="n">
        <v>32</v>
      </c>
      <c r="CD265" s="181" t="n">
        <v>32</v>
      </c>
      <c r="CE265" s="117" t="n">
        <v>1</v>
      </c>
    </row>
    <row r="266" customFormat="false" ht="12.75" hidden="false" customHeight="false" outlineLevel="0" collapsed="false">
      <c r="A266" s="0" t="n">
        <f aca="true">IF(ISERROR(MATCH(D266,iRefDt,0)),"",MATCH(D266,iRefDt,0))</f>
        <v>266</v>
      </c>
      <c r="B266" s="92" t="n">
        <f aca="false">MATCH(YEAR(D266),iSpreads)</f>
        <v>20</v>
      </c>
      <c r="C266" s="0" t="n">
        <f aca="false">MONTH(D266)</f>
        <v>6</v>
      </c>
      <c r="D266" s="93" t="n">
        <f aca="false">DATE(YEAR(D265),MONTH(D265)+1,1)</f>
        <v>43983</v>
      </c>
      <c r="E266" s="94" t="n">
        <f aca="false">VLOOKUP($D266,tblPriorPrice,2)</f>
        <v>39</v>
      </c>
      <c r="F266" s="190" t="n">
        <f aca="false">G266-E266</f>
        <v>0</v>
      </c>
      <c r="G266" s="190" t="n">
        <f aca="true">G254+OFFSET($CG$4,$B266,$C266)</f>
        <v>39</v>
      </c>
      <c r="H266" s="96" t="n">
        <f aca="true">G266+OFFSET($CU$4,$B266,$C266)</f>
        <v>34</v>
      </c>
      <c r="I266" s="96" t="n">
        <f aca="true">G266+OFFSET($DI$4,$B266,$C266)</f>
        <v>73</v>
      </c>
      <c r="J266" s="94" t="n">
        <f aca="false">VLOOKUP($D266,tblPriorPrice,3)</f>
        <v>39</v>
      </c>
      <c r="K266" s="190" t="n">
        <f aca="false">L266-J266</f>
        <v>0</v>
      </c>
      <c r="L266" s="190" t="n">
        <f aca="true">L254+OFFSET($CG$27,$B266,$C266)</f>
        <v>39</v>
      </c>
      <c r="M266" s="96" t="n">
        <f aca="true">$L266+OFFSET($CU$27,$B266,$C266)</f>
        <v>34</v>
      </c>
      <c r="N266" s="97" t="n">
        <f aca="true">$L266+OFFSET($DI$27,$B266,$C266)</f>
        <v>63</v>
      </c>
      <c r="O266" s="59" t="n">
        <f aca="true">IF($A266="",0,INDEX(tblPosn,$A266,2))</f>
        <v>52859.94140625</v>
      </c>
      <c r="P266" s="59" t="n">
        <f aca="true">IF($A266="",0,INDEX(tblPosn,$A266,3))</f>
        <v>36040.8671875</v>
      </c>
      <c r="Q266" s="59" t="n">
        <f aca="true">IF($A266="",0,INDEX(tblPosn,$A266,4))</f>
        <v>9610.8984375</v>
      </c>
      <c r="R266" s="59" t="n">
        <f aca="true">IF($A266="",0,INDEX(tblPosn,$A266,5))</f>
        <v>9610.8984375</v>
      </c>
      <c r="T266" s="98" t="n">
        <f aca="false">O266*F266+P266*K266+R266*AC266+S266*AH266/0.72+Q266*X266</f>
        <v>0</v>
      </c>
      <c r="V266" s="161" t="n">
        <f aca="false">D266</f>
        <v>43983</v>
      </c>
      <c r="W266" s="94" t="n">
        <f aca="false">VLOOKUP($D266,tblPriorPrice,4)</f>
        <v>39</v>
      </c>
      <c r="X266" s="95" t="n">
        <f aca="false">Y266-W266</f>
        <v>0</v>
      </c>
      <c r="Y266" s="191" t="n">
        <f aca="true">Y254+OFFSET($CG$50,$B266,$C266)</f>
        <v>39</v>
      </c>
      <c r="Z266" s="96" t="n">
        <f aca="true">Y266+OFFSET($CU$51,$B266,$C266)</f>
        <v>39</v>
      </c>
      <c r="AA266" s="177" t="n">
        <f aca="true">Y266+OFFSET($DI$51,$B266,$C266)</f>
        <v>39</v>
      </c>
      <c r="AB266" s="94" t="n">
        <f aca="false">VLOOKUP($D266,tblPriorPrice,5)</f>
        <v>39</v>
      </c>
      <c r="AC266" s="190" t="n">
        <f aca="false">AD266-AB266</f>
        <v>0</v>
      </c>
      <c r="AD266" s="191" t="n">
        <f aca="true">AD254+OFFSET($CG$73,$B266,$C266)</f>
        <v>39</v>
      </c>
      <c r="AE266" s="96" t="n">
        <f aca="true">AD266+OFFSET($CU$74,$B266,$C266)</f>
        <v>39</v>
      </c>
      <c r="AF266" s="177" t="n">
        <f aca="true">AD266+OFFSET($DI$74,$B266,$C266)</f>
        <v>39</v>
      </c>
      <c r="AG266" s="94" t="n">
        <f aca="false">VLOOKUP($D266,tblPriorPrice,6)</f>
        <v>1</v>
      </c>
      <c r="AH266" s="190" t="n">
        <f aca="false">AI266-AG266</f>
        <v>0</v>
      </c>
      <c r="AI266" s="191" t="n">
        <f aca="true">AI254+OFFSET($CG$96,$B266,$C266)</f>
        <v>1</v>
      </c>
      <c r="AJ266" s="96" t="n">
        <f aca="true">AI266+OFFSET($CU$96,$B266,$C266)</f>
        <v>1</v>
      </c>
      <c r="AK266" s="97" t="n">
        <f aca="true">AI266+OFFSET($DI$96,$B266,$C266)</f>
        <v>1</v>
      </c>
      <c r="AL266" s="178" t="n">
        <v>74</v>
      </c>
      <c r="AM266" s="165" t="n">
        <v>0.4</v>
      </c>
      <c r="AN266" s="167" t="n">
        <f aca="false">'[3]Pricing Summary'!$AM244</f>
        <v>0.17</v>
      </c>
      <c r="AO266" s="167" t="n">
        <f aca="false">0.9*AN266</f>
        <v>0.153</v>
      </c>
      <c r="AP266" s="166" t="n">
        <f aca="false">1.5*AN266</f>
        <v>0.255</v>
      </c>
      <c r="AQ266" s="167" t="n">
        <f aca="false">AN266</f>
        <v>0.17</v>
      </c>
      <c r="AR266" s="166" t="n">
        <f aca="false">0.8*AQ266</f>
        <v>0.136</v>
      </c>
      <c r="AS266" s="166" t="n">
        <f aca="false">1.2*AQ266</f>
        <v>0.204</v>
      </c>
      <c r="AT266" s="169" t="n">
        <f aca="false">IF(G266&lt;110,17.94063*(LN(G266/100))+6.727568*(LN(G266/100)^2)+15.06494,(-4.1*G266+2135)/100)*0.5</f>
        <v>2.06836530423771</v>
      </c>
      <c r="AU266" s="169" t="n">
        <f aca="false">(0.75*AT266-AT266)</f>
        <v>-0.517091326059428</v>
      </c>
      <c r="AV266" s="166" t="n">
        <f aca="false">AT266/0.5*1.25-AT266</f>
        <v>3.10254795635657</v>
      </c>
      <c r="AW266" s="168" t="n">
        <f aca="false">IF(L266&lt;15,(15*L266+375)/100,(-4.71*L266+670.65)/100)*0.5</f>
        <v>2.4348</v>
      </c>
      <c r="AX266" s="166" t="n">
        <f aca="false">0.75*AW266-AW266</f>
        <v>-0.6087</v>
      </c>
      <c r="AY266" s="166" t="n">
        <f aca="false">AW266/0.5*1.25-AW266</f>
        <v>3.6522</v>
      </c>
      <c r="AZ266" s="167" t="n">
        <v>0.5</v>
      </c>
      <c r="BA266" s="74"/>
      <c r="BQ266" s="108" t="n">
        <v>36907.7428240741</v>
      </c>
      <c r="BR266" s="109" t="n">
        <v>36907.743287037</v>
      </c>
      <c r="BS266" s="110" t="n">
        <v>43922</v>
      </c>
      <c r="BT266" s="111" t="n">
        <v>51006.5</v>
      </c>
      <c r="BU266" s="112" t="n">
        <v>36281.41015625</v>
      </c>
      <c r="BV266" s="112" t="n">
        <v>9715.5234375</v>
      </c>
      <c r="BW266" s="112" t="n">
        <v>12144.404296875</v>
      </c>
      <c r="BX266" s="113" t="n">
        <v>0</v>
      </c>
      <c r="BZ266" s="110" t="n">
        <v>43983</v>
      </c>
      <c r="CA266" s="185" t="n">
        <v>39</v>
      </c>
      <c r="CB266" s="116" t="n">
        <v>39</v>
      </c>
      <c r="CC266" s="181" t="n">
        <v>39</v>
      </c>
      <c r="CD266" s="181" t="n">
        <v>39</v>
      </c>
      <c r="CE266" s="117" t="n">
        <v>1</v>
      </c>
    </row>
    <row r="267" customFormat="false" ht="12.75" hidden="false" customHeight="false" outlineLevel="0" collapsed="false">
      <c r="A267" s="0" t="n">
        <f aca="true">IF(ISERROR(MATCH(D267,iRefDt,0)),"",MATCH(D267,iRefDt,0))</f>
        <v>267</v>
      </c>
      <c r="B267" s="92" t="n">
        <f aca="false">MATCH(YEAR(D267),iSpreads)</f>
        <v>20</v>
      </c>
      <c r="C267" s="0" t="n">
        <f aca="false">MONTH(D267)</f>
        <v>7</v>
      </c>
      <c r="D267" s="93" t="n">
        <f aca="false">DATE(YEAR(D266),MONTH(D266)+1,1)</f>
        <v>44013</v>
      </c>
      <c r="E267" s="94" t="n">
        <f aca="false">VLOOKUP($D267,tblPriorPrice,2)</f>
        <v>39</v>
      </c>
      <c r="F267" s="190" t="n">
        <f aca="false">G267-E267</f>
        <v>0</v>
      </c>
      <c r="G267" s="190" t="n">
        <f aca="true">G255+OFFSET($CG$4,$B267,$C267)</f>
        <v>39</v>
      </c>
      <c r="H267" s="96" t="n">
        <f aca="true">G267+OFFSET($CU$4,$B267,$C267)</f>
        <v>34</v>
      </c>
      <c r="I267" s="96" t="n">
        <f aca="true">G267+OFFSET($DI$4,$B267,$C267)</f>
        <v>73</v>
      </c>
      <c r="J267" s="94" t="n">
        <f aca="false">VLOOKUP($D267,tblPriorPrice,3)</f>
        <v>39</v>
      </c>
      <c r="K267" s="190" t="n">
        <f aca="false">L267-J267</f>
        <v>0</v>
      </c>
      <c r="L267" s="190" t="n">
        <f aca="true">L255+OFFSET($CG$27,$B267,$C267)</f>
        <v>39</v>
      </c>
      <c r="M267" s="96" t="n">
        <f aca="true">$L267+OFFSET($CU$27,$B267,$C267)</f>
        <v>34</v>
      </c>
      <c r="N267" s="97" t="n">
        <f aca="true">$L267+OFFSET($DI$27,$B267,$C267)</f>
        <v>63</v>
      </c>
      <c r="O267" s="59" t="n">
        <f aca="true">IF($A267="",0,INDEX(tblPosn,$A267,2))</f>
        <v>52567.8046875</v>
      </c>
      <c r="P267" s="59" t="n">
        <f aca="true">IF($A267="",0,INDEX(tblPosn,$A267,3))</f>
        <v>37036.40625</v>
      </c>
      <c r="Q267" s="59" t="n">
        <f aca="true">IF($A267="",0,INDEX(tblPosn,$A267,4))</f>
        <v>9557.783203125</v>
      </c>
      <c r="R267" s="59" t="n">
        <f aca="true">IF($A267="",0,INDEX(tblPosn,$A267,5))</f>
        <v>11947.228515625</v>
      </c>
      <c r="T267" s="98" t="n">
        <f aca="false">O267*F267+P267*K267+R267*AC267+S267*AH267/0.72+Q267*X267</f>
        <v>0</v>
      </c>
      <c r="V267" s="161" t="n">
        <f aca="false">D267</f>
        <v>44013</v>
      </c>
      <c r="W267" s="94" t="n">
        <f aca="false">VLOOKUP($D267,tblPriorPrice,4)</f>
        <v>39</v>
      </c>
      <c r="X267" s="95" t="n">
        <f aca="false">Y267-W267</f>
        <v>0</v>
      </c>
      <c r="Y267" s="191" t="n">
        <f aca="true">Y255+OFFSET($CG$50,$B267,$C267)</f>
        <v>39</v>
      </c>
      <c r="Z267" s="96" t="n">
        <f aca="true">Y267+OFFSET($CU$51,$B267,$C267)</f>
        <v>39</v>
      </c>
      <c r="AA267" s="177" t="n">
        <f aca="true">Y267+OFFSET($DI$51,$B267,$C267)</f>
        <v>39</v>
      </c>
      <c r="AB267" s="94" t="n">
        <f aca="false">VLOOKUP($D267,tblPriorPrice,5)</f>
        <v>39</v>
      </c>
      <c r="AC267" s="190" t="n">
        <f aca="false">AD267-AB267</f>
        <v>0</v>
      </c>
      <c r="AD267" s="191" t="n">
        <f aca="true">AD255+OFFSET($CG$73,$B267,$C267)</f>
        <v>39</v>
      </c>
      <c r="AE267" s="96" t="n">
        <f aca="true">AD267+OFFSET($CU$74,$B267,$C267)</f>
        <v>39</v>
      </c>
      <c r="AF267" s="177" t="n">
        <f aca="true">AD267+OFFSET($DI$74,$B267,$C267)</f>
        <v>39</v>
      </c>
      <c r="AG267" s="94" t="n">
        <f aca="false">VLOOKUP($D267,tblPriorPrice,6)</f>
        <v>1</v>
      </c>
      <c r="AH267" s="190" t="n">
        <f aca="false">AI267-AG267</f>
        <v>0</v>
      </c>
      <c r="AI267" s="191" t="n">
        <f aca="true">AI255+OFFSET($CG$96,$B267,$C267)</f>
        <v>1</v>
      </c>
      <c r="AJ267" s="96" t="n">
        <f aca="true">AI267+OFFSET($CU$96,$B267,$C267)</f>
        <v>1</v>
      </c>
      <c r="AK267" s="97" t="n">
        <f aca="true">AI267+OFFSET($DI$96,$B267,$C267)</f>
        <v>1</v>
      </c>
      <c r="AL267" s="178" t="n">
        <v>74</v>
      </c>
      <c r="AM267" s="165" t="n">
        <v>0.4</v>
      </c>
      <c r="AN267" s="167" t="n">
        <f aca="false">'[3]Pricing Summary'!$AM245</f>
        <v>0.17</v>
      </c>
      <c r="AO267" s="167" t="n">
        <f aca="false">0.9*AN267</f>
        <v>0.153</v>
      </c>
      <c r="AP267" s="166" t="n">
        <f aca="false">1.5*AN267</f>
        <v>0.255</v>
      </c>
      <c r="AQ267" s="167" t="n">
        <f aca="false">AN267</f>
        <v>0.17</v>
      </c>
      <c r="AR267" s="166" t="n">
        <f aca="false">0.8*AQ267</f>
        <v>0.136</v>
      </c>
      <c r="AS267" s="166" t="n">
        <f aca="false">1.2*AQ267</f>
        <v>0.204</v>
      </c>
      <c r="AT267" s="169" t="n">
        <f aca="false">IF(G267&lt;110,17.94063*(LN(G267/100))+6.727568*(LN(G267/100)^2)+15.06494,(-4.1*G267+2135)/100)*0.5</f>
        <v>2.06836530423771</v>
      </c>
      <c r="AU267" s="169" t="n">
        <f aca="false">(0.75*AT267-AT267)</f>
        <v>-0.517091326059428</v>
      </c>
      <c r="AV267" s="166" t="n">
        <f aca="false">AT267/0.5*1.25-AT267</f>
        <v>3.10254795635657</v>
      </c>
      <c r="AW267" s="168" t="n">
        <f aca="false">IF(L267&lt;15,(15*L267+375)/100,(-4.71*L267+670.65)/100)*0.5</f>
        <v>2.4348</v>
      </c>
      <c r="AX267" s="166" t="n">
        <f aca="false">0.75*AW267-AW267</f>
        <v>-0.6087</v>
      </c>
      <c r="AY267" s="166" t="n">
        <f aca="false">AW267/0.5*1.25-AW267</f>
        <v>3.6522</v>
      </c>
      <c r="AZ267" s="167" t="n">
        <v>0.5</v>
      </c>
      <c r="BA267" s="74"/>
      <c r="BQ267" s="108" t="n">
        <v>36907.7428240741</v>
      </c>
      <c r="BR267" s="109" t="n">
        <v>36907.743287037</v>
      </c>
      <c r="BS267" s="110" t="n">
        <v>43952</v>
      </c>
      <c r="BT267" s="111" t="n">
        <v>48308.1953125</v>
      </c>
      <c r="BU267" s="112" t="n">
        <v>37438.8515625</v>
      </c>
      <c r="BV267" s="112" t="n">
        <v>12077.048828125</v>
      </c>
      <c r="BW267" s="112" t="n">
        <v>14492.4580078125</v>
      </c>
      <c r="BX267" s="113" t="n">
        <v>0</v>
      </c>
      <c r="BZ267" s="110" t="n">
        <v>44013</v>
      </c>
      <c r="CA267" s="185" t="n">
        <v>39</v>
      </c>
      <c r="CB267" s="116" t="n">
        <v>39</v>
      </c>
      <c r="CC267" s="181" t="n">
        <v>39</v>
      </c>
      <c r="CD267" s="181" t="n">
        <v>39</v>
      </c>
      <c r="CE267" s="117" t="n">
        <v>1</v>
      </c>
    </row>
    <row r="268" customFormat="false" ht="12.75" hidden="false" customHeight="false" outlineLevel="0" collapsed="false">
      <c r="A268" s="0" t="n">
        <f aca="true">IF(ISERROR(MATCH(D268,iRefDt,0)),"",MATCH(D268,iRefDt,0))</f>
        <v>268</v>
      </c>
      <c r="B268" s="92" t="n">
        <f aca="false">MATCH(YEAR(D268),iSpreads)</f>
        <v>20</v>
      </c>
      <c r="C268" s="0" t="n">
        <f aca="false">MONTH(D268)</f>
        <v>8</v>
      </c>
      <c r="D268" s="93" t="n">
        <f aca="false">DATE(YEAR(D267),MONTH(D267)+1,1)</f>
        <v>44044</v>
      </c>
      <c r="E268" s="94" t="n">
        <f aca="false">VLOOKUP($D268,tblPriorPrice,2)</f>
        <v>41</v>
      </c>
      <c r="F268" s="190" t="n">
        <f aca="false">G268-E268</f>
        <v>0</v>
      </c>
      <c r="G268" s="190" t="n">
        <f aca="true">G256+OFFSET($CG$4,$B268,$C268)</f>
        <v>41</v>
      </c>
      <c r="H268" s="96" t="n">
        <f aca="true">G268+OFFSET($CU$4,$B268,$C268)</f>
        <v>36</v>
      </c>
      <c r="I268" s="96" t="n">
        <f aca="true">G268+OFFSET($DI$4,$B268,$C268)</f>
        <v>75</v>
      </c>
      <c r="J268" s="94" t="n">
        <f aca="false">VLOOKUP($D268,tblPriorPrice,3)</f>
        <v>41</v>
      </c>
      <c r="K268" s="190" t="n">
        <f aca="false">L268-J268</f>
        <v>0</v>
      </c>
      <c r="L268" s="190" t="n">
        <f aca="true">L256+OFFSET($CG$27,$B268,$C268)</f>
        <v>41</v>
      </c>
      <c r="M268" s="96" t="n">
        <f aca="true">$L268+OFFSET($CU$27,$B268,$C268)</f>
        <v>36</v>
      </c>
      <c r="N268" s="97" t="n">
        <f aca="true">$L268+OFFSET($DI$27,$B268,$C268)</f>
        <v>65</v>
      </c>
      <c r="O268" s="59" t="n">
        <f aca="true">IF($A268="",0,INDEX(tblPosn,$A268,2))</f>
        <v>49903.33984375</v>
      </c>
      <c r="P268" s="59" t="n">
        <f aca="true">IF($A268="",0,INDEX(tblPosn,$A268,3))</f>
        <v>36833.4140625</v>
      </c>
      <c r="Q268" s="59" t="n">
        <f aca="true">IF($A268="",0,INDEX(tblPosn,$A268,4))</f>
        <v>11881.748046875</v>
      </c>
      <c r="R268" s="59" t="n">
        <f aca="true">IF($A268="",0,INDEX(tblPosn,$A268,5))</f>
        <v>11881.748046875</v>
      </c>
      <c r="T268" s="98" t="n">
        <f aca="false">O268*F268+P268*K268+R268*AC268+S268*AH268/0.72+Q268*X268</f>
        <v>0</v>
      </c>
      <c r="V268" s="161" t="n">
        <f aca="false">D268</f>
        <v>44044</v>
      </c>
      <c r="W268" s="94" t="n">
        <f aca="false">VLOOKUP($D268,tblPriorPrice,4)</f>
        <v>41</v>
      </c>
      <c r="X268" s="95" t="n">
        <f aca="false">Y268-W268</f>
        <v>0</v>
      </c>
      <c r="Y268" s="191" t="n">
        <f aca="true">Y256+OFFSET($CG$50,$B268,$C268)</f>
        <v>41</v>
      </c>
      <c r="Z268" s="96" t="n">
        <f aca="true">Y268+OFFSET($CU$51,$B268,$C268)</f>
        <v>41</v>
      </c>
      <c r="AA268" s="177" t="n">
        <f aca="true">Y268+OFFSET($DI$51,$B268,$C268)</f>
        <v>41</v>
      </c>
      <c r="AB268" s="94" t="n">
        <f aca="false">VLOOKUP($D268,tblPriorPrice,5)</f>
        <v>41</v>
      </c>
      <c r="AC268" s="190" t="n">
        <f aca="false">AD268-AB268</f>
        <v>0</v>
      </c>
      <c r="AD268" s="191" t="n">
        <f aca="true">AD256+OFFSET($CG$73,$B268,$C268)</f>
        <v>41</v>
      </c>
      <c r="AE268" s="96" t="n">
        <f aca="true">AD268+OFFSET($CU$74,$B268,$C268)</f>
        <v>41</v>
      </c>
      <c r="AF268" s="177" t="n">
        <f aca="true">AD268+OFFSET($DI$74,$B268,$C268)</f>
        <v>41</v>
      </c>
      <c r="AG268" s="94" t="n">
        <f aca="false">VLOOKUP($D268,tblPriorPrice,6)</f>
        <v>1</v>
      </c>
      <c r="AH268" s="190" t="n">
        <f aca="false">AI268-AG268</f>
        <v>0</v>
      </c>
      <c r="AI268" s="191" t="n">
        <f aca="true">AI256+OFFSET($CG$96,$B268,$C268)</f>
        <v>1</v>
      </c>
      <c r="AJ268" s="96" t="n">
        <f aca="true">AI268+OFFSET($CU$96,$B268,$C268)</f>
        <v>1</v>
      </c>
      <c r="AK268" s="97" t="n">
        <f aca="true">AI268+OFFSET($DI$96,$B268,$C268)</f>
        <v>1</v>
      </c>
      <c r="AL268" s="178" t="n">
        <v>74</v>
      </c>
      <c r="AM268" s="165" t="n">
        <v>0.4</v>
      </c>
      <c r="AN268" s="167" t="n">
        <f aca="false">'[3]Pricing Summary'!$AM246</f>
        <v>0.17</v>
      </c>
      <c r="AO268" s="167" t="n">
        <f aca="false">0.9*AN268</f>
        <v>0.153</v>
      </c>
      <c r="AP268" s="166" t="n">
        <f aca="false">1.5*AN268</f>
        <v>0.255</v>
      </c>
      <c r="AQ268" s="167" t="n">
        <f aca="false">AN268</f>
        <v>0.17</v>
      </c>
      <c r="AR268" s="166" t="n">
        <f aca="false">0.8*AQ268</f>
        <v>0.136</v>
      </c>
      <c r="AS268" s="166" t="n">
        <f aca="false">1.2*AQ268</f>
        <v>0.204</v>
      </c>
      <c r="AT268" s="169" t="n">
        <f aca="false">IF(G268&lt;110,17.94063*(LN(G268/100))+6.727568*(LN(G268/100)^2)+15.06494,(-4.1*G268+2135)/100)*0.5</f>
        <v>2.20858471004844</v>
      </c>
      <c r="AU268" s="169" t="n">
        <f aca="false">(0.75*AT268-AT268)</f>
        <v>-0.552146177512111</v>
      </c>
      <c r="AV268" s="166" t="n">
        <f aca="false">AT268/0.5*1.25-AT268</f>
        <v>3.31287706507267</v>
      </c>
      <c r="AW268" s="168" t="n">
        <f aca="false">IF(L268&lt;15,(15*L268+375)/100,(-4.71*L268+670.65)/100)*0.5</f>
        <v>2.3877</v>
      </c>
      <c r="AX268" s="166" t="n">
        <f aca="false">0.75*AW268-AW268</f>
        <v>-0.596925</v>
      </c>
      <c r="AY268" s="166" t="n">
        <f aca="false">AW268/0.5*1.25-AW268</f>
        <v>3.58155</v>
      </c>
      <c r="AZ268" s="167" t="n">
        <v>0.5</v>
      </c>
      <c r="BA268" s="74"/>
      <c r="BQ268" s="108" t="n">
        <v>36907.7428240741</v>
      </c>
      <c r="BR268" s="109" t="n">
        <v>36907.743287037</v>
      </c>
      <c r="BS268" s="110" t="n">
        <v>43983</v>
      </c>
      <c r="BT268" s="111" t="n">
        <v>52859.94140625</v>
      </c>
      <c r="BU268" s="112" t="n">
        <v>36040.8671875</v>
      </c>
      <c r="BV268" s="112" t="n">
        <v>9610.8984375</v>
      </c>
      <c r="BW268" s="112" t="n">
        <v>9610.8984375</v>
      </c>
      <c r="BX268" s="113" t="n">
        <v>0</v>
      </c>
      <c r="BZ268" s="110" t="n">
        <v>44044</v>
      </c>
      <c r="CA268" s="185" t="n">
        <v>41</v>
      </c>
      <c r="CB268" s="116" t="n">
        <v>41</v>
      </c>
      <c r="CC268" s="181" t="n">
        <v>41</v>
      </c>
      <c r="CD268" s="181" t="n">
        <v>41</v>
      </c>
      <c r="CE268" s="117" t="n">
        <v>1</v>
      </c>
    </row>
    <row r="269" customFormat="false" ht="12.75" hidden="false" customHeight="false" outlineLevel="0" collapsed="false">
      <c r="A269" s="0" t="n">
        <f aca="true">IF(ISERROR(MATCH(D269,iRefDt,0)),"",MATCH(D269,iRefDt,0))</f>
        <v>269</v>
      </c>
      <c r="B269" s="92" t="n">
        <f aca="false">MATCH(YEAR(D269),iSpreads)</f>
        <v>20</v>
      </c>
      <c r="C269" s="0" t="n">
        <f aca="false">MONTH(D269)</f>
        <v>9</v>
      </c>
      <c r="D269" s="93" t="n">
        <f aca="false">DATE(YEAR(D268),MONTH(D268)+1,1)</f>
        <v>44075</v>
      </c>
      <c r="E269" s="94" t="n">
        <f aca="false">VLOOKUP($D269,tblPriorPrice,2)</f>
        <v>35</v>
      </c>
      <c r="F269" s="190" t="n">
        <f aca="false">G269-E269</f>
        <v>0</v>
      </c>
      <c r="G269" s="190" t="n">
        <f aca="true">G257+OFFSET($CG$4,$B269,$C269)</f>
        <v>35</v>
      </c>
      <c r="H269" s="96" t="n">
        <f aca="true">G269+OFFSET($CU$4,$B269,$C269)</f>
        <v>30</v>
      </c>
      <c r="I269" s="96" t="n">
        <f aca="true">G269+OFFSET($DI$4,$B269,$C269)</f>
        <v>69</v>
      </c>
      <c r="J269" s="94" t="n">
        <f aca="false">VLOOKUP($D269,tblPriorPrice,3)</f>
        <v>35</v>
      </c>
      <c r="K269" s="190" t="n">
        <f aca="false">L269-J269</f>
        <v>0</v>
      </c>
      <c r="L269" s="190" t="n">
        <f aca="true">L257+OFFSET($CG$27,$B269,$C269)</f>
        <v>35</v>
      </c>
      <c r="M269" s="96" t="n">
        <f aca="true">$L269+OFFSET($CU$27,$B269,$C269)</f>
        <v>30</v>
      </c>
      <c r="N269" s="97" t="n">
        <f aca="true">$L269+OFFSET($DI$27,$B269,$C269)</f>
        <v>59</v>
      </c>
      <c r="O269" s="59" t="n">
        <f aca="true">IF($A269="",0,INDEX(tblPosn,$A269,2))</f>
        <v>49636.171875</v>
      </c>
      <c r="P269" s="59" t="n">
        <f aca="true">IF($A269="",0,INDEX(tblPosn,$A269,3))</f>
        <v>35454.41015625</v>
      </c>
      <c r="Q269" s="59" t="n">
        <f aca="true">IF($A269="",0,INDEX(tblPosn,$A269,4))</f>
        <v>9454.5087890625</v>
      </c>
      <c r="R269" s="59" t="n">
        <f aca="true">IF($A269="",0,INDEX(tblPosn,$A269,5))</f>
        <v>11818.1357421875</v>
      </c>
      <c r="T269" s="98" t="n">
        <f aca="false">O269*F269+P269*K269+R269*AC269+S269*AH269/0.72+Q269*X269</f>
        <v>0</v>
      </c>
      <c r="V269" s="161" t="n">
        <f aca="false">D269</f>
        <v>44075</v>
      </c>
      <c r="W269" s="94" t="n">
        <f aca="false">VLOOKUP($D269,tblPriorPrice,4)</f>
        <v>35</v>
      </c>
      <c r="X269" s="95" t="n">
        <f aca="false">Y269-W269</f>
        <v>0</v>
      </c>
      <c r="Y269" s="191" t="n">
        <f aca="true">Y257+OFFSET($CG$50,$B269,$C269)</f>
        <v>35</v>
      </c>
      <c r="Z269" s="96" t="n">
        <f aca="true">Y269+OFFSET($CU$51,$B269,$C269)</f>
        <v>35</v>
      </c>
      <c r="AA269" s="177" t="n">
        <f aca="true">Y269+OFFSET($DI$51,$B269,$C269)</f>
        <v>35</v>
      </c>
      <c r="AB269" s="94" t="n">
        <f aca="false">VLOOKUP($D269,tblPriorPrice,5)</f>
        <v>35</v>
      </c>
      <c r="AC269" s="190" t="n">
        <f aca="false">AD269-AB269</f>
        <v>0</v>
      </c>
      <c r="AD269" s="191" t="n">
        <f aca="true">AD257+OFFSET($CG$73,$B269,$C269)</f>
        <v>35</v>
      </c>
      <c r="AE269" s="96" t="n">
        <f aca="true">AD269+OFFSET($CU$74,$B269,$C269)</f>
        <v>35</v>
      </c>
      <c r="AF269" s="177" t="n">
        <f aca="true">AD269+OFFSET($DI$74,$B269,$C269)</f>
        <v>35</v>
      </c>
      <c r="AG269" s="94" t="n">
        <f aca="false">VLOOKUP($D269,tblPriorPrice,6)</f>
        <v>1</v>
      </c>
      <c r="AH269" s="190" t="n">
        <f aca="false">AI269-AG269</f>
        <v>0</v>
      </c>
      <c r="AI269" s="191" t="n">
        <f aca="true">AI257+OFFSET($CG$96,$B269,$C269)</f>
        <v>1</v>
      </c>
      <c r="AJ269" s="96" t="n">
        <f aca="true">AI269+OFFSET($CU$96,$B269,$C269)</f>
        <v>1</v>
      </c>
      <c r="AK269" s="97" t="n">
        <f aca="true">AI269+OFFSET($DI$96,$B269,$C269)</f>
        <v>1</v>
      </c>
      <c r="AL269" s="178" t="n">
        <v>74</v>
      </c>
      <c r="AM269" s="165" t="n">
        <v>0.4</v>
      </c>
      <c r="AN269" s="167" t="n">
        <f aca="false">'[3]Pricing Summary'!$AM247</f>
        <v>0.17</v>
      </c>
      <c r="AO269" s="167" t="n">
        <f aca="false">0.9*AN269</f>
        <v>0.153</v>
      </c>
      <c r="AP269" s="166" t="n">
        <f aca="false">1.5*AN269</f>
        <v>0.255</v>
      </c>
      <c r="AQ269" s="167" t="n">
        <f aca="false">AN269</f>
        <v>0.17</v>
      </c>
      <c r="AR269" s="166" t="n">
        <f aca="false">0.8*AQ269</f>
        <v>0.136</v>
      </c>
      <c r="AS269" s="166" t="n">
        <f aca="false">1.2*AQ269</f>
        <v>0.204</v>
      </c>
      <c r="AT269" s="169" t="n">
        <f aca="false">IF(G269&lt;110,17.94063*(LN(G269/100))+6.727568*(LN(G269/100)^2)+15.06494,(-4.1*G269+2135)/100)*0.5</f>
        <v>1.82255031269953</v>
      </c>
      <c r="AU269" s="169" t="n">
        <f aca="false">(0.75*AT269-AT269)</f>
        <v>-0.455637578174882</v>
      </c>
      <c r="AV269" s="166" t="n">
        <f aca="false">AT269/0.5*1.25-AT269</f>
        <v>2.73382546904929</v>
      </c>
      <c r="AW269" s="168" t="n">
        <f aca="false">IF(L269&lt;15,(15*L269+375)/100,(-4.71*L269+670.65)/100)*0.5</f>
        <v>2.529</v>
      </c>
      <c r="AX269" s="166" t="n">
        <f aca="false">0.75*AW269-AW269</f>
        <v>-0.63225</v>
      </c>
      <c r="AY269" s="166" t="n">
        <f aca="false">AW269/0.5*1.25-AW269</f>
        <v>3.7935</v>
      </c>
      <c r="AZ269" s="167" t="n">
        <v>0.5</v>
      </c>
      <c r="BA269" s="74"/>
      <c r="BQ269" s="108" t="n">
        <v>36907.7428240741</v>
      </c>
      <c r="BR269" s="109" t="n">
        <v>36907.743287037</v>
      </c>
      <c r="BS269" s="110" t="n">
        <v>44013</v>
      </c>
      <c r="BT269" s="111" t="n">
        <v>52567.8046875</v>
      </c>
      <c r="BU269" s="112" t="n">
        <v>37036.40625</v>
      </c>
      <c r="BV269" s="112" t="n">
        <v>9557.783203125</v>
      </c>
      <c r="BW269" s="112" t="n">
        <v>11947.228515625</v>
      </c>
      <c r="BX269" s="113" t="n">
        <v>0</v>
      </c>
      <c r="BZ269" s="110" t="n">
        <v>44075</v>
      </c>
      <c r="CA269" s="185" t="n">
        <v>35</v>
      </c>
      <c r="CB269" s="116" t="n">
        <v>35</v>
      </c>
      <c r="CC269" s="181" t="n">
        <v>35</v>
      </c>
      <c r="CD269" s="181" t="n">
        <v>35</v>
      </c>
      <c r="CE269" s="117" t="n">
        <v>1</v>
      </c>
    </row>
    <row r="270" customFormat="false" ht="12.75" hidden="false" customHeight="false" outlineLevel="0" collapsed="false">
      <c r="A270" s="0" t="n">
        <f aca="true">IF(ISERROR(MATCH(D270,iRefDt,0)),"",MATCH(D270,iRefDt,0))</f>
        <v>270</v>
      </c>
      <c r="B270" s="92" t="n">
        <f aca="false">MATCH(YEAR(D270),iSpreads)</f>
        <v>20</v>
      </c>
      <c r="C270" s="0" t="n">
        <f aca="false">MONTH(D270)</f>
        <v>10</v>
      </c>
      <c r="D270" s="93" t="n">
        <f aca="false">DATE(YEAR(D269),MONTH(D269)+1,1)</f>
        <v>44105</v>
      </c>
      <c r="E270" s="94" t="n">
        <f aca="false">VLOOKUP($D270,tblPriorPrice,2)</f>
        <v>37</v>
      </c>
      <c r="F270" s="190" t="n">
        <f aca="false">G270-E270</f>
        <v>0</v>
      </c>
      <c r="G270" s="190" t="n">
        <f aca="true">G258+OFFSET($CG$4,$B270,$C270)</f>
        <v>37</v>
      </c>
      <c r="H270" s="96" t="n">
        <f aca="true">G270+OFFSET($CU$4,$B270,$C270)</f>
        <v>32</v>
      </c>
      <c r="I270" s="96" t="n">
        <f aca="true">G270+OFFSET($DI$4,$B270,$C270)</f>
        <v>71</v>
      </c>
      <c r="J270" s="94" t="n">
        <f aca="false">VLOOKUP($D270,tblPriorPrice,3)</f>
        <v>37</v>
      </c>
      <c r="K270" s="190" t="n">
        <f aca="false">L270-J270</f>
        <v>0</v>
      </c>
      <c r="L270" s="190" t="n">
        <f aca="true">L258+OFFSET($CG$27,$B270,$C270)</f>
        <v>37</v>
      </c>
      <c r="M270" s="96" t="n">
        <f aca="true">$L270+OFFSET($CU$27,$B270,$C270)</f>
        <v>32</v>
      </c>
      <c r="N270" s="97" t="n">
        <f aca="true">$L270+OFFSET($DI$27,$B270,$C270)</f>
        <v>61</v>
      </c>
      <c r="O270" s="59" t="n">
        <f aca="true">IF($A270="",0,INDEX(tblPosn,$A270,2))</f>
        <v>49361.53515625</v>
      </c>
      <c r="P270" s="59" t="n">
        <f aca="true">IF($A270="",0,INDEX(tblPosn,$A270,3))</f>
        <v>36580.421875</v>
      </c>
      <c r="Q270" s="59" t="n">
        <f aca="true">IF($A270="",0,INDEX(tblPosn,$A270,4))</f>
        <v>11752.74609375</v>
      </c>
      <c r="R270" s="59" t="n">
        <f aca="true">IF($A270="",0,INDEX(tblPosn,$A270,5))</f>
        <v>11752.74609375</v>
      </c>
      <c r="T270" s="98" t="n">
        <f aca="false">O270*F270+P270*K270+R270*AC270+S270*AH270/0.72+Q270*X270</f>
        <v>0</v>
      </c>
      <c r="V270" s="161" t="n">
        <f aca="false">D270</f>
        <v>44105</v>
      </c>
      <c r="W270" s="94" t="n">
        <f aca="false">VLOOKUP($D270,tblPriorPrice,4)</f>
        <v>37</v>
      </c>
      <c r="X270" s="95" t="n">
        <f aca="false">Y270-W270</f>
        <v>0</v>
      </c>
      <c r="Y270" s="191" t="n">
        <f aca="true">Y258+OFFSET($CG$50,$B270,$C270)</f>
        <v>37</v>
      </c>
      <c r="Z270" s="96" t="n">
        <f aca="true">Y270+OFFSET($CU$51,$B270,$C270)</f>
        <v>37</v>
      </c>
      <c r="AA270" s="177" t="n">
        <f aca="true">Y270+OFFSET($DI$51,$B270,$C270)</f>
        <v>37</v>
      </c>
      <c r="AB270" s="94" t="n">
        <f aca="false">VLOOKUP($D270,tblPriorPrice,5)</f>
        <v>37</v>
      </c>
      <c r="AC270" s="190" t="n">
        <f aca="false">AD270-AB270</f>
        <v>0</v>
      </c>
      <c r="AD270" s="191" t="n">
        <f aca="true">AD258+OFFSET($CG$73,$B270,$C270)</f>
        <v>37</v>
      </c>
      <c r="AE270" s="96" t="n">
        <f aca="true">AD270+OFFSET($CU$74,$B270,$C270)</f>
        <v>37</v>
      </c>
      <c r="AF270" s="177" t="n">
        <f aca="true">AD270+OFFSET($DI$74,$B270,$C270)</f>
        <v>37</v>
      </c>
      <c r="AG270" s="94" t="n">
        <f aca="false">VLOOKUP($D270,tblPriorPrice,6)</f>
        <v>1</v>
      </c>
      <c r="AH270" s="190" t="n">
        <f aca="false">AI270-AG270</f>
        <v>0</v>
      </c>
      <c r="AI270" s="191" t="n">
        <f aca="true">AI258+OFFSET($CG$96,$B270,$C270)</f>
        <v>1</v>
      </c>
      <c r="AJ270" s="96" t="n">
        <f aca="true">AI270+OFFSET($CU$96,$B270,$C270)</f>
        <v>1</v>
      </c>
      <c r="AK270" s="97" t="n">
        <f aca="true">AI270+OFFSET($DI$96,$B270,$C270)</f>
        <v>1</v>
      </c>
      <c r="AL270" s="178" t="n">
        <v>74</v>
      </c>
      <c r="AM270" s="165" t="n">
        <v>0.4</v>
      </c>
      <c r="AN270" s="167" t="n">
        <f aca="false">'[3]Pricing Summary'!$AM248</f>
        <v>0.17</v>
      </c>
      <c r="AO270" s="167" t="n">
        <f aca="false">0.9*AN270</f>
        <v>0.153</v>
      </c>
      <c r="AP270" s="166" t="n">
        <f aca="false">1.5*AN270</f>
        <v>0.255</v>
      </c>
      <c r="AQ270" s="167" t="n">
        <f aca="false">AN270</f>
        <v>0.17</v>
      </c>
      <c r="AR270" s="166" t="n">
        <f aca="false">0.8*AQ270</f>
        <v>0.136</v>
      </c>
      <c r="AS270" s="166" t="n">
        <f aca="false">1.2*AQ270</f>
        <v>0.204</v>
      </c>
      <c r="AT270" s="169" t="n">
        <f aca="false">IF(G270&lt;110,17.94063*(LN(G270/100))+6.727568*(LN(G270/100)^2)+15.06494,(-4.1*G270+2135)/100)*0.5</f>
        <v>1.93894082389981</v>
      </c>
      <c r="AU270" s="169" t="n">
        <f aca="false">(0.75*AT270-AT270)</f>
        <v>-0.484735205974953</v>
      </c>
      <c r="AV270" s="166" t="n">
        <f aca="false">AT270/0.5*1.25-AT270</f>
        <v>2.90841123584972</v>
      </c>
      <c r="AW270" s="168" t="n">
        <f aca="false">IF(L270&lt;15,(15*L270+375)/100,(-4.71*L270+670.65)/100)*0.5</f>
        <v>2.4819</v>
      </c>
      <c r="AX270" s="166" t="n">
        <f aca="false">0.75*AW270-AW270</f>
        <v>-0.620475</v>
      </c>
      <c r="AY270" s="166" t="n">
        <f aca="false">AW270/0.5*1.25-AW270</f>
        <v>3.72285</v>
      </c>
      <c r="AZ270" s="167" t="n">
        <v>0.5</v>
      </c>
      <c r="BA270" s="74"/>
      <c r="BQ270" s="108" t="n">
        <v>36907.7428240741</v>
      </c>
      <c r="BR270" s="109" t="n">
        <v>36907.743287037</v>
      </c>
      <c r="BS270" s="110" t="n">
        <v>44044</v>
      </c>
      <c r="BT270" s="111" t="n">
        <v>49903.33984375</v>
      </c>
      <c r="BU270" s="112" t="n">
        <v>36833.4140625</v>
      </c>
      <c r="BV270" s="112" t="n">
        <v>11881.748046875</v>
      </c>
      <c r="BW270" s="112" t="n">
        <v>11881.748046875</v>
      </c>
      <c r="BX270" s="113" t="n">
        <v>0</v>
      </c>
      <c r="BZ270" s="110" t="n">
        <v>44105</v>
      </c>
      <c r="CA270" s="185" t="n">
        <v>37</v>
      </c>
      <c r="CB270" s="116" t="n">
        <v>37</v>
      </c>
      <c r="CC270" s="181" t="n">
        <v>37</v>
      </c>
      <c r="CD270" s="181" t="n">
        <v>37</v>
      </c>
      <c r="CE270" s="117" t="n">
        <v>1</v>
      </c>
    </row>
    <row r="271" customFormat="false" ht="12.75" hidden="false" customHeight="false" outlineLevel="0" collapsed="false">
      <c r="A271" s="0" t="n">
        <f aca="true">IF(ISERROR(MATCH(D271,iRefDt,0)),"",MATCH(D271,iRefDt,0))</f>
        <v>271</v>
      </c>
      <c r="B271" s="92" t="n">
        <f aca="false">MATCH(YEAR(D271),iSpreads)</f>
        <v>20</v>
      </c>
      <c r="C271" s="0" t="n">
        <f aca="false">MONTH(D271)</f>
        <v>11</v>
      </c>
      <c r="D271" s="93" t="n">
        <f aca="false">DATE(YEAR(D270),MONTH(D270)+1,1)</f>
        <v>44136</v>
      </c>
      <c r="E271" s="94" t="n">
        <f aca="false">VLOOKUP($D271,tblPriorPrice,2)</f>
        <v>31</v>
      </c>
      <c r="F271" s="190" t="n">
        <f aca="false">G271-E271</f>
        <v>0</v>
      </c>
      <c r="G271" s="190" t="n">
        <f aca="true">G259+OFFSET($CG$4,$B271,$C271)</f>
        <v>31</v>
      </c>
      <c r="H271" s="96" t="n">
        <f aca="true">G271+OFFSET($CU$4,$B271,$C271)</f>
        <v>26</v>
      </c>
      <c r="I271" s="96" t="n">
        <f aca="true">G271+OFFSET($DI$4,$B271,$C271)</f>
        <v>65</v>
      </c>
      <c r="J271" s="94" t="n">
        <f aca="false">VLOOKUP($D271,tblPriorPrice,3)</f>
        <v>31</v>
      </c>
      <c r="K271" s="190" t="n">
        <f aca="false">L271-J271</f>
        <v>0</v>
      </c>
      <c r="L271" s="190" t="n">
        <f aca="true">L259+OFFSET($CG$27,$B271,$C271)</f>
        <v>31</v>
      </c>
      <c r="M271" s="96" t="n">
        <f aca="true">$L271+OFFSET($CU$27,$B271,$C271)</f>
        <v>26</v>
      </c>
      <c r="N271" s="97" t="n">
        <f aca="true">$L271+OFFSET($DI$27,$B271,$C271)</f>
        <v>55</v>
      </c>
      <c r="O271" s="59" t="n">
        <f aca="true">IF($A271="",0,INDEX(tblPosn,$A271,2))</f>
        <v>44423.29296875</v>
      </c>
      <c r="P271" s="59" t="n">
        <f aca="true">IF($A271="",0,INDEX(tblPosn,$A271,3))</f>
        <v>35071.01953125</v>
      </c>
      <c r="Q271" s="59" t="n">
        <f aca="true">IF($A271="",0,INDEX(tblPosn,$A271,4))</f>
        <v>9352.2724609375</v>
      </c>
      <c r="R271" s="59" t="n">
        <f aca="true">IF($A271="",0,INDEX(tblPosn,$A271,5))</f>
        <v>16366.4765625</v>
      </c>
      <c r="T271" s="98" t="n">
        <f aca="false">O271*F271+P271*K271+R271*AC271+S271*AH271/0.72+Q271*X271</f>
        <v>0</v>
      </c>
      <c r="V271" s="161" t="n">
        <f aca="false">D271</f>
        <v>44136</v>
      </c>
      <c r="W271" s="94" t="n">
        <f aca="false">VLOOKUP($D271,tblPriorPrice,4)</f>
        <v>31</v>
      </c>
      <c r="X271" s="95" t="n">
        <f aca="false">Y271-W271</f>
        <v>0</v>
      </c>
      <c r="Y271" s="191" t="n">
        <f aca="true">Y259+OFFSET($CG$50,$B271,$C271)</f>
        <v>31</v>
      </c>
      <c r="Z271" s="96" t="n">
        <f aca="true">Y271+OFFSET($CU$51,$B271,$C271)</f>
        <v>31</v>
      </c>
      <c r="AA271" s="177" t="n">
        <f aca="true">Y271+OFFSET($DI$51,$B271,$C271)</f>
        <v>31</v>
      </c>
      <c r="AB271" s="94" t="n">
        <f aca="false">VLOOKUP($D271,tblPriorPrice,5)</f>
        <v>31</v>
      </c>
      <c r="AC271" s="190" t="n">
        <f aca="false">AD271-AB271</f>
        <v>0</v>
      </c>
      <c r="AD271" s="191" t="n">
        <f aca="true">AD259+OFFSET($CG$73,$B271,$C271)</f>
        <v>31</v>
      </c>
      <c r="AE271" s="96" t="n">
        <f aca="true">AD271+OFFSET($CU$74,$B271,$C271)</f>
        <v>31</v>
      </c>
      <c r="AF271" s="177" t="n">
        <f aca="true">AD271+OFFSET($DI$74,$B271,$C271)</f>
        <v>31</v>
      </c>
      <c r="AG271" s="94" t="n">
        <f aca="false">VLOOKUP($D271,tblPriorPrice,6)</f>
        <v>1</v>
      </c>
      <c r="AH271" s="190" t="n">
        <f aca="false">AI271-AG271</f>
        <v>0</v>
      </c>
      <c r="AI271" s="191" t="n">
        <f aca="true">AI259+OFFSET($CG$96,$B271,$C271)</f>
        <v>1</v>
      </c>
      <c r="AJ271" s="96" t="n">
        <f aca="true">AI271+OFFSET($CU$96,$B271,$C271)</f>
        <v>1</v>
      </c>
      <c r="AK271" s="97" t="n">
        <f aca="true">AI271+OFFSET($DI$96,$B271,$C271)</f>
        <v>1</v>
      </c>
      <c r="AL271" s="178" t="n">
        <v>74</v>
      </c>
      <c r="AM271" s="165" t="n">
        <v>0.4</v>
      </c>
      <c r="AN271" s="167" t="n">
        <f aca="false">'[3]Pricing Summary'!$AM249</f>
        <v>0.17</v>
      </c>
      <c r="AO271" s="167" t="n">
        <f aca="false">0.9*AN271</f>
        <v>0.153</v>
      </c>
      <c r="AP271" s="166" t="n">
        <f aca="false">1.5*AN271</f>
        <v>0.255</v>
      </c>
      <c r="AQ271" s="167" t="n">
        <f aca="false">AN271</f>
        <v>0.17</v>
      </c>
      <c r="AR271" s="166" t="n">
        <f aca="false">0.8*AQ271</f>
        <v>0.136</v>
      </c>
      <c r="AS271" s="166" t="n">
        <f aca="false">1.2*AQ271</f>
        <v>0.204</v>
      </c>
      <c r="AT271" s="169" t="n">
        <f aca="false">IF(G271&lt;110,17.94063*(LN(G271/100))+6.727568*(LN(G271/100)^2)+15.06494,(-4.1*G271+2135)/100)*0.5</f>
        <v>1.64058990686036</v>
      </c>
      <c r="AU271" s="169" t="n">
        <f aca="false">(0.75*AT271-AT271)</f>
        <v>-0.410147476715089</v>
      </c>
      <c r="AV271" s="166" t="n">
        <f aca="false">AT271/0.5*1.25-AT271</f>
        <v>2.46088486029054</v>
      </c>
      <c r="AW271" s="168" t="n">
        <f aca="false">IF(L271&lt;15,(15*L271+375)/100,(-4.71*L271+670.65)/100)*0.5</f>
        <v>2.6232</v>
      </c>
      <c r="AX271" s="166" t="n">
        <f aca="false">0.75*AW271-AW271</f>
        <v>-0.6558</v>
      </c>
      <c r="AY271" s="166" t="n">
        <f aca="false">AW271/0.5*1.25-AW271</f>
        <v>3.9348</v>
      </c>
      <c r="AZ271" s="167" t="n">
        <v>0.5</v>
      </c>
      <c r="BA271" s="74"/>
      <c r="BQ271" s="108" t="n">
        <v>36907.7428240741</v>
      </c>
      <c r="BR271" s="109" t="n">
        <v>36907.743287037</v>
      </c>
      <c r="BS271" s="110" t="n">
        <v>44075</v>
      </c>
      <c r="BT271" s="111" t="n">
        <v>49636.171875</v>
      </c>
      <c r="BU271" s="112" t="n">
        <v>35454.41015625</v>
      </c>
      <c r="BV271" s="112" t="n">
        <v>9454.5087890625</v>
      </c>
      <c r="BW271" s="112" t="n">
        <v>11818.1357421875</v>
      </c>
      <c r="BX271" s="113" t="n">
        <v>0</v>
      </c>
      <c r="BZ271" s="110" t="n">
        <v>44136</v>
      </c>
      <c r="CA271" s="185" t="n">
        <v>31</v>
      </c>
      <c r="CB271" s="116" t="n">
        <v>31</v>
      </c>
      <c r="CC271" s="181" t="n">
        <v>31</v>
      </c>
      <c r="CD271" s="181" t="n">
        <v>31</v>
      </c>
      <c r="CE271" s="117" t="n">
        <v>1</v>
      </c>
    </row>
    <row r="272" customFormat="false" ht="12.75" hidden="false" customHeight="false" outlineLevel="0" collapsed="false">
      <c r="A272" s="0" t="n">
        <f aca="true">IF(ISERROR(MATCH(D272,iRefDt,0)),"",MATCH(D272,iRefDt,0))</f>
        <v>272</v>
      </c>
      <c r="B272" s="92" t="n">
        <f aca="false">MATCH(YEAR(D272),iSpreads)</f>
        <v>20</v>
      </c>
      <c r="C272" s="0" t="n">
        <f aca="false">MONTH(D272)</f>
        <v>12</v>
      </c>
      <c r="D272" s="93" t="n">
        <f aca="false">DATE(YEAR(D271),MONTH(D271)+1,1)</f>
        <v>44166</v>
      </c>
      <c r="E272" s="94" t="n">
        <f aca="false">VLOOKUP($D272,tblPriorPrice,2)</f>
        <v>32</v>
      </c>
      <c r="F272" s="190" t="n">
        <f aca="false">G272-E272</f>
        <v>0</v>
      </c>
      <c r="G272" s="190" t="n">
        <f aca="true">G260+OFFSET($CG$4,$B272,$C272)</f>
        <v>32</v>
      </c>
      <c r="H272" s="96" t="n">
        <f aca="true">G272+OFFSET($CU$4,$B272,$C272)</f>
        <v>27</v>
      </c>
      <c r="I272" s="96" t="n">
        <f aca="true">G272+OFFSET($DI$4,$B272,$C272)</f>
        <v>66</v>
      </c>
      <c r="J272" s="94" t="n">
        <f aca="false">VLOOKUP($D272,tblPriorPrice,3)</f>
        <v>29</v>
      </c>
      <c r="K272" s="190" t="n">
        <f aca="false">L272-J272</f>
        <v>0</v>
      </c>
      <c r="L272" s="190" t="n">
        <f aca="true">L260+OFFSET($CG$27,$B272,$C272)</f>
        <v>29</v>
      </c>
      <c r="M272" s="96" t="n">
        <f aca="true">$L272+OFFSET($CU$27,$B272,$C272)</f>
        <v>24</v>
      </c>
      <c r="N272" s="97" t="n">
        <f aca="true">$L272+OFFSET($DI$27,$B272,$C272)</f>
        <v>53</v>
      </c>
      <c r="O272" s="59" t="n">
        <f aca="true">IF($A272="",0,INDEX(tblPosn,$A272,2))</f>
        <v>51157.17578125</v>
      </c>
      <c r="P272" s="59" t="n">
        <f aca="true">IF($A272="",0,INDEX(tblPosn,$A272,3))</f>
        <v>36042.55859375</v>
      </c>
      <c r="Q272" s="59" t="n">
        <f aca="true">IF($A272="",0,INDEX(tblPosn,$A272,4))</f>
        <v>9301.3046875</v>
      </c>
      <c r="R272" s="59" t="n">
        <f aca="true">IF($A272="",0,INDEX(tblPosn,$A272,5))</f>
        <v>11626.630859375</v>
      </c>
      <c r="T272" s="98" t="n">
        <f aca="false">O272*F272+P272*K272+R272*AC272+S272*AH272/0.72+Q272*X272</f>
        <v>0</v>
      </c>
      <c r="V272" s="161" t="n">
        <f aca="false">D272</f>
        <v>44166</v>
      </c>
      <c r="W272" s="94" t="n">
        <f aca="false">VLOOKUP($D272,tblPriorPrice,4)</f>
        <v>29</v>
      </c>
      <c r="X272" s="95" t="n">
        <f aca="false">Y272-W272</f>
        <v>0</v>
      </c>
      <c r="Y272" s="191" t="n">
        <f aca="true">Y260+OFFSET($CG$50,$B272,$C272)</f>
        <v>29</v>
      </c>
      <c r="Z272" s="96" t="n">
        <f aca="true">Y272+OFFSET($CU$51,$B272,$C272)</f>
        <v>29</v>
      </c>
      <c r="AA272" s="177" t="n">
        <f aca="true">Y272+OFFSET($DI$51,$B272,$C272)</f>
        <v>29</v>
      </c>
      <c r="AB272" s="94" t="n">
        <f aca="false">VLOOKUP($D272,tblPriorPrice,5)</f>
        <v>29</v>
      </c>
      <c r="AC272" s="190" t="n">
        <f aca="false">AD272-AB272</f>
        <v>0</v>
      </c>
      <c r="AD272" s="191" t="n">
        <f aca="true">AD260+OFFSET($CG$73,$B272,$C272)</f>
        <v>29</v>
      </c>
      <c r="AE272" s="96" t="n">
        <f aca="true">AD272+OFFSET($CU$74,$B272,$C272)</f>
        <v>29</v>
      </c>
      <c r="AF272" s="177" t="n">
        <f aca="true">AD272+OFFSET($DI$74,$B272,$C272)</f>
        <v>29</v>
      </c>
      <c r="AG272" s="94" t="n">
        <f aca="false">VLOOKUP($D272,tblPriorPrice,6)</f>
        <v>1</v>
      </c>
      <c r="AH272" s="190" t="n">
        <f aca="false">AI272-AG272</f>
        <v>0</v>
      </c>
      <c r="AI272" s="191" t="n">
        <f aca="true">AI260+OFFSET($CG$96,$B272,$C272)</f>
        <v>1</v>
      </c>
      <c r="AJ272" s="96" t="n">
        <f aca="true">AI272+OFFSET($CU$96,$B272,$C272)</f>
        <v>1</v>
      </c>
      <c r="AK272" s="97" t="n">
        <f aca="true">AI272+OFFSET($DI$96,$B272,$C272)</f>
        <v>1</v>
      </c>
      <c r="AL272" s="178" t="n">
        <v>74</v>
      </c>
      <c r="AM272" s="165" t="n">
        <v>0.4</v>
      </c>
      <c r="AN272" s="167" t="n">
        <f aca="false">'[3]Pricing Summary'!$AM250</f>
        <v>0.17</v>
      </c>
      <c r="AO272" s="167" t="n">
        <f aca="false">0.9*AN272</f>
        <v>0.153</v>
      </c>
      <c r="AP272" s="166" t="n">
        <f aca="false">1.5*AN272</f>
        <v>0.255</v>
      </c>
      <c r="AQ272" s="167" t="n">
        <f aca="false">AN272</f>
        <v>0.17</v>
      </c>
      <c r="AR272" s="166" t="n">
        <f aca="false">0.8*AQ272</f>
        <v>0.136</v>
      </c>
      <c r="AS272" s="166" t="n">
        <f aca="false">1.2*AQ272</f>
        <v>0.204</v>
      </c>
      <c r="AT272" s="169" t="n">
        <f aca="false">IF(G272&lt;110,17.94063*(LN(G272/100))+6.727568*(LN(G272/100)^2)+15.06494,(-4.1*G272+2135)/100)*0.5</f>
        <v>1.67862159684781</v>
      </c>
      <c r="AU272" s="169" t="n">
        <f aca="false">(0.75*AT272-AT272)</f>
        <v>-0.419655399211954</v>
      </c>
      <c r="AV272" s="166" t="n">
        <f aca="false">AT272/0.5*1.25-AT272</f>
        <v>2.51793239527172</v>
      </c>
      <c r="AW272" s="168" t="n">
        <f aca="false">IF(L272&lt;15,(15*L272+375)/100,(-4.71*L272+670.65)/100)*0.5</f>
        <v>2.6703</v>
      </c>
      <c r="AX272" s="166" t="n">
        <f aca="false">0.75*AW272-AW272</f>
        <v>-0.667575</v>
      </c>
      <c r="AY272" s="166" t="n">
        <f aca="false">AW272/0.5*1.25-AW272</f>
        <v>4.00545</v>
      </c>
      <c r="AZ272" s="167" t="n">
        <v>0.5</v>
      </c>
      <c r="BA272" s="74"/>
      <c r="BQ272" s="108" t="n">
        <v>36907.7428240741</v>
      </c>
      <c r="BR272" s="109" t="n">
        <v>36907.743287037</v>
      </c>
      <c r="BS272" s="110" t="n">
        <v>44105</v>
      </c>
      <c r="BT272" s="111" t="n">
        <v>49361.53515625</v>
      </c>
      <c r="BU272" s="112" t="n">
        <v>36580.421875</v>
      </c>
      <c r="BV272" s="112" t="n">
        <v>11752.74609375</v>
      </c>
      <c r="BW272" s="112" t="n">
        <v>11752.74609375</v>
      </c>
      <c r="BX272" s="113" t="n">
        <v>0</v>
      </c>
      <c r="BZ272" s="110" t="n">
        <v>44166</v>
      </c>
      <c r="CA272" s="185" t="n">
        <v>32</v>
      </c>
      <c r="CB272" s="116" t="n">
        <v>29</v>
      </c>
      <c r="CC272" s="181" t="n">
        <v>29</v>
      </c>
      <c r="CD272" s="181" t="n">
        <v>29</v>
      </c>
      <c r="CE272" s="117" t="n">
        <v>1</v>
      </c>
    </row>
    <row r="273" customFormat="false" ht="12.75" hidden="false" customHeight="false" outlineLevel="0" collapsed="false">
      <c r="A273" s="0" t="str">
        <f aca="true">IF(ISERROR(MATCH(D273,iRefDt,0)),"",MATCH(D273,iRefDt,0))</f>
        <v/>
      </c>
      <c r="B273" s="92" t="n">
        <f aca="false">MATCH(YEAR(D273),iSpreads)</f>
        <v>20</v>
      </c>
      <c r="C273" s="0" t="n">
        <f aca="false">MONTH(D273)</f>
        <v>1</v>
      </c>
      <c r="D273" s="93" t="n">
        <f aca="false">DATE(YEAR(D272),MONTH(D272)+1,1)</f>
        <v>44197</v>
      </c>
      <c r="E273" s="94" t="n">
        <f aca="false">VLOOKUP($D273,tblPriorPrice,2)</f>
        <v>33</v>
      </c>
      <c r="F273" s="190" t="n">
        <f aca="false">G273-E273</f>
        <v>0</v>
      </c>
      <c r="G273" s="190" t="n">
        <f aca="true">G261+OFFSET($CG$4,$B273,$C273)</f>
        <v>33</v>
      </c>
      <c r="H273" s="96" t="n">
        <f aca="true">G273+OFFSET($CU$4,$B273,$C273)</f>
        <v>28</v>
      </c>
      <c r="I273" s="96" t="n">
        <f aca="true">G273+OFFSET($DI$4,$B273,$C273)</f>
        <v>67</v>
      </c>
      <c r="J273" s="94" t="n">
        <f aca="false">VLOOKUP($D273,tblPriorPrice,3)</f>
        <v>31</v>
      </c>
      <c r="K273" s="190" t="n">
        <f aca="false">L273-J273</f>
        <v>0</v>
      </c>
      <c r="L273" s="190" t="n">
        <f aca="true">L261+OFFSET($CG$27,$B273,$C273)</f>
        <v>31</v>
      </c>
      <c r="M273" s="96" t="n">
        <f aca="true">$L273+OFFSET($CU$27,$B273,$C273)</f>
        <v>26</v>
      </c>
      <c r="N273" s="97" t="n">
        <f aca="true">$L273+OFFSET($DI$27,$B273,$C273)</f>
        <v>55</v>
      </c>
      <c r="O273" s="59" t="n">
        <f aca="true">IF($A273="",0,INDEX(tblPosn,$A273,2))</f>
        <v>0</v>
      </c>
      <c r="P273" s="59" t="n">
        <f aca="true">IF($A273="",0,INDEX(tblPosn,$A273,3))</f>
        <v>0</v>
      </c>
      <c r="Q273" s="59" t="n">
        <f aca="true">IF($A273="",0,INDEX(tblPosn,$A273,4))</f>
        <v>0</v>
      </c>
      <c r="R273" s="59" t="n">
        <f aca="true">IF($A273="",0,INDEX(tblPosn,$A273,5))</f>
        <v>0</v>
      </c>
      <c r="T273" s="98" t="n">
        <f aca="false">O273*F273+P273*K273+R273*AC273+S273*AH273/0.72+Q273*X273</f>
        <v>0</v>
      </c>
      <c r="V273" s="161" t="n">
        <f aca="false">D273</f>
        <v>44197</v>
      </c>
      <c r="W273" s="94" t="n">
        <f aca="false">VLOOKUP($D273,tblPriorPrice,4)</f>
        <v>31</v>
      </c>
      <c r="X273" s="95" t="n">
        <f aca="false">Y273-W273</f>
        <v>0</v>
      </c>
      <c r="Y273" s="191" t="n">
        <f aca="true">Y261+OFFSET($CG$50,$B273,$C273)</f>
        <v>31</v>
      </c>
      <c r="Z273" s="96" t="n">
        <f aca="true">Y273+OFFSET($CU$51,$B273,$C273)</f>
        <v>31</v>
      </c>
      <c r="AA273" s="177" t="n">
        <f aca="true">Y273+OFFSET($DI$51,$B273,$C273)</f>
        <v>31</v>
      </c>
      <c r="AB273" s="94" t="n">
        <f aca="false">VLOOKUP($D273,tblPriorPrice,5)</f>
        <v>31</v>
      </c>
      <c r="AC273" s="190" t="n">
        <f aca="false">AD273-AB273</f>
        <v>0</v>
      </c>
      <c r="AD273" s="191" t="n">
        <f aca="true">AD261+OFFSET($CG$73,$B273,$C273)</f>
        <v>31</v>
      </c>
      <c r="AE273" s="96" t="n">
        <f aca="true">AD273+OFFSET($CU$74,$B273,$C273)</f>
        <v>31</v>
      </c>
      <c r="AF273" s="177" t="n">
        <f aca="true">AD273+OFFSET($DI$74,$B273,$C273)</f>
        <v>31</v>
      </c>
      <c r="AG273" s="94" t="n">
        <f aca="false">VLOOKUP($D273,tblPriorPrice,6)</f>
        <v>1</v>
      </c>
      <c r="AH273" s="190" t="n">
        <f aca="false">AI273-AG273</f>
        <v>0</v>
      </c>
      <c r="AI273" s="191" t="n">
        <f aca="true">AI261+OFFSET($CG$96,$B273,$C273)</f>
        <v>1</v>
      </c>
      <c r="AJ273" s="96" t="n">
        <f aca="true">AI273+OFFSET($CU$96,$B273,$C273)</f>
        <v>1</v>
      </c>
      <c r="AK273" s="97" t="n">
        <f aca="true">AI273+OFFSET($DI$96,$B273,$C273)</f>
        <v>1</v>
      </c>
      <c r="AL273" s="178" t="n">
        <v>74</v>
      </c>
      <c r="AM273" s="165" t="n">
        <v>0.4</v>
      </c>
      <c r="AN273" s="167" t="n">
        <f aca="false">'[3]Pricing Summary'!$AM251</f>
        <v>0</v>
      </c>
      <c r="AO273" s="167" t="n">
        <f aca="false">0.9*AN273</f>
        <v>0</v>
      </c>
      <c r="AP273" s="166" t="n">
        <f aca="false">1.5*AN273</f>
        <v>0</v>
      </c>
      <c r="AQ273" s="167" t="n">
        <f aca="false">AN273</f>
        <v>0</v>
      </c>
      <c r="AR273" s="166" t="n">
        <f aca="false">0.8*AQ273</f>
        <v>0</v>
      </c>
      <c r="AS273" s="166" t="n">
        <f aca="false">1.2*AQ273</f>
        <v>0</v>
      </c>
      <c r="AT273" s="169" t="n">
        <f aca="false">IF(G273&lt;110,17.94063*(LN(G273/100))+6.727568*(LN(G273/100)^2)+15.06494,(-4.1*G273+2135)/100)*0.5</f>
        <v>1.72195432632388</v>
      </c>
      <c r="AU273" s="169" t="n">
        <f aca="false">(0.75*AT273-AT273)</f>
        <v>-0.43048858158097</v>
      </c>
      <c r="AV273" s="166" t="n">
        <f aca="false">AT273/0.5*1.25-AT273</f>
        <v>2.58293148948582</v>
      </c>
      <c r="AW273" s="168" t="n">
        <f aca="false">IF(L273&lt;15,(15*L273+375)/100,(-4.71*L273+670.65)/100)*0.5</f>
        <v>2.6232</v>
      </c>
      <c r="AX273" s="166" t="n">
        <f aca="false">0.75*AW273-AW273</f>
        <v>-0.6558</v>
      </c>
      <c r="AY273" s="166" t="n">
        <f aca="false">AW273/0.5*1.25-AW273</f>
        <v>3.9348</v>
      </c>
      <c r="AZ273" s="167" t="n">
        <v>0.5</v>
      </c>
      <c r="BA273" s="74"/>
      <c r="BQ273" s="108" t="n">
        <v>36907.7428240741</v>
      </c>
      <c r="BR273" s="109" t="n">
        <v>36907.743287037</v>
      </c>
      <c r="BS273" s="110" t="n">
        <v>44136</v>
      </c>
      <c r="BT273" s="111" t="n">
        <v>44423.29296875</v>
      </c>
      <c r="BU273" s="112" t="n">
        <v>35071.01953125</v>
      </c>
      <c r="BV273" s="112" t="n">
        <v>9352.2724609375</v>
      </c>
      <c r="BW273" s="112" t="n">
        <v>16366.4765625</v>
      </c>
      <c r="BX273" s="113" t="n">
        <v>0</v>
      </c>
      <c r="BZ273" s="110" t="n">
        <v>44197</v>
      </c>
      <c r="CA273" s="185" t="n">
        <v>33</v>
      </c>
      <c r="CB273" s="116" t="n">
        <v>31</v>
      </c>
      <c r="CC273" s="181" t="n">
        <v>31</v>
      </c>
      <c r="CD273" s="181" t="n">
        <v>31</v>
      </c>
      <c r="CE273" s="117" t="n">
        <v>1</v>
      </c>
    </row>
    <row r="274" customFormat="false" ht="12.75" hidden="false" customHeight="false" outlineLevel="0" collapsed="false">
      <c r="A274" s="0" t="str">
        <f aca="true">IF(ISERROR(MATCH(D274,iRefDt,0)),"",MATCH(D274,iRefDt,0))</f>
        <v/>
      </c>
      <c r="B274" s="92" t="n">
        <f aca="false">MATCH(YEAR(D274),iSpreads)</f>
        <v>20</v>
      </c>
      <c r="C274" s="0" t="n">
        <f aca="false">MONTH(D274)</f>
        <v>2</v>
      </c>
      <c r="D274" s="93" t="n">
        <f aca="false">DATE(YEAR(D273),MONTH(D273)+1,1)</f>
        <v>44228</v>
      </c>
      <c r="E274" s="94" t="n">
        <f aca="false">VLOOKUP($D274,tblPriorPrice,2)</f>
        <v>30</v>
      </c>
      <c r="F274" s="190" t="n">
        <f aca="false">G274-E274</f>
        <v>0</v>
      </c>
      <c r="G274" s="190" t="n">
        <f aca="true">G262+OFFSET($CG$4,$B274,$C274)</f>
        <v>30</v>
      </c>
      <c r="H274" s="96" t="n">
        <f aca="true">G274+OFFSET($CU$4,$B274,$C274)</f>
        <v>25</v>
      </c>
      <c r="I274" s="96" t="n">
        <f aca="true">G274+OFFSET($DI$4,$B274,$C274)</f>
        <v>64</v>
      </c>
      <c r="J274" s="94" t="n">
        <f aca="false">VLOOKUP($D274,tblPriorPrice,3)</f>
        <v>30</v>
      </c>
      <c r="K274" s="190" t="n">
        <f aca="false">L274-J274</f>
        <v>0</v>
      </c>
      <c r="L274" s="190" t="n">
        <f aca="true">L262+OFFSET($CG$27,$B274,$C274)</f>
        <v>30</v>
      </c>
      <c r="M274" s="96" t="n">
        <f aca="true">$L274+OFFSET($CU$27,$B274,$C274)</f>
        <v>25</v>
      </c>
      <c r="N274" s="97" t="n">
        <f aca="true">$L274+OFFSET($DI$27,$B274,$C274)</f>
        <v>54</v>
      </c>
      <c r="O274" s="59" t="n">
        <f aca="true">IF($A274="",0,INDEX(tblPosn,$A274,2))</f>
        <v>0</v>
      </c>
      <c r="P274" s="59" t="n">
        <f aca="true">IF($A274="",0,INDEX(tblPosn,$A274,3))</f>
        <v>0</v>
      </c>
      <c r="Q274" s="59" t="n">
        <f aca="true">IF($A274="",0,INDEX(tblPosn,$A274,4))</f>
        <v>0</v>
      </c>
      <c r="R274" s="59" t="n">
        <f aca="true">IF($A274="",0,INDEX(tblPosn,$A274,5))</f>
        <v>0</v>
      </c>
      <c r="V274" s="161" t="n">
        <f aca="false">D274</f>
        <v>44228</v>
      </c>
      <c r="W274" s="94" t="n">
        <f aca="false">VLOOKUP($D274,tblPriorPrice,4)</f>
        <v>30</v>
      </c>
      <c r="X274" s="95" t="n">
        <f aca="false">Y274-W274</f>
        <v>0</v>
      </c>
      <c r="Y274" s="191" t="n">
        <f aca="true">Y262+OFFSET($CG$50,$B274,$C274)</f>
        <v>30</v>
      </c>
      <c r="Z274" s="96" t="n">
        <f aca="true">Y274+OFFSET($CU$51,$B274,$C274)</f>
        <v>30</v>
      </c>
      <c r="AA274" s="177" t="n">
        <f aca="true">Y274+OFFSET($DI$51,$B274,$C274)</f>
        <v>30</v>
      </c>
      <c r="AB274" s="94" t="n">
        <f aca="false">VLOOKUP($D274,tblPriorPrice,5)</f>
        <v>30</v>
      </c>
      <c r="AC274" s="190" t="n">
        <f aca="false">AD274-AB274</f>
        <v>0</v>
      </c>
      <c r="AD274" s="191" t="n">
        <f aca="true">AD262+OFFSET($CG$73,$B274,$C274)</f>
        <v>30</v>
      </c>
      <c r="AE274" s="96" t="n">
        <f aca="true">AD274+OFFSET($CU$74,$B274,$C274)</f>
        <v>30</v>
      </c>
      <c r="AF274" s="177" t="n">
        <f aca="true">AD274+OFFSET($DI$74,$B274,$C274)</f>
        <v>30</v>
      </c>
      <c r="AG274" s="94" t="n">
        <f aca="false">VLOOKUP($D274,tblPriorPrice,6)</f>
        <v>1</v>
      </c>
      <c r="AH274" s="190" t="n">
        <f aca="false">AI274-AG274</f>
        <v>0</v>
      </c>
      <c r="AI274" s="191" t="n">
        <f aca="true">AI262+OFFSET($CG$96,$B274,$C274)</f>
        <v>1</v>
      </c>
      <c r="AJ274" s="96" t="n">
        <f aca="true">AI274+OFFSET($CU$96,$B274,$C274)</f>
        <v>1</v>
      </c>
      <c r="AK274" s="97" t="n">
        <f aca="true">AI274+OFFSET($DI$96,$B274,$C274)</f>
        <v>1</v>
      </c>
      <c r="AL274" s="178" t="n">
        <v>74</v>
      </c>
      <c r="AM274" s="165" t="n">
        <v>0.4</v>
      </c>
      <c r="AN274" s="167" t="n">
        <f aca="false">'[3]Pricing Summary'!$AM252</f>
        <v>0</v>
      </c>
      <c r="AO274" s="167" t="n">
        <f aca="false">0.9*AN274</f>
        <v>0</v>
      </c>
      <c r="AP274" s="166" t="n">
        <f aca="false">1.5*AN274</f>
        <v>0</v>
      </c>
      <c r="AQ274" s="167" t="n">
        <f aca="false">AN274</f>
        <v>0</v>
      </c>
      <c r="AR274" s="166" t="n">
        <f aca="false">0.8*AQ274</f>
        <v>0</v>
      </c>
      <c r="AS274" s="166" t="n">
        <f aca="false">1.2*AQ274</f>
        <v>0</v>
      </c>
      <c r="AT274" s="169" t="n">
        <f aca="false">IF(G274&lt;110,17.94063*(LN(G274/100))+6.727568*(LN(G274/100)^2)+15.06494,(-4.1*G274+2135)/100)*0.5</f>
        <v>1.60842951845599</v>
      </c>
      <c r="AU274" s="169" t="n">
        <f aca="false">(0.75*AT274-AT274)</f>
        <v>-0.402107379613998</v>
      </c>
      <c r="AV274" s="166" t="n">
        <f aca="false">AT274/0.5*1.25-AT274</f>
        <v>2.41264427768399</v>
      </c>
      <c r="AW274" s="168" t="n">
        <f aca="false">IF(L274&lt;15,(15*L274+375)/100,(-4.71*L274+670.65)/100)*0.5</f>
        <v>2.64675</v>
      </c>
      <c r="AX274" s="166" t="n">
        <f aca="false">0.75*AW274-AW274</f>
        <v>-0.6616875</v>
      </c>
      <c r="AY274" s="166" t="n">
        <f aca="false">AW274/0.5*1.25-AW274</f>
        <v>3.970125</v>
      </c>
      <c r="AZ274" s="167" t="n">
        <v>0.5</v>
      </c>
      <c r="BA274" s="74"/>
      <c r="BQ274" s="108" t="n">
        <v>36907.7428240741</v>
      </c>
      <c r="BR274" s="109" t="n">
        <v>36907.743287037</v>
      </c>
      <c r="BS274" s="110" t="n">
        <v>44166</v>
      </c>
      <c r="BT274" s="111" t="n">
        <v>51157.17578125</v>
      </c>
      <c r="BU274" s="112" t="n">
        <v>36042.55859375</v>
      </c>
      <c r="BV274" s="112" t="n">
        <v>9301.3046875</v>
      </c>
      <c r="BW274" s="112" t="n">
        <v>11626.630859375</v>
      </c>
      <c r="BX274" s="113" t="n">
        <v>0</v>
      </c>
      <c r="BZ274" s="110" t="n">
        <v>44228</v>
      </c>
      <c r="CA274" s="185" t="n">
        <v>30</v>
      </c>
      <c r="CB274" s="116" t="n">
        <v>30</v>
      </c>
      <c r="CC274" s="181" t="n">
        <v>30</v>
      </c>
      <c r="CD274" s="181" t="n">
        <v>30</v>
      </c>
      <c r="CE274" s="117" t="n">
        <v>1</v>
      </c>
    </row>
    <row r="275" customFormat="false" ht="12.75" hidden="false" customHeight="false" outlineLevel="0" collapsed="false">
      <c r="A275" s="0" t="str">
        <f aca="true">IF(ISERROR(MATCH(D275,iRefDt,0)),"",MATCH(D275,iRefDt,0))</f>
        <v/>
      </c>
      <c r="B275" s="92" t="n">
        <f aca="false">MATCH(YEAR(D275),iSpreads)</f>
        <v>20</v>
      </c>
      <c r="C275" s="0" t="n">
        <f aca="false">MONTH(D275)</f>
        <v>3</v>
      </c>
      <c r="D275" s="93" t="n">
        <f aca="false">DATE(YEAR(D274),MONTH(D274)+1,1)</f>
        <v>44256</v>
      </c>
      <c r="E275" s="94" t="n">
        <f aca="false">VLOOKUP($D275,tblPriorPrice,2)</f>
        <v>29</v>
      </c>
      <c r="F275" s="190" t="n">
        <f aca="false">G275-E275</f>
        <v>0</v>
      </c>
      <c r="G275" s="190" t="n">
        <f aca="true">G263+OFFSET($CG$4,$B275,$C275)</f>
        <v>29</v>
      </c>
      <c r="H275" s="96" t="n">
        <f aca="true">G275+OFFSET($CU$4,$B275,$C275)</f>
        <v>24</v>
      </c>
      <c r="I275" s="96" t="n">
        <f aca="true">G275+OFFSET($DI$4,$B275,$C275)</f>
        <v>63</v>
      </c>
      <c r="J275" s="94" t="n">
        <f aca="false">VLOOKUP($D275,tblPriorPrice,3)</f>
        <v>29</v>
      </c>
      <c r="K275" s="190" t="n">
        <f aca="false">L275-J275</f>
        <v>0</v>
      </c>
      <c r="L275" s="190" t="n">
        <f aca="true">L263+OFFSET($CG$27,$B275,$C275)</f>
        <v>29</v>
      </c>
      <c r="M275" s="96" t="n">
        <f aca="true">$L275+OFFSET($CU$27,$B275,$C275)</f>
        <v>24</v>
      </c>
      <c r="N275" s="97" t="n">
        <f aca="true">$L275+OFFSET($DI$27,$B275,$C275)</f>
        <v>53</v>
      </c>
      <c r="O275" s="59" t="n">
        <f aca="true">IF($A275="",0,INDEX(tblPosn,$A275,2))</f>
        <v>0</v>
      </c>
      <c r="P275" s="59" t="n">
        <f aca="true">IF($A275="",0,INDEX(tblPosn,$A275,3))</f>
        <v>0</v>
      </c>
      <c r="Q275" s="59" t="n">
        <f aca="true">IF($A275="",0,INDEX(tblPosn,$A275,4))</f>
        <v>0</v>
      </c>
      <c r="R275" s="59" t="n">
        <f aca="true">IF($A275="",0,INDEX(tblPosn,$A275,5))</f>
        <v>0</v>
      </c>
      <c r="V275" s="161" t="n">
        <f aca="false">D275</f>
        <v>44256</v>
      </c>
      <c r="W275" s="94" t="n">
        <f aca="false">VLOOKUP($D275,tblPriorPrice,4)</f>
        <v>29</v>
      </c>
      <c r="X275" s="95" t="n">
        <f aca="false">Y275-W275</f>
        <v>0</v>
      </c>
      <c r="Y275" s="191" t="n">
        <f aca="true">Y263+OFFSET($CG$50,$B275,$C275)</f>
        <v>29</v>
      </c>
      <c r="Z275" s="96" t="n">
        <f aca="true">Y275+OFFSET($CU$51,$B275,$C275)</f>
        <v>29</v>
      </c>
      <c r="AA275" s="177" t="n">
        <f aca="true">Y275+OFFSET($DI$51,$B275,$C275)</f>
        <v>29</v>
      </c>
      <c r="AB275" s="94" t="n">
        <f aca="false">VLOOKUP($D275,tblPriorPrice,5)</f>
        <v>29</v>
      </c>
      <c r="AC275" s="190" t="n">
        <f aca="false">AD275-AB275</f>
        <v>0</v>
      </c>
      <c r="AD275" s="191" t="n">
        <f aca="true">AD263+OFFSET($CG$73,$B275,$C275)</f>
        <v>29</v>
      </c>
      <c r="AE275" s="96" t="n">
        <f aca="true">AD275+OFFSET($CU$74,$B275,$C275)</f>
        <v>29</v>
      </c>
      <c r="AF275" s="177" t="n">
        <f aca="true">AD275+OFFSET($DI$74,$B275,$C275)</f>
        <v>29</v>
      </c>
      <c r="AG275" s="94" t="n">
        <f aca="false">VLOOKUP($D275,tblPriorPrice,6)</f>
        <v>1</v>
      </c>
      <c r="AH275" s="190" t="n">
        <f aca="false">AI275-AG275</f>
        <v>0</v>
      </c>
      <c r="AI275" s="191" t="n">
        <f aca="true">AI263+OFFSET($CG$96,$B275,$C275)</f>
        <v>1</v>
      </c>
      <c r="AJ275" s="96" t="n">
        <f aca="true">AI275+OFFSET($CU$96,$B275,$C275)</f>
        <v>1</v>
      </c>
      <c r="AK275" s="97" t="n">
        <f aca="true">AI275+OFFSET($DI$96,$B275,$C275)</f>
        <v>1</v>
      </c>
      <c r="AL275" s="178" t="n">
        <v>74</v>
      </c>
      <c r="AM275" s="165" t="n">
        <v>0.4</v>
      </c>
      <c r="AN275" s="167" t="n">
        <f aca="false">'[3]Pricing Summary'!$AM253</f>
        <v>0</v>
      </c>
      <c r="AO275" s="167" t="n">
        <f aca="false">0.9*AN275</f>
        <v>0</v>
      </c>
      <c r="AP275" s="166" t="n">
        <f aca="false">1.5*AN275</f>
        <v>0</v>
      </c>
      <c r="AQ275" s="167" t="n">
        <f aca="false">AN275</f>
        <v>0</v>
      </c>
      <c r="AR275" s="166" t="n">
        <f aca="false">0.8*AQ275</f>
        <v>0</v>
      </c>
      <c r="AS275" s="166" t="n">
        <f aca="false">1.2*AQ275</f>
        <v>0</v>
      </c>
      <c r="AT275" s="169" t="n">
        <f aca="false">IF(G275&lt;110,17.94063*(LN(G275/100))+6.727568*(LN(G275/100)^2)+15.06494,(-4.1*G275+2135)/100)*0.5</f>
        <v>1.58278405940532</v>
      </c>
      <c r="AU275" s="169" t="n">
        <f aca="false">(0.75*AT275-AT275)</f>
        <v>-0.395696014851329</v>
      </c>
      <c r="AV275" s="166" t="n">
        <f aca="false">AT275/0.5*1.25-AT275</f>
        <v>2.37417608910797</v>
      </c>
      <c r="AW275" s="168" t="n">
        <f aca="false">IF(L275&lt;15,(15*L275+375)/100,(-4.71*L275+670.65)/100)*0.5</f>
        <v>2.6703</v>
      </c>
      <c r="AX275" s="166" t="n">
        <f aca="false">0.75*AW275-AW275</f>
        <v>-0.667575</v>
      </c>
      <c r="AY275" s="166" t="n">
        <f aca="false">AW275/0.5*1.25-AW275</f>
        <v>4.00545</v>
      </c>
      <c r="AZ275" s="167" t="n">
        <v>0.5</v>
      </c>
      <c r="BA275" s="74"/>
      <c r="BZ275" s="43" t="n">
        <v>44256</v>
      </c>
      <c r="CA275" s="0" t="n">
        <v>29</v>
      </c>
      <c r="CB275" s="63" t="n">
        <v>29</v>
      </c>
      <c r="CC275" s="63" t="n">
        <v>29</v>
      </c>
      <c r="CD275" s="63" t="n">
        <v>29</v>
      </c>
      <c r="CE275" s="63" t="n">
        <v>1</v>
      </c>
    </row>
    <row r="276" customFormat="false" ht="12.75" hidden="false" customHeight="false" outlineLevel="0" collapsed="false">
      <c r="A276" s="0" t="str">
        <f aca="true">IF(ISERROR(MATCH(D276,iRefDt,0)),"",MATCH(D276,iRefDt,0))</f>
        <v/>
      </c>
      <c r="B276" s="92" t="n">
        <f aca="false">MATCH(YEAR(D276),iSpreads)</f>
        <v>20</v>
      </c>
      <c r="C276" s="0" t="n">
        <f aca="false">MONTH(D276)</f>
        <v>4</v>
      </c>
      <c r="D276" s="93" t="n">
        <f aca="false">DATE(YEAR(D275),MONTH(D275)+1,1)</f>
        <v>44287</v>
      </c>
      <c r="E276" s="94" t="n">
        <f aca="false">VLOOKUP($D276,tblPriorPrice,2)</f>
        <v>29</v>
      </c>
      <c r="F276" s="190" t="n">
        <f aca="false">G276-E276</f>
        <v>0</v>
      </c>
      <c r="G276" s="190" t="n">
        <f aca="true">G264+OFFSET($CG$4,$B276,$C276)</f>
        <v>29</v>
      </c>
      <c r="H276" s="96" t="n">
        <f aca="true">G276+OFFSET($CU$4,$B276,$C276)</f>
        <v>24</v>
      </c>
      <c r="I276" s="96" t="n">
        <f aca="true">G276+OFFSET($DI$4,$B276,$C276)</f>
        <v>63</v>
      </c>
      <c r="J276" s="94" t="n">
        <f aca="false">VLOOKUP($D276,tblPriorPrice,3)</f>
        <v>29</v>
      </c>
      <c r="K276" s="190" t="n">
        <f aca="false">L276-J276</f>
        <v>0</v>
      </c>
      <c r="L276" s="190" t="n">
        <f aca="true">L264+OFFSET($CG$27,$B276,$C276)</f>
        <v>29</v>
      </c>
      <c r="M276" s="96" t="n">
        <f aca="true">$L276+OFFSET($CU$27,$B276,$C276)</f>
        <v>24</v>
      </c>
      <c r="N276" s="97" t="n">
        <f aca="true">$L276+OFFSET($DI$27,$B276,$C276)</f>
        <v>53</v>
      </c>
      <c r="O276" s="59" t="n">
        <f aca="true">IF($A276="",0,INDEX(tblPosn,$A276,2))</f>
        <v>0</v>
      </c>
      <c r="P276" s="59" t="n">
        <f aca="true">IF($A276="",0,INDEX(tblPosn,$A276,3))</f>
        <v>0</v>
      </c>
      <c r="Q276" s="59" t="n">
        <f aca="true">IF($A276="",0,INDEX(tblPosn,$A276,4))</f>
        <v>0</v>
      </c>
      <c r="R276" s="59" t="n">
        <f aca="true">IF($A276="",0,INDEX(tblPosn,$A276,5))</f>
        <v>0</v>
      </c>
      <c r="V276" s="161" t="n">
        <f aca="false">D276</f>
        <v>44287</v>
      </c>
      <c r="W276" s="94" t="n">
        <f aca="false">VLOOKUP($D276,tblPriorPrice,4)</f>
        <v>29</v>
      </c>
      <c r="X276" s="95" t="n">
        <f aca="false">Y276-W276</f>
        <v>0</v>
      </c>
      <c r="Y276" s="191" t="n">
        <f aca="true">Y264+OFFSET($CG$50,$B276,$C276)</f>
        <v>29</v>
      </c>
      <c r="Z276" s="96" t="n">
        <f aca="true">Y276+OFFSET($CU$51,$B276,$C276)</f>
        <v>29</v>
      </c>
      <c r="AA276" s="177" t="n">
        <f aca="true">Y276+OFFSET($DI$51,$B276,$C276)</f>
        <v>29</v>
      </c>
      <c r="AB276" s="94" t="n">
        <f aca="false">VLOOKUP($D276,tblPriorPrice,5)</f>
        <v>29</v>
      </c>
      <c r="AC276" s="190" t="n">
        <f aca="false">AD276-AB276</f>
        <v>0</v>
      </c>
      <c r="AD276" s="191" t="n">
        <f aca="true">AD264+OFFSET($CG$73,$B276,$C276)</f>
        <v>29</v>
      </c>
      <c r="AE276" s="96" t="n">
        <f aca="true">AD276+OFFSET($CU$74,$B276,$C276)</f>
        <v>29</v>
      </c>
      <c r="AF276" s="177" t="n">
        <f aca="true">AD276+OFFSET($DI$74,$B276,$C276)</f>
        <v>29</v>
      </c>
      <c r="AG276" s="94" t="n">
        <f aca="false">VLOOKUP($D276,tblPriorPrice,6)</f>
        <v>1</v>
      </c>
      <c r="AH276" s="190" t="n">
        <f aca="false">AI276-AG276</f>
        <v>0</v>
      </c>
      <c r="AI276" s="191" t="n">
        <f aca="true">AI264+OFFSET($CG$96,$B276,$C276)</f>
        <v>1</v>
      </c>
      <c r="AJ276" s="96" t="n">
        <f aca="true">AI276+OFFSET($CU$96,$B276,$C276)</f>
        <v>1</v>
      </c>
      <c r="AK276" s="97" t="n">
        <f aca="true">AI276+OFFSET($DI$96,$B276,$C276)</f>
        <v>1</v>
      </c>
      <c r="AL276" s="178" t="n">
        <v>74</v>
      </c>
      <c r="AM276" s="165" t="n">
        <v>0.4</v>
      </c>
      <c r="AN276" s="167" t="n">
        <f aca="false">'[3]Pricing Summary'!$AM254</f>
        <v>0</v>
      </c>
      <c r="AO276" s="167" t="n">
        <f aca="false">0.9*AN276</f>
        <v>0</v>
      </c>
      <c r="AP276" s="166" t="n">
        <f aca="false">1.5*AN276</f>
        <v>0</v>
      </c>
      <c r="AQ276" s="167" t="n">
        <f aca="false">AN276</f>
        <v>0</v>
      </c>
      <c r="AR276" s="166" t="n">
        <f aca="false">0.8*AQ276</f>
        <v>0</v>
      </c>
      <c r="AS276" s="166" t="n">
        <f aca="false">1.2*AQ276</f>
        <v>0</v>
      </c>
      <c r="AT276" s="169" t="n">
        <f aca="false">IF(G276&lt;110,17.94063*(LN(G276/100))+6.727568*(LN(G276/100)^2)+15.06494,(-4.1*G276+2135)/100)*0.5</f>
        <v>1.58278405940532</v>
      </c>
      <c r="AU276" s="169" t="n">
        <f aca="false">(0.75*AT276-AT276)</f>
        <v>-0.395696014851329</v>
      </c>
      <c r="AV276" s="166" t="n">
        <f aca="false">AT276/0.5*1.25-AT276</f>
        <v>2.37417608910797</v>
      </c>
      <c r="AW276" s="168" t="n">
        <f aca="false">IF(L276&lt;15,(15*L276+375)/100,(-4.71*L276+670.65)/100)*0.5</f>
        <v>2.6703</v>
      </c>
      <c r="AX276" s="166" t="n">
        <f aca="false">0.75*AW276-AW276</f>
        <v>-0.667575</v>
      </c>
      <c r="AY276" s="166" t="n">
        <f aca="false">AW276/0.5*1.25-AW276</f>
        <v>4.00545</v>
      </c>
      <c r="AZ276" s="167" t="n">
        <v>0.5</v>
      </c>
      <c r="BA276" s="74"/>
      <c r="BZ276" s="43" t="n">
        <v>44287</v>
      </c>
      <c r="CA276" s="0" t="n">
        <v>29</v>
      </c>
      <c r="CB276" s="63" t="n">
        <v>29</v>
      </c>
      <c r="CC276" s="63" t="n">
        <v>29</v>
      </c>
      <c r="CD276" s="63" t="n">
        <v>29</v>
      </c>
      <c r="CE276" s="63" t="n">
        <v>1</v>
      </c>
    </row>
    <row r="277" customFormat="false" ht="12.75" hidden="false" customHeight="false" outlineLevel="0" collapsed="false">
      <c r="A277" s="0" t="str">
        <f aca="true">IF(ISERROR(MATCH(D277,iRefDt,0)),"",MATCH(D277,iRefDt,0))</f>
        <v/>
      </c>
      <c r="B277" s="92" t="n">
        <f aca="false">MATCH(YEAR(D277),iSpreads)</f>
        <v>20</v>
      </c>
      <c r="C277" s="0" t="n">
        <f aca="false">MONTH(D277)</f>
        <v>5</v>
      </c>
      <c r="D277" s="93" t="n">
        <f aca="false">DATE(YEAR(D276),MONTH(D276)+1,1)</f>
        <v>44317</v>
      </c>
      <c r="E277" s="94" t="n">
        <f aca="false">VLOOKUP($D277,tblPriorPrice,2)</f>
        <v>29</v>
      </c>
      <c r="F277" s="190" t="n">
        <f aca="false">G277-E277</f>
        <v>3</v>
      </c>
      <c r="G277" s="190" t="n">
        <f aca="true">G265+OFFSET($CG$4,$B277,$C277)</f>
        <v>32</v>
      </c>
      <c r="H277" s="96" t="n">
        <f aca="true">G277+OFFSET($CU$4,$B277,$C277)</f>
        <v>27</v>
      </c>
      <c r="I277" s="96" t="n">
        <f aca="true">G277+OFFSET($DI$4,$B277,$C277)</f>
        <v>66</v>
      </c>
      <c r="J277" s="94" t="n">
        <f aca="false">VLOOKUP($D277,tblPriorPrice,3)</f>
        <v>29</v>
      </c>
      <c r="K277" s="190" t="n">
        <f aca="false">L277-J277</f>
        <v>3</v>
      </c>
      <c r="L277" s="190" t="n">
        <f aca="true">L265+OFFSET($CG$27,$B277,$C277)</f>
        <v>32</v>
      </c>
      <c r="M277" s="96" t="n">
        <f aca="true">$L277+OFFSET($CU$27,$B277,$C277)</f>
        <v>27</v>
      </c>
      <c r="N277" s="97" t="n">
        <f aca="true">$L277+OFFSET($DI$27,$B277,$C277)</f>
        <v>56</v>
      </c>
      <c r="O277" s="59" t="n">
        <f aca="true">IF($A277="",0,INDEX(tblPosn,$A277,2))</f>
        <v>0</v>
      </c>
      <c r="P277" s="59" t="n">
        <f aca="true">IF($A277="",0,INDEX(tblPosn,$A277,3))</f>
        <v>0</v>
      </c>
      <c r="Q277" s="59" t="n">
        <f aca="true">IF($A277="",0,INDEX(tblPosn,$A277,4))</f>
        <v>0</v>
      </c>
      <c r="R277" s="59" t="n">
        <f aca="true">IF($A277="",0,INDEX(tblPosn,$A277,5))</f>
        <v>0</v>
      </c>
      <c r="V277" s="161" t="n">
        <f aca="false">D277</f>
        <v>44317</v>
      </c>
      <c r="W277" s="94" t="n">
        <f aca="false">VLOOKUP($D277,tblPriorPrice,4)</f>
        <v>29</v>
      </c>
      <c r="X277" s="95" t="n">
        <f aca="false">Y277-W277</f>
        <v>3</v>
      </c>
      <c r="Y277" s="191" t="n">
        <f aca="true">Y265+OFFSET($CG$50,$B277,$C277)</f>
        <v>32</v>
      </c>
      <c r="Z277" s="96" t="n">
        <f aca="true">Y277+OFFSET($CU$51,$B277,$C277)</f>
        <v>32</v>
      </c>
      <c r="AA277" s="177" t="n">
        <f aca="true">Y277+OFFSET($DI$51,$B277,$C277)</f>
        <v>32</v>
      </c>
      <c r="AB277" s="94" t="n">
        <f aca="false">VLOOKUP($D277,tblPriorPrice,5)</f>
        <v>29</v>
      </c>
      <c r="AC277" s="190" t="n">
        <f aca="false">AD277-AB277</f>
        <v>3</v>
      </c>
      <c r="AD277" s="191" t="n">
        <f aca="true">AD265+OFFSET($CG$73,$B277,$C277)</f>
        <v>32</v>
      </c>
      <c r="AE277" s="96" t="n">
        <f aca="true">AD277+OFFSET($CU$74,$B277,$C277)</f>
        <v>32</v>
      </c>
      <c r="AF277" s="177" t="n">
        <f aca="true">AD277+OFFSET($DI$74,$B277,$C277)</f>
        <v>32</v>
      </c>
      <c r="AG277" s="94" t="n">
        <f aca="false">VLOOKUP($D277,tblPriorPrice,6)</f>
        <v>1</v>
      </c>
      <c r="AH277" s="190" t="n">
        <f aca="false">AI277-AG277</f>
        <v>0</v>
      </c>
      <c r="AI277" s="191" t="n">
        <f aca="true">AI265+OFFSET($CG$96,$B277,$C277)</f>
        <v>1</v>
      </c>
      <c r="AJ277" s="96" t="n">
        <f aca="true">AI277+OFFSET($CU$96,$B277,$C277)</f>
        <v>1</v>
      </c>
      <c r="AK277" s="97" t="n">
        <f aca="true">AI277+OFFSET($DI$96,$B277,$C277)</f>
        <v>1</v>
      </c>
      <c r="AL277" s="178" t="n">
        <v>74</v>
      </c>
      <c r="AM277" s="165" t="n">
        <v>0.4</v>
      </c>
      <c r="AN277" s="167" t="n">
        <f aca="false">'[3]Pricing Summary'!$AM255</f>
        <v>0</v>
      </c>
      <c r="AO277" s="167" t="n">
        <f aca="false">0.9*AN277</f>
        <v>0</v>
      </c>
      <c r="AP277" s="166" t="n">
        <f aca="false">1.5*AN277</f>
        <v>0</v>
      </c>
      <c r="AQ277" s="167" t="n">
        <f aca="false">AN277</f>
        <v>0</v>
      </c>
      <c r="AR277" s="166" t="n">
        <f aca="false">0.8*AQ277</f>
        <v>0</v>
      </c>
      <c r="AS277" s="166" t="n">
        <f aca="false">1.2*AQ277</f>
        <v>0</v>
      </c>
      <c r="AT277" s="169" t="n">
        <f aca="false">IF(G277&lt;110,17.94063*(LN(G277/100))+6.727568*(LN(G277/100)^2)+15.06494,(-4.1*G277+2135)/100)*0.5</f>
        <v>1.67862159684781</v>
      </c>
      <c r="AU277" s="169" t="n">
        <f aca="false">(0.75*AT277-AT277)</f>
        <v>-0.419655399211954</v>
      </c>
      <c r="AV277" s="166" t="n">
        <f aca="false">AT277/0.5*1.25-AT277</f>
        <v>2.51793239527172</v>
      </c>
      <c r="AW277" s="168" t="n">
        <f aca="false">IF(L277&lt;15,(15*L277+375)/100,(-4.71*L277+670.65)/100)*0.5</f>
        <v>2.59965</v>
      </c>
      <c r="AX277" s="166" t="n">
        <f aca="false">0.75*AW277-AW277</f>
        <v>-0.6499125</v>
      </c>
      <c r="AY277" s="166" t="n">
        <f aca="false">AW277/0.5*1.25-AW277</f>
        <v>3.899475</v>
      </c>
      <c r="AZ277" s="167" t="n">
        <v>0.5</v>
      </c>
      <c r="BA277" s="74"/>
      <c r="BZ277" s="43" t="n">
        <v>44317</v>
      </c>
      <c r="CA277" s="0" t="n">
        <v>32</v>
      </c>
      <c r="CB277" s="63" t="n">
        <v>32</v>
      </c>
      <c r="CC277" s="63" t="n">
        <v>32</v>
      </c>
      <c r="CD277" s="63" t="n">
        <v>32</v>
      </c>
      <c r="CE277" s="63" t="n">
        <v>1</v>
      </c>
    </row>
    <row r="278" customFormat="false" ht="12.75" hidden="false" customHeight="false" outlineLevel="0" collapsed="false">
      <c r="A278" s="0" t="str">
        <f aca="true">IF(ISERROR(MATCH(D278,iRefDt,0)),"",MATCH(D278,iRefDt,0))</f>
        <v/>
      </c>
      <c r="B278" s="92" t="n">
        <f aca="false">MATCH(YEAR(D278),iSpreads)</f>
        <v>20</v>
      </c>
      <c r="C278" s="0" t="n">
        <f aca="false">MONTH(D278)</f>
        <v>6</v>
      </c>
      <c r="D278" s="93" t="n">
        <f aca="false">DATE(YEAR(D277),MONTH(D277)+1,1)</f>
        <v>44348</v>
      </c>
      <c r="E278" s="94" t="n">
        <f aca="false">VLOOKUP($D278,tblPriorPrice,2)</f>
        <v>29</v>
      </c>
      <c r="F278" s="190" t="n">
        <f aca="false">G278-E278</f>
        <v>10</v>
      </c>
      <c r="G278" s="190" t="n">
        <f aca="true">G266+OFFSET($CG$4,$B278,$C278)</f>
        <v>39</v>
      </c>
      <c r="H278" s="96" t="n">
        <f aca="true">G278+OFFSET($CU$4,$B278,$C278)</f>
        <v>34</v>
      </c>
      <c r="I278" s="96" t="n">
        <f aca="true">G278+OFFSET($DI$4,$B278,$C278)</f>
        <v>73</v>
      </c>
      <c r="J278" s="94" t="n">
        <f aca="false">VLOOKUP($D278,tblPriorPrice,3)</f>
        <v>29</v>
      </c>
      <c r="K278" s="190" t="n">
        <f aca="false">L278-J278</f>
        <v>10</v>
      </c>
      <c r="L278" s="190" t="n">
        <f aca="true">L266+OFFSET($CG$27,$B278,$C278)</f>
        <v>39</v>
      </c>
      <c r="M278" s="96" t="n">
        <f aca="true">$L278+OFFSET($CU$27,$B278,$C278)</f>
        <v>34</v>
      </c>
      <c r="N278" s="97" t="n">
        <f aca="true">$L278+OFFSET($DI$27,$B278,$C278)</f>
        <v>63</v>
      </c>
      <c r="O278" s="59" t="n">
        <f aca="true">IF($A278="",0,INDEX(tblPosn,$A278,2))</f>
        <v>0</v>
      </c>
      <c r="P278" s="59" t="n">
        <f aca="true">IF($A278="",0,INDEX(tblPosn,$A278,3))</f>
        <v>0</v>
      </c>
      <c r="Q278" s="59" t="n">
        <f aca="true">IF($A278="",0,INDEX(tblPosn,$A278,4))</f>
        <v>0</v>
      </c>
      <c r="R278" s="59" t="n">
        <f aca="true">IF($A278="",0,INDEX(tblPosn,$A278,5))</f>
        <v>0</v>
      </c>
      <c r="V278" s="161" t="n">
        <f aca="false">D278</f>
        <v>44348</v>
      </c>
      <c r="W278" s="94" t="n">
        <f aca="false">VLOOKUP($D278,tblPriorPrice,4)</f>
        <v>29</v>
      </c>
      <c r="X278" s="95" t="n">
        <f aca="false">Y278-W278</f>
        <v>10</v>
      </c>
      <c r="Y278" s="191" t="n">
        <f aca="true">Y266+OFFSET($CG$50,$B278,$C278)</f>
        <v>39</v>
      </c>
      <c r="Z278" s="96" t="n">
        <f aca="true">Y278+OFFSET($CU$51,$B278,$C278)</f>
        <v>39</v>
      </c>
      <c r="AA278" s="177" t="n">
        <f aca="true">Y278+OFFSET($DI$51,$B278,$C278)</f>
        <v>39</v>
      </c>
      <c r="AB278" s="94" t="n">
        <f aca="false">VLOOKUP($D278,tblPriorPrice,5)</f>
        <v>29</v>
      </c>
      <c r="AC278" s="190" t="n">
        <f aca="false">AD278-AB278</f>
        <v>10</v>
      </c>
      <c r="AD278" s="191" t="n">
        <f aca="true">AD266+OFFSET($CG$73,$B278,$C278)</f>
        <v>39</v>
      </c>
      <c r="AE278" s="96" t="n">
        <f aca="true">AD278+OFFSET($CU$74,$B278,$C278)</f>
        <v>39</v>
      </c>
      <c r="AF278" s="177" t="n">
        <f aca="true">AD278+OFFSET($DI$74,$B278,$C278)</f>
        <v>39</v>
      </c>
      <c r="AG278" s="94" t="n">
        <f aca="false">VLOOKUP($D278,tblPriorPrice,6)</f>
        <v>1</v>
      </c>
      <c r="AH278" s="190" t="n">
        <f aca="false">AI278-AG278</f>
        <v>0</v>
      </c>
      <c r="AI278" s="191" t="n">
        <f aca="true">AI266+OFFSET($CG$96,$B278,$C278)</f>
        <v>1</v>
      </c>
      <c r="AJ278" s="96" t="n">
        <f aca="true">AI278+OFFSET($CU$96,$B278,$C278)</f>
        <v>1</v>
      </c>
      <c r="AK278" s="97" t="n">
        <f aca="true">AI278+OFFSET($DI$96,$B278,$C278)</f>
        <v>1</v>
      </c>
      <c r="AL278" s="178" t="n">
        <v>74</v>
      </c>
      <c r="AM278" s="165" t="n">
        <v>0.4</v>
      </c>
      <c r="AN278" s="167" t="n">
        <f aca="false">'[3]Pricing Summary'!$AM256</f>
        <v>0</v>
      </c>
      <c r="AO278" s="167" t="n">
        <f aca="false">0.9*AN278</f>
        <v>0</v>
      </c>
      <c r="AP278" s="166" t="n">
        <f aca="false">1.5*AN278</f>
        <v>0</v>
      </c>
      <c r="AQ278" s="167" t="n">
        <f aca="false">AN278</f>
        <v>0</v>
      </c>
      <c r="AR278" s="166" t="n">
        <f aca="false">0.8*AQ278</f>
        <v>0</v>
      </c>
      <c r="AS278" s="166" t="n">
        <f aca="false">1.2*AQ278</f>
        <v>0</v>
      </c>
      <c r="AT278" s="169" t="n">
        <f aca="false">IF(G278&lt;110,17.94063*(LN(G278/100))+6.727568*(LN(G278/100)^2)+15.06494,(-4.1*G278+2135)/100)*0.5</f>
        <v>2.06836530423771</v>
      </c>
      <c r="AU278" s="169" t="n">
        <f aca="false">(0.75*AT278-AT278)</f>
        <v>-0.517091326059428</v>
      </c>
      <c r="AV278" s="166" t="n">
        <f aca="false">AT278/0.5*1.25-AT278</f>
        <v>3.10254795635657</v>
      </c>
      <c r="AW278" s="168" t="n">
        <f aca="false">IF(L278&lt;15,(15*L278+375)/100,(-4.71*L278+670.65)/100)*0.5</f>
        <v>2.4348</v>
      </c>
      <c r="AX278" s="166" t="n">
        <f aca="false">0.75*AW278-AW278</f>
        <v>-0.6087</v>
      </c>
      <c r="AY278" s="166" t="n">
        <f aca="false">AW278/0.5*1.25-AW278</f>
        <v>3.6522</v>
      </c>
      <c r="AZ278" s="167" t="n">
        <v>0.5</v>
      </c>
      <c r="BA278" s="74"/>
      <c r="BZ278" s="43" t="n">
        <v>44348</v>
      </c>
      <c r="CA278" s="0" t="n">
        <v>39</v>
      </c>
      <c r="CB278" s="63" t="n">
        <v>39</v>
      </c>
      <c r="CC278" s="63" t="n">
        <v>39</v>
      </c>
      <c r="CD278" s="63" t="n">
        <v>39</v>
      </c>
      <c r="CE278" s="63" t="n">
        <v>1</v>
      </c>
    </row>
    <row r="279" customFormat="false" ht="12.75" hidden="false" customHeight="false" outlineLevel="0" collapsed="false">
      <c r="A279" s="0" t="str">
        <f aca="true">IF(ISERROR(MATCH(D279,iRefDt,0)),"",MATCH(D279,iRefDt,0))</f>
        <v/>
      </c>
      <c r="B279" s="92" t="n">
        <f aca="false">MATCH(YEAR(D279),iSpreads)</f>
        <v>20</v>
      </c>
      <c r="C279" s="0" t="n">
        <f aca="false">MONTH(D279)</f>
        <v>7</v>
      </c>
      <c r="D279" s="93" t="n">
        <f aca="false">DATE(YEAR(D278),MONTH(D278)+1,1)</f>
        <v>44378</v>
      </c>
      <c r="E279" s="94" t="n">
        <f aca="false">VLOOKUP($D279,tblPriorPrice,2)</f>
        <v>29</v>
      </c>
      <c r="F279" s="190" t="n">
        <f aca="false">G279-E279</f>
        <v>10</v>
      </c>
      <c r="G279" s="190" t="n">
        <f aca="true">G267+OFFSET($CG$4,$B279,$C279)</f>
        <v>39</v>
      </c>
      <c r="H279" s="96" t="n">
        <f aca="true">G279+OFFSET($CU$4,$B279,$C279)</f>
        <v>34</v>
      </c>
      <c r="I279" s="96" t="n">
        <f aca="true">G279+OFFSET($DI$4,$B279,$C279)</f>
        <v>73</v>
      </c>
      <c r="J279" s="94" t="n">
        <f aca="false">VLOOKUP($D279,tblPriorPrice,3)</f>
        <v>29</v>
      </c>
      <c r="K279" s="190" t="n">
        <f aca="false">L279-J279</f>
        <v>10</v>
      </c>
      <c r="L279" s="190" t="n">
        <f aca="true">L267+OFFSET($CG$27,$B279,$C279)</f>
        <v>39</v>
      </c>
      <c r="M279" s="96" t="n">
        <f aca="true">$L279+OFFSET($CU$27,$B279,$C279)</f>
        <v>34</v>
      </c>
      <c r="N279" s="97" t="n">
        <f aca="true">$L279+OFFSET($DI$27,$B279,$C279)</f>
        <v>63</v>
      </c>
      <c r="O279" s="59" t="n">
        <f aca="true">IF($A279="",0,INDEX(tblPosn,$A279,2))</f>
        <v>0</v>
      </c>
      <c r="P279" s="59" t="n">
        <f aca="true">IF($A279="",0,INDEX(tblPosn,$A279,3))</f>
        <v>0</v>
      </c>
      <c r="Q279" s="59" t="n">
        <f aca="true">IF($A279="",0,INDEX(tblPosn,$A279,4))</f>
        <v>0</v>
      </c>
      <c r="R279" s="59" t="n">
        <f aca="true">IF($A279="",0,INDEX(tblPosn,$A279,5))</f>
        <v>0</v>
      </c>
      <c r="V279" s="161" t="n">
        <f aca="false">D279</f>
        <v>44378</v>
      </c>
      <c r="W279" s="94" t="n">
        <f aca="false">VLOOKUP($D279,tblPriorPrice,4)</f>
        <v>29</v>
      </c>
      <c r="X279" s="95" t="n">
        <f aca="false">Y279-W279</f>
        <v>10</v>
      </c>
      <c r="Y279" s="191" t="n">
        <f aca="true">Y267+OFFSET($CG$50,$B279,$C279)</f>
        <v>39</v>
      </c>
      <c r="Z279" s="96" t="n">
        <f aca="true">Y279+OFFSET($CU$51,$B279,$C279)</f>
        <v>39</v>
      </c>
      <c r="AA279" s="177" t="n">
        <f aca="true">Y279+OFFSET($DI$51,$B279,$C279)</f>
        <v>39</v>
      </c>
      <c r="AB279" s="94" t="n">
        <f aca="false">VLOOKUP($D279,tblPriorPrice,5)</f>
        <v>29</v>
      </c>
      <c r="AC279" s="190" t="n">
        <f aca="false">AD279-AB279</f>
        <v>10</v>
      </c>
      <c r="AD279" s="191" t="n">
        <f aca="true">AD267+OFFSET($CG$73,$B279,$C279)</f>
        <v>39</v>
      </c>
      <c r="AE279" s="96" t="n">
        <f aca="true">AD279+OFFSET($CU$74,$B279,$C279)</f>
        <v>39</v>
      </c>
      <c r="AF279" s="177" t="n">
        <f aca="true">AD279+OFFSET($DI$74,$B279,$C279)</f>
        <v>39</v>
      </c>
      <c r="AG279" s="94" t="n">
        <f aca="false">VLOOKUP($D279,tblPriorPrice,6)</f>
        <v>1</v>
      </c>
      <c r="AH279" s="190" t="n">
        <f aca="false">AI279-AG279</f>
        <v>0</v>
      </c>
      <c r="AI279" s="191" t="n">
        <f aca="true">AI267+OFFSET($CG$96,$B279,$C279)</f>
        <v>1</v>
      </c>
      <c r="AJ279" s="96" t="n">
        <f aca="true">AI279+OFFSET($CU$96,$B279,$C279)</f>
        <v>1</v>
      </c>
      <c r="AK279" s="97" t="n">
        <f aca="true">AI279+OFFSET($DI$96,$B279,$C279)</f>
        <v>1</v>
      </c>
      <c r="AL279" s="178" t="n">
        <v>74</v>
      </c>
      <c r="AM279" s="165" t="n">
        <v>0.4</v>
      </c>
      <c r="AN279" s="167" t="n">
        <f aca="false">'[3]Pricing Summary'!$AM257</f>
        <v>0</v>
      </c>
      <c r="AO279" s="167" t="n">
        <f aca="false">0.9*AN279</f>
        <v>0</v>
      </c>
      <c r="AP279" s="166" t="n">
        <f aca="false">1.5*AN279</f>
        <v>0</v>
      </c>
      <c r="AQ279" s="167" t="n">
        <f aca="false">AN279</f>
        <v>0</v>
      </c>
      <c r="AR279" s="166" t="n">
        <f aca="false">0.8*AQ279</f>
        <v>0</v>
      </c>
      <c r="AS279" s="166" t="n">
        <f aca="false">1.2*AQ279</f>
        <v>0</v>
      </c>
      <c r="AT279" s="169" t="n">
        <f aca="false">IF(G279&lt;110,17.94063*(LN(G279/100))+6.727568*(LN(G279/100)^2)+15.06494,(-4.1*G279+2135)/100)*0.5</f>
        <v>2.06836530423771</v>
      </c>
      <c r="AU279" s="169" t="n">
        <f aca="false">(0.75*AT279-AT279)</f>
        <v>-0.517091326059428</v>
      </c>
      <c r="AV279" s="166" t="n">
        <f aca="false">AT279/0.5*1.25-AT279</f>
        <v>3.10254795635657</v>
      </c>
      <c r="AW279" s="168" t="n">
        <f aca="false">IF(L279&lt;15,(15*L279+375)/100,(-4.71*L279+670.65)/100)*0.5</f>
        <v>2.4348</v>
      </c>
      <c r="AX279" s="166" t="n">
        <f aca="false">0.75*AW279-AW279</f>
        <v>-0.6087</v>
      </c>
      <c r="AY279" s="166" t="n">
        <f aca="false">AW279/0.5*1.25-AW279</f>
        <v>3.6522</v>
      </c>
      <c r="AZ279" s="167" t="n">
        <v>0.5</v>
      </c>
      <c r="BA279" s="74"/>
      <c r="BZ279" s="43" t="n">
        <v>44378</v>
      </c>
      <c r="CA279" s="0" t="n">
        <v>39</v>
      </c>
      <c r="CB279" s="63" t="n">
        <v>39</v>
      </c>
      <c r="CC279" s="63" t="n">
        <v>39</v>
      </c>
      <c r="CD279" s="63" t="n">
        <v>39</v>
      </c>
      <c r="CE279" s="63" t="n">
        <v>1</v>
      </c>
    </row>
    <row r="280" customFormat="false" ht="12.75" hidden="false" customHeight="false" outlineLevel="0" collapsed="false">
      <c r="A280" s="0" t="str">
        <f aca="true">IF(ISERROR(MATCH(D280,iRefDt,0)),"",MATCH(D280,iRefDt,0))</f>
        <v/>
      </c>
      <c r="B280" s="92" t="n">
        <f aca="false">MATCH(YEAR(D280),iSpreads)</f>
        <v>20</v>
      </c>
      <c r="C280" s="0" t="n">
        <f aca="false">MONTH(D280)</f>
        <v>8</v>
      </c>
      <c r="D280" s="93" t="n">
        <f aca="false">DATE(YEAR(D279),MONTH(D279)+1,1)</f>
        <v>44409</v>
      </c>
      <c r="E280" s="94" t="n">
        <f aca="false">VLOOKUP($D280,tblPriorPrice,2)</f>
        <v>29</v>
      </c>
      <c r="F280" s="190" t="n">
        <f aca="false">G280-E280</f>
        <v>12</v>
      </c>
      <c r="G280" s="190" t="n">
        <f aca="true">G268+OFFSET($CG$4,$B280,$C280)</f>
        <v>41</v>
      </c>
      <c r="H280" s="96" t="n">
        <f aca="true">G280+OFFSET($CU$4,$B280,$C280)</f>
        <v>36</v>
      </c>
      <c r="I280" s="96" t="n">
        <f aca="true">G280+OFFSET($DI$4,$B280,$C280)</f>
        <v>75</v>
      </c>
      <c r="J280" s="94" t="n">
        <f aca="false">VLOOKUP($D280,tblPriorPrice,3)</f>
        <v>29</v>
      </c>
      <c r="K280" s="190" t="n">
        <f aca="false">L280-J280</f>
        <v>12</v>
      </c>
      <c r="L280" s="190" t="n">
        <f aca="true">L268+OFFSET($CG$27,$B280,$C280)</f>
        <v>41</v>
      </c>
      <c r="M280" s="96" t="n">
        <f aca="true">$L280+OFFSET($CU$27,$B280,$C280)</f>
        <v>36</v>
      </c>
      <c r="N280" s="97" t="n">
        <f aca="true">$L280+OFFSET($DI$27,$B280,$C280)</f>
        <v>65</v>
      </c>
      <c r="O280" s="59" t="n">
        <f aca="true">IF($A280="",0,INDEX(tblPosn,$A280,2))</f>
        <v>0</v>
      </c>
      <c r="P280" s="59" t="n">
        <f aca="true">IF($A280="",0,INDEX(tblPosn,$A280,3))</f>
        <v>0</v>
      </c>
      <c r="Q280" s="59" t="n">
        <f aca="true">IF($A280="",0,INDEX(tblPosn,$A280,4))</f>
        <v>0</v>
      </c>
      <c r="R280" s="59" t="n">
        <f aca="true">IF($A280="",0,INDEX(tblPosn,$A280,5))</f>
        <v>0</v>
      </c>
      <c r="V280" s="161" t="n">
        <f aca="false">D280</f>
        <v>44409</v>
      </c>
      <c r="W280" s="94" t="n">
        <f aca="false">VLOOKUP($D280,tblPriorPrice,4)</f>
        <v>29</v>
      </c>
      <c r="X280" s="95" t="n">
        <f aca="false">Y280-W280</f>
        <v>12</v>
      </c>
      <c r="Y280" s="191" t="n">
        <f aca="true">Y268+OFFSET($CG$50,$B280,$C280)</f>
        <v>41</v>
      </c>
      <c r="Z280" s="96" t="n">
        <f aca="true">Y280+OFFSET($CU$51,$B280,$C280)</f>
        <v>41</v>
      </c>
      <c r="AA280" s="177" t="n">
        <f aca="true">Y280+OFFSET($DI$51,$B280,$C280)</f>
        <v>41</v>
      </c>
      <c r="AB280" s="94" t="n">
        <f aca="false">VLOOKUP($D280,tblPriorPrice,5)</f>
        <v>29</v>
      </c>
      <c r="AC280" s="190" t="n">
        <f aca="false">AD280-AB280</f>
        <v>12</v>
      </c>
      <c r="AD280" s="191" t="n">
        <f aca="true">AD268+OFFSET($CG$73,$B280,$C280)</f>
        <v>41</v>
      </c>
      <c r="AE280" s="96" t="n">
        <f aca="true">AD280+OFFSET($CU$74,$B280,$C280)</f>
        <v>41</v>
      </c>
      <c r="AF280" s="177" t="n">
        <f aca="true">AD280+OFFSET($DI$74,$B280,$C280)</f>
        <v>41</v>
      </c>
      <c r="AG280" s="94" t="n">
        <f aca="false">VLOOKUP($D280,tblPriorPrice,6)</f>
        <v>1</v>
      </c>
      <c r="AH280" s="190" t="n">
        <f aca="false">AI280-AG280</f>
        <v>0</v>
      </c>
      <c r="AI280" s="191" t="n">
        <f aca="true">AI268+OFFSET($CG$96,$B280,$C280)</f>
        <v>1</v>
      </c>
      <c r="AJ280" s="96" t="n">
        <f aca="true">AI280+OFFSET($CU$96,$B280,$C280)</f>
        <v>1</v>
      </c>
      <c r="AK280" s="97" t="n">
        <f aca="true">AI280+OFFSET($DI$96,$B280,$C280)</f>
        <v>1</v>
      </c>
      <c r="AL280" s="178" t="n">
        <v>74</v>
      </c>
      <c r="AM280" s="165" t="n">
        <v>0.4</v>
      </c>
      <c r="AN280" s="167" t="n">
        <f aca="false">'[3]Pricing Summary'!$AM258</f>
        <v>0</v>
      </c>
      <c r="AO280" s="167" t="n">
        <f aca="false">0.9*AN280</f>
        <v>0</v>
      </c>
      <c r="AP280" s="166" t="n">
        <f aca="false">1.5*AN280</f>
        <v>0</v>
      </c>
      <c r="AQ280" s="167" t="n">
        <f aca="false">AN280</f>
        <v>0</v>
      </c>
      <c r="AR280" s="166" t="n">
        <f aca="false">0.8*AQ280</f>
        <v>0</v>
      </c>
      <c r="AS280" s="166" t="n">
        <f aca="false">1.2*AQ280</f>
        <v>0</v>
      </c>
      <c r="AT280" s="169" t="n">
        <f aca="false">IF(G280&lt;110,17.94063*(LN(G280/100))+6.727568*(LN(G280/100)^2)+15.06494,(-4.1*G280+2135)/100)*0.5</f>
        <v>2.20858471004844</v>
      </c>
      <c r="AU280" s="169" t="n">
        <f aca="false">(0.75*AT280-AT280)</f>
        <v>-0.552146177512111</v>
      </c>
      <c r="AV280" s="166" t="n">
        <f aca="false">AT280/0.5*1.25-AT280</f>
        <v>3.31287706507267</v>
      </c>
      <c r="AW280" s="168" t="n">
        <f aca="false">IF(L280&lt;15,(15*L280+375)/100,(-4.71*L280+670.65)/100)*0.5</f>
        <v>2.3877</v>
      </c>
      <c r="AX280" s="166" t="n">
        <f aca="false">0.75*AW280-AW280</f>
        <v>-0.596925</v>
      </c>
      <c r="AY280" s="166" t="n">
        <f aca="false">AW280/0.5*1.25-AW280</f>
        <v>3.58155</v>
      </c>
      <c r="AZ280" s="167" t="n">
        <v>0.5</v>
      </c>
      <c r="BA280" s="74"/>
      <c r="BZ280" s="43" t="n">
        <v>44409</v>
      </c>
      <c r="CA280" s="0" t="n">
        <v>41</v>
      </c>
      <c r="CB280" s="63" t="n">
        <v>41</v>
      </c>
      <c r="CC280" s="63" t="n">
        <v>41</v>
      </c>
      <c r="CD280" s="63" t="n">
        <v>41</v>
      </c>
      <c r="CE280" s="63" t="n">
        <v>1</v>
      </c>
    </row>
    <row r="281" customFormat="false" ht="12.75" hidden="false" customHeight="false" outlineLevel="0" collapsed="false">
      <c r="A281" s="0" t="str">
        <f aca="true">IF(ISERROR(MATCH(D281,iRefDt,0)),"",MATCH(D281,iRefDt,0))</f>
        <v/>
      </c>
      <c r="B281" s="92" t="n">
        <f aca="false">MATCH(YEAR(D281),iSpreads)</f>
        <v>20</v>
      </c>
      <c r="C281" s="0" t="n">
        <f aca="false">MONTH(D281)</f>
        <v>9</v>
      </c>
      <c r="D281" s="93" t="n">
        <f aca="false">DATE(YEAR(D280),MONTH(D280)+1,1)</f>
        <v>44440</v>
      </c>
      <c r="E281" s="94" t="n">
        <f aca="false">VLOOKUP($D281,tblPriorPrice,2)</f>
        <v>29</v>
      </c>
      <c r="F281" s="190" t="n">
        <f aca="false">G281-E281</f>
        <v>6</v>
      </c>
      <c r="G281" s="190" t="n">
        <f aca="true">G269+OFFSET($CG$4,$B281,$C281)</f>
        <v>35</v>
      </c>
      <c r="H281" s="96" t="n">
        <f aca="true">G281+OFFSET($CU$4,$B281,$C281)</f>
        <v>30</v>
      </c>
      <c r="I281" s="96" t="n">
        <f aca="true">G281+OFFSET($DI$4,$B281,$C281)</f>
        <v>69</v>
      </c>
      <c r="J281" s="94" t="n">
        <f aca="false">VLOOKUP($D281,tblPriorPrice,3)</f>
        <v>29</v>
      </c>
      <c r="K281" s="190" t="n">
        <f aca="false">L281-J281</f>
        <v>6</v>
      </c>
      <c r="L281" s="190" t="n">
        <f aca="true">L269+OFFSET($CG$27,$B281,$C281)</f>
        <v>35</v>
      </c>
      <c r="M281" s="96" t="n">
        <f aca="true">$L281+OFFSET($CU$27,$B281,$C281)</f>
        <v>30</v>
      </c>
      <c r="N281" s="97" t="n">
        <f aca="true">$L281+OFFSET($DI$27,$B281,$C281)</f>
        <v>59</v>
      </c>
      <c r="O281" s="59" t="n">
        <f aca="true">IF($A281="",0,INDEX(tblPosn,$A281,2))</f>
        <v>0</v>
      </c>
      <c r="P281" s="59" t="n">
        <f aca="true">IF($A281="",0,INDEX(tblPosn,$A281,3))</f>
        <v>0</v>
      </c>
      <c r="Q281" s="59" t="n">
        <f aca="true">IF($A281="",0,INDEX(tblPosn,$A281,4))</f>
        <v>0</v>
      </c>
      <c r="R281" s="59" t="n">
        <f aca="true">IF($A281="",0,INDEX(tblPosn,$A281,5))</f>
        <v>0</v>
      </c>
      <c r="V281" s="161" t="n">
        <f aca="false">D281</f>
        <v>44440</v>
      </c>
      <c r="W281" s="94" t="n">
        <f aca="false">VLOOKUP($D281,tblPriorPrice,4)</f>
        <v>29</v>
      </c>
      <c r="X281" s="95" t="n">
        <f aca="false">Y281-W281</f>
        <v>6</v>
      </c>
      <c r="Y281" s="191" t="n">
        <f aca="true">Y269+OFFSET($CG$50,$B281,$C281)</f>
        <v>35</v>
      </c>
      <c r="Z281" s="96" t="n">
        <f aca="true">Y281+OFFSET($CU$51,$B281,$C281)</f>
        <v>35</v>
      </c>
      <c r="AA281" s="177" t="n">
        <f aca="true">Y281+OFFSET($DI$51,$B281,$C281)</f>
        <v>35</v>
      </c>
      <c r="AB281" s="94" t="n">
        <f aca="false">VLOOKUP($D281,tblPriorPrice,5)</f>
        <v>29</v>
      </c>
      <c r="AC281" s="190" t="n">
        <f aca="false">AD281-AB281</f>
        <v>6</v>
      </c>
      <c r="AD281" s="191" t="n">
        <f aca="true">AD269+OFFSET($CG$73,$B281,$C281)</f>
        <v>35</v>
      </c>
      <c r="AE281" s="96" t="n">
        <f aca="true">AD281+OFFSET($CU$74,$B281,$C281)</f>
        <v>35</v>
      </c>
      <c r="AF281" s="177" t="n">
        <f aca="true">AD281+OFFSET($DI$74,$B281,$C281)</f>
        <v>35</v>
      </c>
      <c r="AG281" s="94" t="n">
        <f aca="false">VLOOKUP($D281,tblPriorPrice,6)</f>
        <v>1</v>
      </c>
      <c r="AH281" s="190" t="n">
        <f aca="false">AI281-AG281</f>
        <v>0</v>
      </c>
      <c r="AI281" s="191" t="n">
        <f aca="true">AI269+OFFSET($CG$96,$B281,$C281)</f>
        <v>1</v>
      </c>
      <c r="AJ281" s="96" t="n">
        <f aca="true">AI281+OFFSET($CU$96,$B281,$C281)</f>
        <v>1</v>
      </c>
      <c r="AK281" s="97" t="n">
        <f aca="true">AI281+OFFSET($DI$96,$B281,$C281)</f>
        <v>1</v>
      </c>
      <c r="AL281" s="178" t="n">
        <v>74</v>
      </c>
      <c r="AM281" s="165" t="n">
        <v>0.4</v>
      </c>
      <c r="AN281" s="167" t="n">
        <f aca="false">'[3]Pricing Summary'!$AM259</f>
        <v>0</v>
      </c>
      <c r="AO281" s="167" t="n">
        <f aca="false">0.9*AN281</f>
        <v>0</v>
      </c>
      <c r="AP281" s="166" t="n">
        <f aca="false">1.5*AN281</f>
        <v>0</v>
      </c>
      <c r="AQ281" s="167" t="n">
        <f aca="false">AN281</f>
        <v>0</v>
      </c>
      <c r="AR281" s="166" t="n">
        <f aca="false">0.8*AQ281</f>
        <v>0</v>
      </c>
      <c r="AS281" s="166" t="n">
        <f aca="false">1.2*AQ281</f>
        <v>0</v>
      </c>
      <c r="AT281" s="169" t="n">
        <f aca="false">IF(G281&lt;110,17.94063*(LN(G281/100))+6.727568*(LN(G281/100)^2)+15.06494,(-4.1*G281+2135)/100)*0.5</f>
        <v>1.82255031269953</v>
      </c>
      <c r="AU281" s="169" t="n">
        <f aca="false">(0.75*AT281-AT281)</f>
        <v>-0.455637578174882</v>
      </c>
      <c r="AV281" s="166" t="n">
        <f aca="false">AT281/0.5*1.25-AT281</f>
        <v>2.73382546904929</v>
      </c>
      <c r="AW281" s="168" t="n">
        <f aca="false">IF(L281&lt;15,(15*L281+375)/100,(-4.71*L281+670.65)/100)*0.5</f>
        <v>2.529</v>
      </c>
      <c r="AX281" s="166" t="n">
        <f aca="false">0.75*AW281-AW281</f>
        <v>-0.63225</v>
      </c>
      <c r="AY281" s="166" t="n">
        <f aca="false">AW281/0.5*1.25-AW281</f>
        <v>3.7935</v>
      </c>
      <c r="AZ281" s="167" t="n">
        <v>0.5</v>
      </c>
      <c r="BA281" s="74"/>
      <c r="BZ281" s="43" t="n">
        <v>44440</v>
      </c>
      <c r="CA281" s="0" t="n">
        <v>35</v>
      </c>
      <c r="CB281" s="63" t="n">
        <v>35</v>
      </c>
      <c r="CC281" s="63" t="n">
        <v>35</v>
      </c>
      <c r="CD281" s="63" t="n">
        <v>35</v>
      </c>
      <c r="CE281" s="63" t="n">
        <v>1</v>
      </c>
    </row>
    <row r="282" customFormat="false" ht="12.75" hidden="false" customHeight="false" outlineLevel="0" collapsed="false">
      <c r="A282" s="0" t="str">
        <f aca="true">IF(ISERROR(MATCH(D282,iRefDt,0)),"",MATCH(D282,iRefDt,0))</f>
        <v/>
      </c>
      <c r="B282" s="92" t="n">
        <f aca="false">MATCH(YEAR(D282),iSpreads)</f>
        <v>20</v>
      </c>
      <c r="C282" s="0" t="n">
        <f aca="false">MONTH(D282)</f>
        <v>10</v>
      </c>
      <c r="D282" s="93" t="n">
        <f aca="false">DATE(YEAR(D281),MONTH(D281)+1,1)</f>
        <v>44470</v>
      </c>
      <c r="E282" s="94" t="n">
        <f aca="false">VLOOKUP($D282,tblPriorPrice,2)</f>
        <v>29</v>
      </c>
      <c r="F282" s="190" t="n">
        <f aca="false">G282-E282</f>
        <v>8</v>
      </c>
      <c r="G282" s="190" t="n">
        <f aca="true">G270+OFFSET($CG$4,$B282,$C282)</f>
        <v>37</v>
      </c>
      <c r="H282" s="96" t="n">
        <f aca="true">G282+OFFSET($CU$4,$B282,$C282)</f>
        <v>32</v>
      </c>
      <c r="I282" s="96" t="n">
        <f aca="true">G282+OFFSET($DI$4,$B282,$C282)</f>
        <v>71</v>
      </c>
      <c r="J282" s="94" t="n">
        <f aca="false">VLOOKUP($D282,tblPriorPrice,3)</f>
        <v>29</v>
      </c>
      <c r="K282" s="190" t="n">
        <f aca="false">L282-J282</f>
        <v>8</v>
      </c>
      <c r="L282" s="190" t="n">
        <f aca="true">L270+OFFSET($CG$27,$B282,$C282)</f>
        <v>37</v>
      </c>
      <c r="M282" s="96" t="n">
        <f aca="true">$L282+OFFSET($CU$27,$B282,$C282)</f>
        <v>32</v>
      </c>
      <c r="N282" s="97" t="n">
        <f aca="true">$L282+OFFSET($DI$27,$B282,$C282)</f>
        <v>61</v>
      </c>
      <c r="O282" s="59" t="n">
        <f aca="true">IF($A282="",0,INDEX(tblPosn,$A282,2))</f>
        <v>0</v>
      </c>
      <c r="P282" s="59" t="n">
        <f aca="true">IF($A282="",0,INDEX(tblPosn,$A282,3))</f>
        <v>0</v>
      </c>
      <c r="Q282" s="59" t="n">
        <f aca="true">IF($A282="",0,INDEX(tblPosn,$A282,4))</f>
        <v>0</v>
      </c>
      <c r="R282" s="59" t="n">
        <f aca="true">IF($A282="",0,INDEX(tblPosn,$A282,5))</f>
        <v>0</v>
      </c>
      <c r="V282" s="161" t="n">
        <f aca="false">D282</f>
        <v>44470</v>
      </c>
      <c r="W282" s="94" t="n">
        <f aca="false">VLOOKUP($D282,tblPriorPrice,4)</f>
        <v>29</v>
      </c>
      <c r="X282" s="95" t="n">
        <f aca="false">Y282-W282</f>
        <v>8</v>
      </c>
      <c r="Y282" s="191" t="n">
        <f aca="true">Y270+OFFSET($CG$50,$B282,$C282)</f>
        <v>37</v>
      </c>
      <c r="Z282" s="96" t="n">
        <f aca="true">Y282+OFFSET($CU$51,$B282,$C282)</f>
        <v>37</v>
      </c>
      <c r="AA282" s="177" t="n">
        <f aca="true">Y282+OFFSET($DI$51,$B282,$C282)</f>
        <v>37</v>
      </c>
      <c r="AB282" s="94" t="n">
        <f aca="false">VLOOKUP($D282,tblPriorPrice,5)</f>
        <v>29</v>
      </c>
      <c r="AC282" s="190" t="n">
        <f aca="false">AD282-AB282</f>
        <v>8</v>
      </c>
      <c r="AD282" s="191" t="n">
        <f aca="true">AD270+OFFSET($CG$73,$B282,$C282)</f>
        <v>37</v>
      </c>
      <c r="AE282" s="96" t="n">
        <f aca="true">AD282+OFFSET($CU$74,$B282,$C282)</f>
        <v>37</v>
      </c>
      <c r="AF282" s="177" t="n">
        <f aca="true">AD282+OFFSET($DI$74,$B282,$C282)</f>
        <v>37</v>
      </c>
      <c r="AG282" s="94" t="n">
        <f aca="false">VLOOKUP($D282,tblPriorPrice,6)</f>
        <v>1</v>
      </c>
      <c r="AH282" s="190" t="n">
        <f aca="false">AI282-AG282</f>
        <v>0</v>
      </c>
      <c r="AI282" s="191" t="n">
        <f aca="true">AI270+OFFSET($CG$96,$B282,$C282)</f>
        <v>1</v>
      </c>
      <c r="AJ282" s="96" t="n">
        <f aca="true">AI282+OFFSET($CU$96,$B282,$C282)</f>
        <v>1</v>
      </c>
      <c r="AK282" s="97" t="n">
        <f aca="true">AI282+OFFSET($DI$96,$B282,$C282)</f>
        <v>1</v>
      </c>
      <c r="AL282" s="178" t="n">
        <v>74</v>
      </c>
      <c r="AM282" s="165" t="n">
        <v>0.4</v>
      </c>
      <c r="AN282" s="167" t="n">
        <f aca="false">'[3]Pricing Summary'!$AM260</f>
        <v>0</v>
      </c>
      <c r="AO282" s="167" t="n">
        <f aca="false">0.9*AN282</f>
        <v>0</v>
      </c>
      <c r="AP282" s="166" t="n">
        <f aca="false">1.5*AN282</f>
        <v>0</v>
      </c>
      <c r="AQ282" s="167" t="n">
        <f aca="false">AN282</f>
        <v>0</v>
      </c>
      <c r="AR282" s="166" t="n">
        <f aca="false">0.8*AQ282</f>
        <v>0</v>
      </c>
      <c r="AS282" s="166" t="n">
        <f aca="false">1.2*AQ282</f>
        <v>0</v>
      </c>
      <c r="AT282" s="169" t="n">
        <f aca="false">IF(G282&lt;110,17.94063*(LN(G282/100))+6.727568*(LN(G282/100)^2)+15.06494,(-4.1*G282+2135)/100)*0.5</f>
        <v>1.93894082389981</v>
      </c>
      <c r="AU282" s="169" t="n">
        <f aca="false">(0.75*AT282-AT282)</f>
        <v>-0.484735205974953</v>
      </c>
      <c r="AV282" s="166" t="n">
        <f aca="false">AT282/0.5*1.25-AT282</f>
        <v>2.90841123584972</v>
      </c>
      <c r="AW282" s="168" t="n">
        <f aca="false">IF(L282&lt;15,(15*L282+375)/100,(-4.71*L282+670.65)/100)*0.5</f>
        <v>2.4819</v>
      </c>
      <c r="AX282" s="166" t="n">
        <f aca="false">0.75*AW282-AW282</f>
        <v>-0.620475</v>
      </c>
      <c r="AY282" s="166" t="n">
        <f aca="false">AW282/0.5*1.25-AW282</f>
        <v>3.72285</v>
      </c>
      <c r="AZ282" s="167" t="n">
        <v>0.5</v>
      </c>
      <c r="BA282" s="74"/>
      <c r="BZ282" s="43" t="n">
        <v>44470</v>
      </c>
      <c r="CA282" s="0" t="n">
        <v>37</v>
      </c>
      <c r="CB282" s="63" t="n">
        <v>37</v>
      </c>
      <c r="CC282" s="63" t="n">
        <v>37</v>
      </c>
      <c r="CD282" s="63" t="n">
        <v>37</v>
      </c>
      <c r="CE282" s="63" t="n">
        <v>1</v>
      </c>
    </row>
    <row r="283" customFormat="false" ht="12.75" hidden="false" customHeight="false" outlineLevel="0" collapsed="false">
      <c r="A283" s="0" t="str">
        <f aca="true">IF(ISERROR(MATCH(D283,iRefDt,0)),"",MATCH(D283,iRefDt,0))</f>
        <v/>
      </c>
      <c r="B283" s="92" t="n">
        <f aca="false">MATCH(YEAR(D283),iSpreads)</f>
        <v>20</v>
      </c>
      <c r="C283" s="0" t="n">
        <f aca="false">MONTH(D283)</f>
        <v>11</v>
      </c>
      <c r="D283" s="93" t="n">
        <f aca="false">DATE(YEAR(D282),MONTH(D282)+1,1)</f>
        <v>44501</v>
      </c>
      <c r="E283" s="94" t="n">
        <f aca="false">VLOOKUP($D283,tblPriorPrice,2)</f>
        <v>29</v>
      </c>
      <c r="F283" s="190" t="n">
        <f aca="false">G283-E283</f>
        <v>2</v>
      </c>
      <c r="G283" s="190" t="n">
        <f aca="true">G271+OFFSET($CG$4,$B283,$C283)</f>
        <v>31</v>
      </c>
      <c r="H283" s="96" t="n">
        <f aca="true">G283+OFFSET($CU$4,$B283,$C283)</f>
        <v>26</v>
      </c>
      <c r="I283" s="96" t="n">
        <f aca="true">G283+OFFSET($DI$4,$B283,$C283)</f>
        <v>65</v>
      </c>
      <c r="J283" s="94" t="n">
        <f aca="false">VLOOKUP($D283,tblPriorPrice,3)</f>
        <v>29</v>
      </c>
      <c r="K283" s="190" t="n">
        <f aca="false">L283-J283</f>
        <v>2</v>
      </c>
      <c r="L283" s="190" t="n">
        <f aca="true">L271+OFFSET($CG$27,$B283,$C283)</f>
        <v>31</v>
      </c>
      <c r="M283" s="96" t="n">
        <f aca="true">$L283+OFFSET($CU$27,$B283,$C283)</f>
        <v>26</v>
      </c>
      <c r="N283" s="97" t="n">
        <f aca="true">$L283+OFFSET($DI$27,$B283,$C283)</f>
        <v>55</v>
      </c>
      <c r="O283" s="59" t="n">
        <f aca="true">IF($A283="",0,INDEX(tblPosn,$A283,2))</f>
        <v>0</v>
      </c>
      <c r="P283" s="59" t="n">
        <f aca="true">IF($A283="",0,INDEX(tblPosn,$A283,3))</f>
        <v>0</v>
      </c>
      <c r="Q283" s="59" t="n">
        <f aca="true">IF($A283="",0,INDEX(tblPosn,$A283,4))</f>
        <v>0</v>
      </c>
      <c r="R283" s="59" t="n">
        <f aca="true">IF($A283="",0,INDEX(tblPosn,$A283,5))</f>
        <v>0</v>
      </c>
      <c r="V283" s="161" t="n">
        <f aca="false">D283</f>
        <v>44501</v>
      </c>
      <c r="W283" s="94" t="n">
        <f aca="false">VLOOKUP($D283,tblPriorPrice,4)</f>
        <v>29</v>
      </c>
      <c r="X283" s="95" t="n">
        <f aca="false">Y283-W283</f>
        <v>2</v>
      </c>
      <c r="Y283" s="191" t="n">
        <f aca="true">Y271+OFFSET($CG$50,$B283,$C283)</f>
        <v>31</v>
      </c>
      <c r="Z283" s="96" t="n">
        <f aca="true">Y283+OFFSET($CU$51,$B283,$C283)</f>
        <v>31</v>
      </c>
      <c r="AA283" s="177" t="n">
        <f aca="true">Y283+OFFSET($DI$51,$B283,$C283)</f>
        <v>31</v>
      </c>
      <c r="AB283" s="94" t="n">
        <f aca="false">VLOOKUP($D283,tblPriorPrice,5)</f>
        <v>29</v>
      </c>
      <c r="AC283" s="190" t="n">
        <f aca="false">AD283-AB283</f>
        <v>2</v>
      </c>
      <c r="AD283" s="191" t="n">
        <f aca="true">AD271+OFFSET($CG$73,$B283,$C283)</f>
        <v>31</v>
      </c>
      <c r="AE283" s="96" t="n">
        <f aca="true">AD283+OFFSET($CU$74,$B283,$C283)</f>
        <v>31</v>
      </c>
      <c r="AF283" s="177" t="n">
        <f aca="true">AD283+OFFSET($DI$74,$B283,$C283)</f>
        <v>31</v>
      </c>
      <c r="AG283" s="94" t="n">
        <f aca="false">VLOOKUP($D283,tblPriorPrice,6)</f>
        <v>1</v>
      </c>
      <c r="AH283" s="190" t="n">
        <f aca="false">AI283-AG283</f>
        <v>0</v>
      </c>
      <c r="AI283" s="191" t="n">
        <f aca="true">AI271+OFFSET($CG$96,$B283,$C283)</f>
        <v>1</v>
      </c>
      <c r="AJ283" s="96" t="n">
        <f aca="true">AI283+OFFSET($CU$96,$B283,$C283)</f>
        <v>1</v>
      </c>
      <c r="AK283" s="97" t="n">
        <f aca="true">AI283+OFFSET($DI$96,$B283,$C283)</f>
        <v>1</v>
      </c>
      <c r="AL283" s="178" t="n">
        <v>74</v>
      </c>
      <c r="AM283" s="165" t="n">
        <v>0.4</v>
      </c>
      <c r="AN283" s="167" t="n">
        <f aca="false">'[3]Pricing Summary'!$AM261</f>
        <v>0</v>
      </c>
      <c r="AO283" s="167" t="n">
        <f aca="false">0.9*AN283</f>
        <v>0</v>
      </c>
      <c r="AP283" s="166" t="n">
        <f aca="false">1.5*AN283</f>
        <v>0</v>
      </c>
      <c r="AQ283" s="167" t="n">
        <f aca="false">AN283</f>
        <v>0</v>
      </c>
      <c r="AR283" s="166" t="n">
        <f aca="false">0.8*AQ283</f>
        <v>0</v>
      </c>
      <c r="AS283" s="166" t="n">
        <f aca="false">1.2*AQ283</f>
        <v>0</v>
      </c>
      <c r="AT283" s="169" t="n">
        <f aca="false">IF(G283&lt;110,17.94063*(LN(G283/100))+6.727568*(LN(G283/100)^2)+15.06494,(-4.1*G283+2135)/100)*0.5</f>
        <v>1.64058990686036</v>
      </c>
      <c r="AU283" s="169" t="n">
        <f aca="false">(0.75*AT283-AT283)</f>
        <v>-0.410147476715089</v>
      </c>
      <c r="AV283" s="166" t="n">
        <f aca="false">AT283/0.5*1.25-AT283</f>
        <v>2.46088486029054</v>
      </c>
      <c r="AW283" s="168" t="n">
        <f aca="false">IF(L283&lt;15,(15*L283+375)/100,(-4.71*L283+670.65)/100)*0.5</f>
        <v>2.6232</v>
      </c>
      <c r="AX283" s="166" t="n">
        <f aca="false">0.75*AW283-AW283</f>
        <v>-0.6558</v>
      </c>
      <c r="AY283" s="166" t="n">
        <f aca="false">AW283/0.5*1.25-AW283</f>
        <v>3.9348</v>
      </c>
      <c r="AZ283" s="167" t="n">
        <v>0.5</v>
      </c>
      <c r="BA283" s="74"/>
      <c r="BZ283" s="43" t="n">
        <v>44501</v>
      </c>
      <c r="CA283" s="0" t="n">
        <v>31</v>
      </c>
      <c r="CB283" s="63" t="n">
        <v>31</v>
      </c>
      <c r="CC283" s="63" t="n">
        <v>31</v>
      </c>
      <c r="CD283" s="63" t="n">
        <v>31</v>
      </c>
      <c r="CE283" s="63" t="n">
        <v>1</v>
      </c>
    </row>
    <row r="284" customFormat="false" ht="12.75" hidden="false" customHeight="false" outlineLevel="0" collapsed="false">
      <c r="A284" s="0" t="str">
        <f aca="true">IF(ISERROR(MATCH(D284,iRefDt,0)),"",MATCH(D284,iRefDt,0))</f>
        <v/>
      </c>
      <c r="B284" s="92" t="n">
        <f aca="false">MATCH(YEAR(D284),iSpreads)</f>
        <v>20</v>
      </c>
      <c r="C284" s="0" t="n">
        <f aca="false">MONTH(D284)</f>
        <v>12</v>
      </c>
      <c r="D284" s="93" t="n">
        <f aca="false">DATE(YEAR(D283),MONTH(D283)+1,1)</f>
        <v>44531</v>
      </c>
      <c r="E284" s="94" t="n">
        <f aca="false">VLOOKUP($D284,tblPriorPrice,2)</f>
        <v>29</v>
      </c>
      <c r="F284" s="190" t="n">
        <f aca="false">G284-E284</f>
        <v>3</v>
      </c>
      <c r="G284" s="190" t="n">
        <f aca="true">G272+OFFSET($CG$4,$B284,$C284)</f>
        <v>32</v>
      </c>
      <c r="H284" s="96" t="n">
        <f aca="true">G284+OFFSET($CU$4,$B284,$C284)</f>
        <v>27</v>
      </c>
      <c r="I284" s="96" t="n">
        <f aca="true">G284+OFFSET($DI$4,$B284,$C284)</f>
        <v>66</v>
      </c>
      <c r="J284" s="94" t="n">
        <f aca="false">VLOOKUP($D284,tblPriorPrice,3)</f>
        <v>29</v>
      </c>
      <c r="K284" s="190" t="n">
        <f aca="false">L284-J284</f>
        <v>0</v>
      </c>
      <c r="L284" s="190" t="n">
        <f aca="true">L272+OFFSET($CG$27,$B284,$C284)</f>
        <v>29</v>
      </c>
      <c r="M284" s="96" t="n">
        <f aca="true">$L284+OFFSET($CU$27,$B284,$C284)</f>
        <v>24</v>
      </c>
      <c r="N284" s="97" t="n">
        <f aca="true">$L284+OFFSET($DI$27,$B284,$C284)</f>
        <v>53</v>
      </c>
      <c r="O284" s="59" t="n">
        <f aca="true">IF($A284="",0,INDEX(tblPosn,$A284,2))</f>
        <v>0</v>
      </c>
      <c r="P284" s="59" t="n">
        <f aca="true">IF($A284="",0,INDEX(tblPosn,$A284,3))</f>
        <v>0</v>
      </c>
      <c r="Q284" s="59" t="n">
        <f aca="true">IF($A284="",0,INDEX(tblPosn,$A284,4))</f>
        <v>0</v>
      </c>
      <c r="R284" s="59" t="n">
        <f aca="true">IF($A284="",0,INDEX(tblPosn,$A284,5))</f>
        <v>0</v>
      </c>
      <c r="V284" s="161" t="n">
        <f aca="false">D284</f>
        <v>44531</v>
      </c>
      <c r="W284" s="94" t="n">
        <f aca="false">VLOOKUP($D284,tblPriorPrice,4)</f>
        <v>29</v>
      </c>
      <c r="X284" s="95" t="n">
        <f aca="false">Y284-W284</f>
        <v>0</v>
      </c>
      <c r="Y284" s="191" t="n">
        <f aca="true">Y272+OFFSET($CG$50,$B284,$C284)</f>
        <v>29</v>
      </c>
      <c r="Z284" s="96" t="n">
        <f aca="true">Y284+OFFSET($CU$51,$B284,$C284)</f>
        <v>29</v>
      </c>
      <c r="AA284" s="177" t="n">
        <f aca="true">Y284+OFFSET($DI$51,$B284,$C284)</f>
        <v>29</v>
      </c>
      <c r="AB284" s="94" t="n">
        <f aca="false">VLOOKUP($D284,tblPriorPrice,5)</f>
        <v>29</v>
      </c>
      <c r="AC284" s="190" t="n">
        <f aca="false">AD284-AB284</f>
        <v>0</v>
      </c>
      <c r="AD284" s="191" t="n">
        <f aca="true">AD272+OFFSET($CG$73,$B284,$C284)</f>
        <v>29</v>
      </c>
      <c r="AE284" s="96" t="n">
        <f aca="true">AD284+OFFSET($CU$74,$B284,$C284)</f>
        <v>29</v>
      </c>
      <c r="AF284" s="177" t="n">
        <f aca="true">AD284+OFFSET($DI$74,$B284,$C284)</f>
        <v>29</v>
      </c>
      <c r="AG284" s="94" t="n">
        <f aca="false">VLOOKUP($D284,tblPriorPrice,6)</f>
        <v>1</v>
      </c>
      <c r="AH284" s="190" t="n">
        <f aca="false">AI284-AG284</f>
        <v>0</v>
      </c>
      <c r="AI284" s="191" t="n">
        <f aca="true">AI272+OFFSET($CG$96,$B284,$C284)</f>
        <v>1</v>
      </c>
      <c r="AJ284" s="96" t="n">
        <f aca="true">AI284+OFFSET($CU$96,$B284,$C284)</f>
        <v>1</v>
      </c>
      <c r="AK284" s="97" t="n">
        <f aca="true">AI284+OFFSET($DI$96,$B284,$C284)</f>
        <v>1</v>
      </c>
      <c r="AL284" s="178" t="n">
        <v>74</v>
      </c>
      <c r="AM284" s="165" t="n">
        <v>0.4</v>
      </c>
      <c r="AN284" s="167" t="n">
        <f aca="false">'[3]Pricing Summary'!$AM262</f>
        <v>0</v>
      </c>
      <c r="AO284" s="167" t="n">
        <f aca="false">0.9*AN284</f>
        <v>0</v>
      </c>
      <c r="AP284" s="166" t="n">
        <f aca="false">1.5*AN284</f>
        <v>0</v>
      </c>
      <c r="AQ284" s="167" t="n">
        <f aca="false">AN284</f>
        <v>0</v>
      </c>
      <c r="AR284" s="166" t="n">
        <f aca="false">0.8*AQ284</f>
        <v>0</v>
      </c>
      <c r="AS284" s="166" t="n">
        <f aca="false">1.2*AQ284</f>
        <v>0</v>
      </c>
      <c r="AT284" s="169" t="n">
        <f aca="false">IF(G284&lt;110,17.94063*(LN(G284/100))+6.727568*(LN(G284/100)^2)+15.06494,(-4.1*G284+2135)/100)*0.5</f>
        <v>1.67862159684781</v>
      </c>
      <c r="AU284" s="169" t="n">
        <f aca="false">(0.75*AT284-AT284)</f>
        <v>-0.419655399211954</v>
      </c>
      <c r="AV284" s="166" t="n">
        <f aca="false">AT284/0.5*1.25-AT284</f>
        <v>2.51793239527172</v>
      </c>
      <c r="AW284" s="168" t="n">
        <f aca="false">IF(L284&lt;15,(15*L284+375)/100,(-4.71*L284+670.65)/100)*0.5</f>
        <v>2.6703</v>
      </c>
      <c r="AX284" s="166" t="n">
        <f aca="false">0.75*AW284-AW284</f>
        <v>-0.667575</v>
      </c>
      <c r="AY284" s="166" t="n">
        <f aca="false">AW284/0.5*1.25-AW284</f>
        <v>4.00545</v>
      </c>
      <c r="AZ284" s="167" t="n">
        <v>0.5</v>
      </c>
      <c r="BA284" s="74"/>
      <c r="BZ284" s="43" t="n">
        <v>44531</v>
      </c>
      <c r="CA284" s="0" t="n">
        <v>32</v>
      </c>
      <c r="CB284" s="63" t="n">
        <v>29</v>
      </c>
      <c r="CC284" s="63" t="n">
        <v>29</v>
      </c>
      <c r="CD284" s="63" t="n">
        <v>29</v>
      </c>
      <c r="CE284" s="63" t="n">
        <v>1</v>
      </c>
    </row>
    <row r="285" customFormat="false" ht="12.75" hidden="false" customHeight="false" outlineLevel="0" collapsed="false">
      <c r="A285" s="0" t="str">
        <f aca="true">IF(ISERROR(MATCH(D285,iRefDt,0)),"",MATCH(D285,iRefDt,0))</f>
        <v/>
      </c>
      <c r="B285" s="92" t="n">
        <f aca="false">MATCH(YEAR(D285),iSpreads)</f>
        <v>20</v>
      </c>
      <c r="C285" s="0" t="n">
        <f aca="false">MONTH(D285)</f>
        <v>1</v>
      </c>
      <c r="D285" s="93" t="n">
        <f aca="false">DATE(YEAR(D284),MONTH(D284)+1,1)</f>
        <v>44562</v>
      </c>
      <c r="E285" s="94" t="n">
        <f aca="false">VLOOKUP($D285,tblPriorPrice,2)</f>
        <v>29</v>
      </c>
      <c r="F285" s="190" t="n">
        <f aca="false">G285-E285</f>
        <v>4</v>
      </c>
      <c r="G285" s="190" t="n">
        <f aca="true">G273+OFFSET($CG$4,$B285,$C285)</f>
        <v>33</v>
      </c>
      <c r="H285" s="96" t="n">
        <f aca="true">G285+OFFSET($CU$4,$B285,$C285)</f>
        <v>28</v>
      </c>
      <c r="I285" s="96" t="n">
        <f aca="true">G285+OFFSET($DI$4,$B285,$C285)</f>
        <v>67</v>
      </c>
      <c r="J285" s="94" t="n">
        <f aca="false">VLOOKUP($D285,tblPriorPrice,3)</f>
        <v>29</v>
      </c>
      <c r="K285" s="190" t="n">
        <f aca="false">L285-J285</f>
        <v>2</v>
      </c>
      <c r="L285" s="190" t="n">
        <f aca="true">L273+OFFSET($CG$27,$B285,$C285)</f>
        <v>31</v>
      </c>
      <c r="M285" s="96" t="n">
        <f aca="true">$L285+OFFSET($CU$27,$B285,$C285)</f>
        <v>26</v>
      </c>
      <c r="N285" s="97" t="n">
        <f aca="true">$L285+OFFSET($DI$27,$B285,$C285)</f>
        <v>55</v>
      </c>
      <c r="O285" s="59" t="n">
        <f aca="true">IF($A285="",0,INDEX(tblPosn,$A285,2))</f>
        <v>0</v>
      </c>
      <c r="P285" s="59" t="n">
        <f aca="true">IF($A285="",0,INDEX(tblPosn,$A285,3))</f>
        <v>0</v>
      </c>
      <c r="Q285" s="59" t="n">
        <f aca="true">IF($A285="",0,INDEX(tblPosn,$A285,4))</f>
        <v>0</v>
      </c>
      <c r="R285" s="59" t="n">
        <f aca="true">IF($A285="",0,INDEX(tblPosn,$A285,5))</f>
        <v>0</v>
      </c>
      <c r="V285" s="161" t="n">
        <f aca="false">D285</f>
        <v>44562</v>
      </c>
      <c r="W285" s="94" t="n">
        <f aca="false">VLOOKUP($D285,tblPriorPrice,4)</f>
        <v>29</v>
      </c>
      <c r="X285" s="95" t="n">
        <f aca="false">Y285-W285</f>
        <v>2</v>
      </c>
      <c r="Y285" s="191" t="n">
        <f aca="true">Y273+OFFSET($CG$50,$B285,$C285)</f>
        <v>31</v>
      </c>
      <c r="Z285" s="96" t="n">
        <f aca="true">Y285+OFFSET($CU$51,$B285,$C285)</f>
        <v>31</v>
      </c>
      <c r="AA285" s="177" t="n">
        <f aca="true">Y285+OFFSET($DI$51,$B285,$C285)</f>
        <v>31</v>
      </c>
      <c r="AB285" s="94" t="n">
        <f aca="false">VLOOKUP($D285,tblPriorPrice,5)</f>
        <v>29</v>
      </c>
      <c r="AC285" s="190" t="n">
        <f aca="false">AD285-AB285</f>
        <v>2</v>
      </c>
      <c r="AD285" s="191" t="n">
        <f aca="true">AD273+OFFSET($CG$73,$B285,$C285)</f>
        <v>31</v>
      </c>
      <c r="AE285" s="96" t="n">
        <f aca="true">AD285+OFFSET($CU$74,$B285,$C285)</f>
        <v>31</v>
      </c>
      <c r="AF285" s="177" t="n">
        <f aca="true">AD285+OFFSET($DI$74,$B285,$C285)</f>
        <v>31</v>
      </c>
      <c r="AG285" s="94" t="n">
        <f aca="false">VLOOKUP($D285,tblPriorPrice,6)</f>
        <v>1</v>
      </c>
      <c r="AH285" s="190" t="n">
        <f aca="false">AI285-AG285</f>
        <v>0</v>
      </c>
      <c r="AI285" s="191" t="n">
        <f aca="true">AI273+OFFSET($CG$96,$B285,$C285)</f>
        <v>1</v>
      </c>
      <c r="AJ285" s="96" t="n">
        <f aca="true">AI285+OFFSET($CU$96,$B285,$C285)</f>
        <v>1</v>
      </c>
      <c r="AK285" s="97" t="n">
        <f aca="true">AI285+OFFSET($DI$96,$B285,$C285)</f>
        <v>1</v>
      </c>
      <c r="AL285" s="178" t="n">
        <v>74</v>
      </c>
      <c r="AM285" s="165" t="n">
        <v>0.4</v>
      </c>
      <c r="AN285" s="167" t="n">
        <f aca="false">'[3]Pricing Summary'!$AM263</f>
        <v>0</v>
      </c>
      <c r="AO285" s="167" t="n">
        <f aca="false">0.9*AN285</f>
        <v>0</v>
      </c>
      <c r="AP285" s="166" t="n">
        <f aca="false">1.5*AN285</f>
        <v>0</v>
      </c>
      <c r="AQ285" s="167" t="n">
        <f aca="false">AN285</f>
        <v>0</v>
      </c>
      <c r="AR285" s="166" t="n">
        <f aca="false">0.8*AQ285</f>
        <v>0</v>
      </c>
      <c r="AS285" s="166" t="n">
        <f aca="false">1.2*AQ285</f>
        <v>0</v>
      </c>
      <c r="AT285" s="169" t="n">
        <f aca="false">IF(G285&lt;110,17.94063*(LN(G285/100))+6.727568*(LN(G285/100)^2)+15.06494,(-4.1*G285+2135)/100)*0.5</f>
        <v>1.72195432632388</v>
      </c>
      <c r="AU285" s="169" t="n">
        <f aca="false">(0.75*AT285-AT285)</f>
        <v>-0.43048858158097</v>
      </c>
      <c r="AV285" s="166" t="n">
        <f aca="false">AT285/0.5*1.25-AT285</f>
        <v>2.58293148948582</v>
      </c>
      <c r="AW285" s="168" t="n">
        <f aca="false">IF(L285&lt;15,(15*L285+375)/100,(-4.71*L285+670.65)/100)*0.5</f>
        <v>2.6232</v>
      </c>
      <c r="AX285" s="166" t="n">
        <f aca="false">0.75*AW285-AW285</f>
        <v>-0.6558</v>
      </c>
      <c r="AY285" s="166" t="n">
        <f aca="false">AW285/0.5*1.25-AW285</f>
        <v>3.9348</v>
      </c>
      <c r="AZ285" s="167" t="n">
        <v>0.5</v>
      </c>
      <c r="BA285" s="74"/>
      <c r="BZ285" s="43" t="n">
        <v>44562</v>
      </c>
      <c r="CA285" s="0" t="n">
        <v>33</v>
      </c>
      <c r="CB285" s="63" t="n">
        <v>31</v>
      </c>
      <c r="CC285" s="63" t="n">
        <v>31</v>
      </c>
      <c r="CD285" s="63" t="n">
        <v>31</v>
      </c>
      <c r="CE285" s="63" t="n">
        <v>1</v>
      </c>
    </row>
    <row r="286" customFormat="false" ht="12.75" hidden="false" customHeight="false" outlineLevel="0" collapsed="false">
      <c r="A286" s="0" t="str">
        <f aca="true">IF(ISERROR(MATCH(D286,iRefDt,0)),"",MATCH(D286,iRefDt,0))</f>
        <v/>
      </c>
      <c r="B286" s="92" t="n">
        <f aca="false">MATCH(YEAR(D286),iSpreads)</f>
        <v>20</v>
      </c>
      <c r="C286" s="0" t="n">
        <f aca="false">MONTH(D286)</f>
        <v>2</v>
      </c>
      <c r="D286" s="93" t="n">
        <f aca="false">DATE(YEAR(D285),MONTH(D285)+1,1)</f>
        <v>44593</v>
      </c>
      <c r="E286" s="94" t="n">
        <f aca="false">VLOOKUP($D286,tblPriorPrice,2)</f>
        <v>29</v>
      </c>
      <c r="F286" s="190" t="n">
        <f aca="false">G286-E286</f>
        <v>1</v>
      </c>
      <c r="G286" s="190" t="n">
        <f aca="true">G274+OFFSET($CG$4,$B286,$C286)</f>
        <v>30</v>
      </c>
      <c r="H286" s="96" t="n">
        <f aca="true">G286+OFFSET($CU$4,$B286,$C286)</f>
        <v>25</v>
      </c>
      <c r="I286" s="96" t="n">
        <f aca="true">G286+OFFSET($DI$4,$B286,$C286)</f>
        <v>64</v>
      </c>
      <c r="J286" s="94" t="n">
        <f aca="false">VLOOKUP($D286,tblPriorPrice,3)</f>
        <v>29</v>
      </c>
      <c r="K286" s="190" t="n">
        <f aca="false">L286-J286</f>
        <v>1</v>
      </c>
      <c r="L286" s="190" t="n">
        <f aca="true">L274+OFFSET($CG$27,$B286,$C286)</f>
        <v>30</v>
      </c>
      <c r="M286" s="96" t="n">
        <f aca="true">$L286+OFFSET($CU$27,$B286,$C286)</f>
        <v>25</v>
      </c>
      <c r="N286" s="97" t="n">
        <f aca="true">$L286+OFFSET($DI$27,$B286,$C286)</f>
        <v>54</v>
      </c>
      <c r="O286" s="59" t="n">
        <f aca="true">IF($A286="",0,INDEX(tblPosn,$A286,2))</f>
        <v>0</v>
      </c>
      <c r="P286" s="59" t="n">
        <f aca="true">IF($A286="",0,INDEX(tblPosn,$A286,3))</f>
        <v>0</v>
      </c>
      <c r="Q286" s="59" t="n">
        <f aca="true">IF($A286="",0,INDEX(tblPosn,$A286,4))</f>
        <v>0</v>
      </c>
      <c r="R286" s="59" t="n">
        <f aca="true">IF($A286="",0,INDEX(tblPosn,$A286,5))</f>
        <v>0</v>
      </c>
      <c r="V286" s="161" t="n">
        <f aca="false">D286</f>
        <v>44593</v>
      </c>
      <c r="W286" s="94" t="n">
        <f aca="false">VLOOKUP($D286,tblPriorPrice,4)</f>
        <v>29</v>
      </c>
      <c r="X286" s="95" t="n">
        <f aca="false">Y286-W286</f>
        <v>1</v>
      </c>
      <c r="Y286" s="191" t="n">
        <f aca="true">Y274+OFFSET($CG$50,$B286,$C286)</f>
        <v>30</v>
      </c>
      <c r="Z286" s="96" t="n">
        <f aca="true">Y286+OFFSET($CU$51,$B286,$C286)</f>
        <v>30</v>
      </c>
      <c r="AA286" s="177" t="n">
        <f aca="true">Y286+OFFSET($DI$51,$B286,$C286)</f>
        <v>30</v>
      </c>
      <c r="AB286" s="94" t="n">
        <f aca="false">VLOOKUP($D286,tblPriorPrice,5)</f>
        <v>29</v>
      </c>
      <c r="AC286" s="190" t="n">
        <f aca="false">AD286-AB286</f>
        <v>1</v>
      </c>
      <c r="AD286" s="191" t="n">
        <f aca="true">AD274+OFFSET($CG$73,$B286,$C286)</f>
        <v>30</v>
      </c>
      <c r="AE286" s="96" t="n">
        <f aca="true">AD286+OFFSET($CU$74,$B286,$C286)</f>
        <v>30</v>
      </c>
      <c r="AF286" s="177" t="n">
        <f aca="true">AD286+OFFSET($DI$74,$B286,$C286)</f>
        <v>30</v>
      </c>
      <c r="AG286" s="94" t="n">
        <f aca="false">VLOOKUP($D286,tblPriorPrice,6)</f>
        <v>1</v>
      </c>
      <c r="AH286" s="190" t="n">
        <f aca="false">AI286-AG286</f>
        <v>0</v>
      </c>
      <c r="AI286" s="191" t="n">
        <f aca="true">AI274+OFFSET($CG$96,$B286,$C286)</f>
        <v>1</v>
      </c>
      <c r="AJ286" s="96" t="n">
        <f aca="true">AI286+OFFSET($CU$96,$B286,$C286)</f>
        <v>1</v>
      </c>
      <c r="AK286" s="97" t="n">
        <f aca="true">AI286+OFFSET($DI$96,$B286,$C286)</f>
        <v>1</v>
      </c>
      <c r="AL286" s="178" t="n">
        <v>74</v>
      </c>
      <c r="AM286" s="165" t="n">
        <v>0.4</v>
      </c>
      <c r="AN286" s="167" t="n">
        <f aca="false">'[3]Pricing Summary'!$AM264</f>
        <v>0</v>
      </c>
      <c r="AO286" s="167" t="n">
        <f aca="false">0.9*AN286</f>
        <v>0</v>
      </c>
      <c r="AP286" s="166" t="n">
        <f aca="false">1.5*AN286</f>
        <v>0</v>
      </c>
      <c r="AQ286" s="167" t="n">
        <f aca="false">AN286</f>
        <v>0</v>
      </c>
      <c r="AR286" s="166" t="n">
        <f aca="false">0.8*AQ286</f>
        <v>0</v>
      </c>
      <c r="AS286" s="166" t="n">
        <f aca="false">1.2*AQ286</f>
        <v>0</v>
      </c>
      <c r="AT286" s="169" t="n">
        <f aca="false">IF(G286&lt;110,17.94063*(LN(G286/100))+6.727568*(LN(G286/100)^2)+15.06494,(-4.1*G286+2135)/100)*0.5</f>
        <v>1.60842951845599</v>
      </c>
      <c r="AU286" s="169" t="n">
        <f aca="false">(0.75*AT286-AT286)</f>
        <v>-0.402107379613998</v>
      </c>
      <c r="AV286" s="166" t="n">
        <f aca="false">AT286/0.5*1.25-AT286</f>
        <v>2.41264427768399</v>
      </c>
      <c r="AW286" s="168" t="n">
        <f aca="false">IF(L286&lt;15,(15*L286+375)/100,(-4.71*L286+670.65)/100)*0.5</f>
        <v>2.64675</v>
      </c>
      <c r="AX286" s="166" t="n">
        <f aca="false">0.75*AW286-AW286</f>
        <v>-0.6616875</v>
      </c>
      <c r="AY286" s="166" t="n">
        <f aca="false">AW286/0.5*1.25-AW286</f>
        <v>3.970125</v>
      </c>
      <c r="AZ286" s="167" t="n">
        <v>0.5</v>
      </c>
      <c r="BA286" s="74"/>
      <c r="BZ286" s="43" t="n">
        <v>44593</v>
      </c>
      <c r="CA286" s="0" t="n">
        <v>30</v>
      </c>
      <c r="CB286" s="63" t="n">
        <v>30</v>
      </c>
      <c r="CC286" s="63" t="n">
        <v>30</v>
      </c>
      <c r="CD286" s="63" t="n">
        <v>30</v>
      </c>
      <c r="CE286" s="63" t="n">
        <v>1</v>
      </c>
    </row>
    <row r="287" customFormat="false" ht="12.75" hidden="false" customHeight="false" outlineLevel="0" collapsed="false">
      <c r="A287" s="0" t="str">
        <f aca="true">IF(ISERROR(MATCH(D287,iRefDt,0)),"",MATCH(D287,iRefDt,0))</f>
        <v/>
      </c>
      <c r="B287" s="92" t="n">
        <f aca="false">MATCH(YEAR(D287),iSpreads)</f>
        <v>20</v>
      </c>
      <c r="C287" s="0" t="n">
        <f aca="false">MONTH(D287)</f>
        <v>3</v>
      </c>
      <c r="D287" s="93" t="n">
        <f aca="false">DATE(YEAR(D286),MONTH(D286)+1,1)</f>
        <v>44621</v>
      </c>
      <c r="E287" s="94" t="n">
        <f aca="false">VLOOKUP($D287,tblPriorPrice,2)</f>
        <v>29</v>
      </c>
      <c r="F287" s="190" t="n">
        <f aca="false">G287-E287</f>
        <v>0</v>
      </c>
      <c r="G287" s="190" t="n">
        <f aca="true">G275+OFFSET($CG$4,$B287,$C287)</f>
        <v>29</v>
      </c>
      <c r="H287" s="96" t="n">
        <f aca="true">G287+OFFSET($CU$4,$B287,$C287)</f>
        <v>24</v>
      </c>
      <c r="I287" s="96" t="n">
        <f aca="true">G287+OFFSET($DI$4,$B287,$C287)</f>
        <v>63</v>
      </c>
      <c r="J287" s="94" t="n">
        <f aca="false">VLOOKUP($D287,tblPriorPrice,3)</f>
        <v>29</v>
      </c>
      <c r="K287" s="190" t="n">
        <f aca="false">L287-J287</f>
        <v>0</v>
      </c>
      <c r="L287" s="190" t="n">
        <f aca="true">L275+OFFSET($CG$27,$B287,$C287)</f>
        <v>29</v>
      </c>
      <c r="M287" s="96" t="n">
        <f aca="true">$L287+OFFSET($CU$27,$B287,$C287)</f>
        <v>24</v>
      </c>
      <c r="N287" s="97" t="n">
        <f aca="true">$L287+OFFSET($DI$27,$B287,$C287)</f>
        <v>53</v>
      </c>
      <c r="O287" s="59" t="n">
        <f aca="true">IF($A287="",0,INDEX(tblPosn,$A287,2))</f>
        <v>0</v>
      </c>
      <c r="P287" s="59" t="n">
        <f aca="true">IF($A287="",0,INDEX(tblPosn,$A287,3))</f>
        <v>0</v>
      </c>
      <c r="Q287" s="59" t="n">
        <f aca="true">IF($A287="",0,INDEX(tblPosn,$A287,4))</f>
        <v>0</v>
      </c>
      <c r="R287" s="59" t="n">
        <f aca="true">IF($A287="",0,INDEX(tblPosn,$A287,5))</f>
        <v>0</v>
      </c>
      <c r="V287" s="161" t="n">
        <f aca="false">D287</f>
        <v>44621</v>
      </c>
      <c r="W287" s="94" t="n">
        <f aca="false">VLOOKUP($D287,tblPriorPrice,4)</f>
        <v>29</v>
      </c>
      <c r="X287" s="95" t="n">
        <f aca="false">Y287-W287</f>
        <v>0</v>
      </c>
      <c r="Y287" s="191" t="n">
        <f aca="true">Y275+OFFSET($CG$50,$B287,$C287)</f>
        <v>29</v>
      </c>
      <c r="Z287" s="96" t="n">
        <f aca="true">Y287+OFFSET($CU$51,$B287,$C287)</f>
        <v>29</v>
      </c>
      <c r="AA287" s="177" t="n">
        <f aca="true">Y287+OFFSET($DI$51,$B287,$C287)</f>
        <v>29</v>
      </c>
      <c r="AB287" s="94" t="n">
        <f aca="false">VLOOKUP($D287,tblPriorPrice,5)</f>
        <v>29</v>
      </c>
      <c r="AC287" s="190" t="n">
        <f aca="false">AD287-AB287</f>
        <v>0</v>
      </c>
      <c r="AD287" s="191" t="n">
        <f aca="true">AD275+OFFSET($CG$73,$B287,$C287)</f>
        <v>29</v>
      </c>
      <c r="AE287" s="96" t="n">
        <f aca="true">AD287+OFFSET($CU$74,$B287,$C287)</f>
        <v>29</v>
      </c>
      <c r="AF287" s="177" t="n">
        <f aca="true">AD287+OFFSET($DI$74,$B287,$C287)</f>
        <v>29</v>
      </c>
      <c r="AG287" s="94" t="n">
        <f aca="false">VLOOKUP($D287,tblPriorPrice,6)</f>
        <v>1</v>
      </c>
      <c r="AH287" s="190" t="n">
        <f aca="false">AI287-AG287</f>
        <v>0</v>
      </c>
      <c r="AI287" s="191" t="n">
        <f aca="true">AI275+OFFSET($CG$96,$B287,$C287)</f>
        <v>1</v>
      </c>
      <c r="AJ287" s="96" t="n">
        <f aca="true">AI287+OFFSET($CU$96,$B287,$C287)</f>
        <v>1</v>
      </c>
      <c r="AK287" s="97" t="n">
        <f aca="true">AI287+OFFSET($DI$96,$B287,$C287)</f>
        <v>1</v>
      </c>
      <c r="AL287" s="178" t="n">
        <v>74</v>
      </c>
      <c r="AM287" s="165" t="n">
        <v>0.4</v>
      </c>
      <c r="AN287" s="167" t="n">
        <f aca="false">'[3]Pricing Summary'!$AM265</f>
        <v>0</v>
      </c>
      <c r="AO287" s="167" t="n">
        <f aca="false">0.9*AN287</f>
        <v>0</v>
      </c>
      <c r="AP287" s="166" t="n">
        <f aca="false">1.5*AN287</f>
        <v>0</v>
      </c>
      <c r="AQ287" s="167" t="n">
        <f aca="false">AN287</f>
        <v>0</v>
      </c>
      <c r="AR287" s="166" t="n">
        <f aca="false">0.8*AQ287</f>
        <v>0</v>
      </c>
      <c r="AS287" s="166" t="n">
        <f aca="false">1.2*AQ287</f>
        <v>0</v>
      </c>
      <c r="AT287" s="169" t="n">
        <f aca="false">IF(G287&lt;110,17.94063*(LN(G287/100))+6.727568*(LN(G287/100)^2)+15.06494,(-4.1*G287+2135)/100)*0.5</f>
        <v>1.58278405940532</v>
      </c>
      <c r="AU287" s="169" t="n">
        <f aca="false">(0.75*AT287-AT287)</f>
        <v>-0.395696014851329</v>
      </c>
      <c r="AV287" s="166" t="n">
        <f aca="false">AT287/0.5*1.25-AT287</f>
        <v>2.37417608910797</v>
      </c>
      <c r="AW287" s="168" t="n">
        <f aca="false">IF(L287&lt;15,(15*L287+375)/100,(-4.71*L287+670.65)/100)*0.5</f>
        <v>2.6703</v>
      </c>
      <c r="AX287" s="166" t="n">
        <f aca="false">0.75*AW287-AW287</f>
        <v>-0.667575</v>
      </c>
      <c r="AY287" s="166" t="n">
        <f aca="false">AW287/0.5*1.25-AW287</f>
        <v>4.00545</v>
      </c>
      <c r="AZ287" s="167" t="n">
        <v>0.5</v>
      </c>
      <c r="BA287" s="74"/>
      <c r="BZ287" s="43" t="n">
        <v>44621</v>
      </c>
      <c r="CA287" s="0" t="n">
        <v>29</v>
      </c>
      <c r="CB287" s="63" t="n">
        <v>29</v>
      </c>
      <c r="CC287" s="63" t="n">
        <v>29</v>
      </c>
      <c r="CD287" s="63" t="n">
        <v>29</v>
      </c>
      <c r="CE287" s="63" t="n">
        <v>1</v>
      </c>
    </row>
    <row r="288" customFormat="false" ht="12.75" hidden="false" customHeight="false" outlineLevel="0" collapsed="false">
      <c r="A288" s="0" t="str">
        <f aca="true">IF(ISERROR(MATCH(D288,iRefDt,0)),"",MATCH(D288,iRefDt,0))</f>
        <v/>
      </c>
      <c r="B288" s="92" t="n">
        <f aca="false">MATCH(YEAR(D288),iSpreads)</f>
        <v>20</v>
      </c>
      <c r="C288" s="0" t="n">
        <f aca="false">MONTH(D288)</f>
        <v>4</v>
      </c>
      <c r="D288" s="93" t="n">
        <f aca="false">DATE(YEAR(D287),MONTH(D287)+1,1)</f>
        <v>44652</v>
      </c>
      <c r="E288" s="94" t="n">
        <f aca="false">VLOOKUP($D288,tblPriorPrice,2)</f>
        <v>29</v>
      </c>
      <c r="F288" s="190" t="n">
        <f aca="false">G288-E288</f>
        <v>0</v>
      </c>
      <c r="G288" s="190" t="n">
        <f aca="true">G276+OFFSET($CG$4,$B288,$C288)</f>
        <v>29</v>
      </c>
      <c r="H288" s="96" t="n">
        <f aca="true">G288+OFFSET($CU$4,$B288,$C288)</f>
        <v>24</v>
      </c>
      <c r="I288" s="96" t="n">
        <f aca="true">G288+OFFSET($DI$4,$B288,$C288)</f>
        <v>63</v>
      </c>
      <c r="J288" s="94" t="n">
        <f aca="false">VLOOKUP($D288,tblPriorPrice,3)</f>
        <v>29</v>
      </c>
      <c r="K288" s="190" t="n">
        <f aca="false">L288-J288</f>
        <v>0</v>
      </c>
      <c r="L288" s="190" t="n">
        <f aca="true">L276+OFFSET($CG$27,$B288,$C288)</f>
        <v>29</v>
      </c>
      <c r="M288" s="96" t="n">
        <f aca="true">$L288+OFFSET($CU$27,$B288,$C288)</f>
        <v>24</v>
      </c>
      <c r="N288" s="97" t="n">
        <f aca="true">$L288+OFFSET($DI$27,$B288,$C288)</f>
        <v>53</v>
      </c>
      <c r="O288" s="59" t="n">
        <f aca="true">IF($A288="",0,INDEX(tblPosn,$A288,2))</f>
        <v>0</v>
      </c>
      <c r="P288" s="59" t="n">
        <f aca="true">IF($A288="",0,INDEX(tblPosn,$A288,3))</f>
        <v>0</v>
      </c>
      <c r="Q288" s="59" t="n">
        <f aca="true">IF($A288="",0,INDEX(tblPosn,$A288,4))</f>
        <v>0</v>
      </c>
      <c r="R288" s="59" t="n">
        <f aca="true">IF($A288="",0,INDEX(tblPosn,$A288,5))</f>
        <v>0</v>
      </c>
      <c r="V288" s="161" t="n">
        <f aca="false">D288</f>
        <v>44652</v>
      </c>
      <c r="W288" s="94" t="n">
        <f aca="false">VLOOKUP($D288,tblPriorPrice,4)</f>
        <v>29</v>
      </c>
      <c r="X288" s="95" t="n">
        <f aca="false">Y288-W288</f>
        <v>0</v>
      </c>
      <c r="Y288" s="191" t="n">
        <f aca="true">Y276+OFFSET($CG$50,$B288,$C288)</f>
        <v>29</v>
      </c>
      <c r="Z288" s="96" t="n">
        <f aca="true">Y288+OFFSET($CU$51,$B288,$C288)</f>
        <v>29</v>
      </c>
      <c r="AA288" s="177" t="n">
        <f aca="true">Y288+OFFSET($DI$51,$B288,$C288)</f>
        <v>29</v>
      </c>
      <c r="AB288" s="94" t="n">
        <f aca="false">VLOOKUP($D288,tblPriorPrice,5)</f>
        <v>29</v>
      </c>
      <c r="AC288" s="190" t="n">
        <f aca="false">AD288-AB288</f>
        <v>0</v>
      </c>
      <c r="AD288" s="191" t="n">
        <f aca="true">AD276+OFFSET($CG$73,$B288,$C288)</f>
        <v>29</v>
      </c>
      <c r="AE288" s="96" t="n">
        <f aca="true">AD288+OFFSET($CU$74,$B288,$C288)</f>
        <v>29</v>
      </c>
      <c r="AF288" s="177" t="n">
        <f aca="true">AD288+OFFSET($DI$74,$B288,$C288)</f>
        <v>29</v>
      </c>
      <c r="AG288" s="94" t="n">
        <f aca="false">VLOOKUP($D288,tblPriorPrice,6)</f>
        <v>1</v>
      </c>
      <c r="AH288" s="190" t="n">
        <f aca="false">AI288-AG288</f>
        <v>0</v>
      </c>
      <c r="AI288" s="191" t="n">
        <f aca="true">AI276+OFFSET($CG$96,$B288,$C288)</f>
        <v>1</v>
      </c>
      <c r="AJ288" s="96" t="n">
        <f aca="true">AI288+OFFSET($CU$96,$B288,$C288)</f>
        <v>1</v>
      </c>
      <c r="AK288" s="97" t="n">
        <f aca="true">AI288+OFFSET($DI$96,$B288,$C288)</f>
        <v>1</v>
      </c>
      <c r="AL288" s="178" t="n">
        <v>74</v>
      </c>
      <c r="AM288" s="165" t="n">
        <v>0.4</v>
      </c>
      <c r="AN288" s="167" t="n">
        <f aca="false">'[3]Pricing Summary'!$AM266</f>
        <v>0</v>
      </c>
      <c r="AO288" s="167" t="n">
        <f aca="false">0.9*AN288</f>
        <v>0</v>
      </c>
      <c r="AP288" s="166" t="n">
        <f aca="false">1.5*AN288</f>
        <v>0</v>
      </c>
      <c r="AQ288" s="167" t="n">
        <f aca="false">AN288</f>
        <v>0</v>
      </c>
      <c r="AR288" s="166" t="n">
        <f aca="false">0.8*AQ288</f>
        <v>0</v>
      </c>
      <c r="AS288" s="166" t="n">
        <f aca="false">1.2*AQ288</f>
        <v>0</v>
      </c>
      <c r="AT288" s="169" t="n">
        <f aca="false">IF(G288&lt;110,17.94063*(LN(G288/100))+6.727568*(LN(G288/100)^2)+15.06494,(-4.1*G288+2135)/100)*0.5</f>
        <v>1.58278405940532</v>
      </c>
      <c r="AU288" s="169" t="n">
        <f aca="false">(0.75*AT288-AT288)</f>
        <v>-0.395696014851329</v>
      </c>
      <c r="AV288" s="166" t="n">
        <f aca="false">AT288/0.5*1.25-AT288</f>
        <v>2.37417608910797</v>
      </c>
      <c r="AW288" s="168" t="n">
        <f aca="false">IF(L288&lt;15,(15*L288+375)/100,(-4.71*L288+670.65)/100)*0.5</f>
        <v>2.6703</v>
      </c>
      <c r="AX288" s="166" t="n">
        <f aca="false">0.75*AW288-AW288</f>
        <v>-0.667575</v>
      </c>
      <c r="AY288" s="166" t="n">
        <f aca="false">AW288/0.5*1.25-AW288</f>
        <v>4.00545</v>
      </c>
      <c r="AZ288" s="167" t="n">
        <v>0.5</v>
      </c>
      <c r="BA288" s="74"/>
      <c r="BZ288" s="43" t="n">
        <v>44652</v>
      </c>
      <c r="CA288" s="0" t="n">
        <v>29</v>
      </c>
      <c r="CB288" s="63" t="n">
        <v>29</v>
      </c>
      <c r="CC288" s="63" t="n">
        <v>29</v>
      </c>
      <c r="CD288" s="63" t="n">
        <v>29</v>
      </c>
      <c r="CE288" s="63" t="n">
        <v>1</v>
      </c>
    </row>
    <row r="289" customFormat="false" ht="12.75" hidden="false" customHeight="false" outlineLevel="0" collapsed="false">
      <c r="A289" s="0" t="str">
        <f aca="true">IF(ISERROR(MATCH(D289,iRefDt,0)),"",MATCH(D289,iRefDt,0))</f>
        <v/>
      </c>
      <c r="B289" s="92" t="n">
        <f aca="false">MATCH(YEAR(D289),iSpreads)</f>
        <v>20</v>
      </c>
      <c r="C289" s="0" t="n">
        <f aca="false">MONTH(D289)</f>
        <v>5</v>
      </c>
      <c r="D289" s="93" t="n">
        <f aca="false">DATE(YEAR(D288),MONTH(D288)+1,1)</f>
        <v>44682</v>
      </c>
      <c r="E289" s="94" t="n">
        <f aca="false">VLOOKUP($D289,tblPriorPrice,2)</f>
        <v>29</v>
      </c>
      <c r="F289" s="190" t="n">
        <f aca="false">G289-E289</f>
        <v>3</v>
      </c>
      <c r="G289" s="190" t="n">
        <f aca="true">G277+OFFSET($CG$4,$B289,$C289)</f>
        <v>32</v>
      </c>
      <c r="H289" s="96" t="n">
        <f aca="true">G289+OFFSET($CU$4,$B289,$C289)</f>
        <v>27</v>
      </c>
      <c r="I289" s="96" t="n">
        <f aca="true">G289+OFFSET($DI$4,$B289,$C289)</f>
        <v>66</v>
      </c>
      <c r="J289" s="94" t="n">
        <f aca="false">VLOOKUP($D289,tblPriorPrice,3)</f>
        <v>29</v>
      </c>
      <c r="K289" s="190" t="n">
        <f aca="false">L289-J289</f>
        <v>3</v>
      </c>
      <c r="L289" s="190" t="n">
        <f aca="true">L277+OFFSET($CG$27,$B289,$C289)</f>
        <v>32</v>
      </c>
      <c r="M289" s="96" t="n">
        <f aca="true">$L289+OFFSET($CU$27,$B289,$C289)</f>
        <v>27</v>
      </c>
      <c r="N289" s="97" t="n">
        <f aca="true">$L289+OFFSET($DI$27,$B289,$C289)</f>
        <v>56</v>
      </c>
      <c r="O289" s="59" t="n">
        <f aca="true">IF($A289="",0,INDEX(tblPosn,$A289,2))</f>
        <v>0</v>
      </c>
      <c r="P289" s="59" t="n">
        <f aca="true">IF($A289="",0,INDEX(tblPosn,$A289,3))</f>
        <v>0</v>
      </c>
      <c r="Q289" s="59" t="n">
        <f aca="true">IF($A289="",0,INDEX(tblPosn,$A289,4))</f>
        <v>0</v>
      </c>
      <c r="R289" s="59" t="n">
        <f aca="true">IF($A289="",0,INDEX(tblPosn,$A289,5))</f>
        <v>0</v>
      </c>
      <c r="V289" s="161" t="n">
        <f aca="false">D289</f>
        <v>44682</v>
      </c>
      <c r="W289" s="94" t="n">
        <f aca="false">VLOOKUP($D289,tblPriorPrice,4)</f>
        <v>29</v>
      </c>
      <c r="X289" s="95" t="n">
        <f aca="false">Y289-W289</f>
        <v>3</v>
      </c>
      <c r="Y289" s="191" t="n">
        <f aca="true">Y277+OFFSET($CG$50,$B289,$C289)</f>
        <v>32</v>
      </c>
      <c r="Z289" s="96" t="n">
        <f aca="true">Y289+OFFSET($CU$51,$B289,$C289)</f>
        <v>32</v>
      </c>
      <c r="AA289" s="177" t="n">
        <f aca="true">Y289+OFFSET($DI$51,$B289,$C289)</f>
        <v>32</v>
      </c>
      <c r="AB289" s="94" t="n">
        <f aca="false">VLOOKUP($D289,tblPriorPrice,5)</f>
        <v>29</v>
      </c>
      <c r="AC289" s="190" t="n">
        <f aca="false">AD289-AB289</f>
        <v>3</v>
      </c>
      <c r="AD289" s="191" t="n">
        <f aca="true">AD277+OFFSET($CG$73,$B289,$C289)</f>
        <v>32</v>
      </c>
      <c r="AE289" s="96" t="n">
        <f aca="true">AD289+OFFSET($CU$74,$B289,$C289)</f>
        <v>32</v>
      </c>
      <c r="AF289" s="177" t="n">
        <f aca="true">AD289+OFFSET($DI$74,$B289,$C289)</f>
        <v>32</v>
      </c>
      <c r="AG289" s="94" t="n">
        <f aca="false">VLOOKUP($D289,tblPriorPrice,6)</f>
        <v>1</v>
      </c>
      <c r="AH289" s="190" t="n">
        <f aca="false">AI289-AG289</f>
        <v>0</v>
      </c>
      <c r="AI289" s="191" t="n">
        <f aca="true">AI277+OFFSET($CG$96,$B289,$C289)</f>
        <v>1</v>
      </c>
      <c r="AJ289" s="96" t="n">
        <f aca="true">AI289+OFFSET($CU$96,$B289,$C289)</f>
        <v>1</v>
      </c>
      <c r="AK289" s="97" t="n">
        <f aca="true">AI289+OFFSET($DI$96,$B289,$C289)</f>
        <v>1</v>
      </c>
      <c r="AL289" s="178" t="n">
        <v>74</v>
      </c>
      <c r="AM289" s="165" t="n">
        <v>0.4</v>
      </c>
      <c r="AN289" s="167" t="n">
        <f aca="false">'[3]Pricing Summary'!$AM267</f>
        <v>0</v>
      </c>
      <c r="AO289" s="167" t="n">
        <f aca="false">0.9*AN289</f>
        <v>0</v>
      </c>
      <c r="AP289" s="166" t="n">
        <f aca="false">1.5*AN289</f>
        <v>0</v>
      </c>
      <c r="AQ289" s="167" t="n">
        <f aca="false">AN289</f>
        <v>0</v>
      </c>
      <c r="AR289" s="166" t="n">
        <f aca="false">0.8*AQ289</f>
        <v>0</v>
      </c>
      <c r="AS289" s="166" t="n">
        <f aca="false">1.2*AQ289</f>
        <v>0</v>
      </c>
      <c r="AT289" s="169" t="n">
        <f aca="false">IF(G289&lt;110,17.94063*(LN(G289/100))+6.727568*(LN(G289/100)^2)+15.06494,(-4.1*G289+2135)/100)*0.5</f>
        <v>1.67862159684781</v>
      </c>
      <c r="AU289" s="169" t="n">
        <f aca="false">(0.75*AT289-AT289)</f>
        <v>-0.419655399211954</v>
      </c>
      <c r="AV289" s="166" t="n">
        <f aca="false">AT289/0.5*1.25-AT289</f>
        <v>2.51793239527172</v>
      </c>
      <c r="AW289" s="168" t="n">
        <f aca="false">IF(L289&lt;15,(15*L289+375)/100,(-4.71*L289+670.65)/100)*0.5</f>
        <v>2.59965</v>
      </c>
      <c r="AX289" s="166" t="n">
        <f aca="false">0.75*AW289-AW289</f>
        <v>-0.6499125</v>
      </c>
      <c r="AY289" s="166" t="n">
        <f aca="false">AW289/0.5*1.25-AW289</f>
        <v>3.899475</v>
      </c>
      <c r="AZ289" s="167" t="n">
        <v>0.5</v>
      </c>
      <c r="BA289" s="74"/>
      <c r="BZ289" s="43" t="n">
        <v>44682</v>
      </c>
      <c r="CA289" s="0" t="n">
        <v>32</v>
      </c>
      <c r="CB289" s="63" t="n">
        <v>32</v>
      </c>
      <c r="CC289" s="63" t="n">
        <v>32</v>
      </c>
      <c r="CD289" s="63" t="n">
        <v>32</v>
      </c>
      <c r="CE289" s="63" t="n">
        <v>1</v>
      </c>
    </row>
    <row r="290" customFormat="false" ht="12.75" hidden="false" customHeight="false" outlineLevel="0" collapsed="false">
      <c r="A290" s="0" t="str">
        <f aca="true">IF(ISERROR(MATCH(D290,iRefDt,0)),"",MATCH(D290,iRefDt,0))</f>
        <v/>
      </c>
      <c r="B290" s="92" t="n">
        <f aca="false">MATCH(YEAR(D290),iSpreads)</f>
        <v>20</v>
      </c>
      <c r="C290" s="0" t="n">
        <f aca="false">MONTH(D290)</f>
        <v>6</v>
      </c>
      <c r="D290" s="93" t="n">
        <f aca="false">DATE(YEAR(D289),MONTH(D289)+1,1)</f>
        <v>44713</v>
      </c>
      <c r="E290" s="94" t="n">
        <f aca="false">VLOOKUP($D290,tblPriorPrice,2)</f>
        <v>29</v>
      </c>
      <c r="F290" s="190" t="n">
        <f aca="false">G290-E290</f>
        <v>10</v>
      </c>
      <c r="G290" s="190" t="n">
        <f aca="true">G278+OFFSET($CG$4,$B290,$C290)</f>
        <v>39</v>
      </c>
      <c r="H290" s="96" t="n">
        <f aca="true">G290+OFFSET($CU$4,$B290,$C290)</f>
        <v>34</v>
      </c>
      <c r="I290" s="96" t="n">
        <f aca="true">G290+OFFSET($DI$4,$B290,$C290)</f>
        <v>73</v>
      </c>
      <c r="J290" s="94" t="n">
        <f aca="false">VLOOKUP($D290,tblPriorPrice,3)</f>
        <v>29</v>
      </c>
      <c r="K290" s="190" t="n">
        <f aca="false">L290-J290</f>
        <v>10</v>
      </c>
      <c r="L290" s="190" t="n">
        <f aca="true">L278+OFFSET($CG$27,$B290,$C290)</f>
        <v>39</v>
      </c>
      <c r="M290" s="96" t="n">
        <f aca="true">$L290+OFFSET($CU$27,$B290,$C290)</f>
        <v>34</v>
      </c>
      <c r="N290" s="97" t="n">
        <f aca="true">$L290+OFFSET($DI$27,$B290,$C290)</f>
        <v>63</v>
      </c>
      <c r="O290" s="59" t="n">
        <f aca="true">IF($A290="",0,INDEX(tblPosn,$A290,2))</f>
        <v>0</v>
      </c>
      <c r="P290" s="59" t="n">
        <f aca="true">IF($A290="",0,INDEX(tblPosn,$A290,3))</f>
        <v>0</v>
      </c>
      <c r="Q290" s="59" t="n">
        <f aca="true">IF($A290="",0,INDEX(tblPosn,$A290,4))</f>
        <v>0</v>
      </c>
      <c r="R290" s="59" t="n">
        <f aca="true">IF($A290="",0,INDEX(tblPosn,$A290,5))</f>
        <v>0</v>
      </c>
      <c r="V290" s="161" t="n">
        <f aca="false">D290</f>
        <v>44713</v>
      </c>
      <c r="W290" s="94" t="n">
        <f aca="false">VLOOKUP($D290,tblPriorPrice,4)</f>
        <v>29</v>
      </c>
      <c r="X290" s="95" t="n">
        <f aca="false">Y290-W290</f>
        <v>10</v>
      </c>
      <c r="Y290" s="191" t="n">
        <f aca="true">Y278+OFFSET($CG$50,$B290,$C290)</f>
        <v>39</v>
      </c>
      <c r="Z290" s="96" t="n">
        <f aca="true">Y290+OFFSET($CU$51,$B290,$C290)</f>
        <v>39</v>
      </c>
      <c r="AA290" s="177" t="n">
        <f aca="true">Y290+OFFSET($DI$51,$B290,$C290)</f>
        <v>39</v>
      </c>
      <c r="AB290" s="94" t="n">
        <f aca="false">VLOOKUP($D290,tblPriorPrice,5)</f>
        <v>29</v>
      </c>
      <c r="AC290" s="190" t="n">
        <f aca="false">AD290-AB290</f>
        <v>10</v>
      </c>
      <c r="AD290" s="191" t="n">
        <f aca="true">AD278+OFFSET($CG$73,$B290,$C290)</f>
        <v>39</v>
      </c>
      <c r="AE290" s="96" t="n">
        <f aca="true">AD290+OFFSET($CU$74,$B290,$C290)</f>
        <v>39</v>
      </c>
      <c r="AF290" s="177" t="n">
        <f aca="true">AD290+OFFSET($DI$74,$B290,$C290)</f>
        <v>39</v>
      </c>
      <c r="AG290" s="94" t="n">
        <f aca="false">VLOOKUP($D290,tblPriorPrice,6)</f>
        <v>1</v>
      </c>
      <c r="AH290" s="190" t="n">
        <f aca="false">AI290-AG290</f>
        <v>0</v>
      </c>
      <c r="AI290" s="191" t="n">
        <f aca="true">AI278+OFFSET($CG$96,$B290,$C290)</f>
        <v>1</v>
      </c>
      <c r="AJ290" s="96" t="n">
        <f aca="true">AI290+OFFSET($CU$96,$B290,$C290)</f>
        <v>1</v>
      </c>
      <c r="AK290" s="97" t="n">
        <f aca="true">AI290+OFFSET($DI$96,$B290,$C290)</f>
        <v>1</v>
      </c>
      <c r="AL290" s="178" t="n">
        <v>74</v>
      </c>
      <c r="AM290" s="165" t="n">
        <v>0.4</v>
      </c>
      <c r="AN290" s="167" t="n">
        <f aca="false">'[3]Pricing Summary'!$AM268</f>
        <v>0</v>
      </c>
      <c r="AO290" s="167" t="n">
        <f aca="false">0.9*AN290</f>
        <v>0</v>
      </c>
      <c r="AP290" s="166" t="n">
        <f aca="false">1.5*AN290</f>
        <v>0</v>
      </c>
      <c r="AQ290" s="167" t="n">
        <f aca="false">AN290</f>
        <v>0</v>
      </c>
      <c r="AR290" s="166" t="n">
        <f aca="false">0.8*AQ290</f>
        <v>0</v>
      </c>
      <c r="AS290" s="166" t="n">
        <f aca="false">1.2*AQ290</f>
        <v>0</v>
      </c>
      <c r="AT290" s="169" t="n">
        <f aca="false">IF(G290&lt;110,17.94063*(LN(G290/100))+6.727568*(LN(G290/100)^2)+15.06494,(-4.1*G290+2135)/100)*0.5</f>
        <v>2.06836530423771</v>
      </c>
      <c r="AU290" s="169" t="n">
        <f aca="false">(0.75*AT290-AT290)</f>
        <v>-0.517091326059428</v>
      </c>
      <c r="AV290" s="166" t="n">
        <f aca="false">AT290/0.5*1.25-AT290</f>
        <v>3.10254795635657</v>
      </c>
      <c r="AW290" s="168" t="n">
        <f aca="false">IF(L290&lt;15,(15*L290+375)/100,(-4.71*L290+670.65)/100)*0.5</f>
        <v>2.4348</v>
      </c>
      <c r="AX290" s="166" t="n">
        <f aca="false">0.75*AW290-AW290</f>
        <v>-0.6087</v>
      </c>
      <c r="AY290" s="166" t="n">
        <f aca="false">AW290/0.5*1.25-AW290</f>
        <v>3.6522</v>
      </c>
      <c r="AZ290" s="167" t="n">
        <v>0.5</v>
      </c>
      <c r="BA290" s="74"/>
      <c r="BZ290" s="43" t="n">
        <v>44713</v>
      </c>
      <c r="CA290" s="0" t="n">
        <v>39</v>
      </c>
      <c r="CB290" s="63" t="n">
        <v>39</v>
      </c>
      <c r="CC290" s="63" t="n">
        <v>39</v>
      </c>
      <c r="CD290" s="63" t="n">
        <v>39</v>
      </c>
      <c r="CE290" s="63" t="n">
        <v>1</v>
      </c>
    </row>
    <row r="291" customFormat="false" ht="12.75" hidden="false" customHeight="false" outlineLevel="0" collapsed="false">
      <c r="A291" s="0" t="str">
        <f aca="true">IF(ISERROR(MATCH(D291,iRefDt,0)),"",MATCH(D291,iRefDt,0))</f>
        <v/>
      </c>
      <c r="B291" s="92" t="n">
        <f aca="false">MATCH(YEAR(D291),iSpreads)</f>
        <v>20</v>
      </c>
      <c r="C291" s="0" t="n">
        <f aca="false">MONTH(D291)</f>
        <v>7</v>
      </c>
      <c r="D291" s="93" t="n">
        <f aca="false">DATE(YEAR(D290),MONTH(D290)+1,1)</f>
        <v>44743</v>
      </c>
      <c r="E291" s="94" t="n">
        <f aca="false">VLOOKUP($D291,tblPriorPrice,2)</f>
        <v>29</v>
      </c>
      <c r="F291" s="190" t="n">
        <f aca="false">G291-E291</f>
        <v>10</v>
      </c>
      <c r="G291" s="190" t="n">
        <f aca="true">G279+OFFSET($CG$4,$B291,$C291)</f>
        <v>39</v>
      </c>
      <c r="H291" s="96" t="n">
        <f aca="true">G291+OFFSET($CU$4,$B291,$C291)</f>
        <v>34</v>
      </c>
      <c r="I291" s="96" t="n">
        <f aca="true">G291+OFFSET($DI$4,$B291,$C291)</f>
        <v>73</v>
      </c>
      <c r="J291" s="94" t="n">
        <f aca="false">VLOOKUP($D291,tblPriorPrice,3)</f>
        <v>29</v>
      </c>
      <c r="K291" s="190" t="n">
        <f aca="false">L291-J291</f>
        <v>10</v>
      </c>
      <c r="L291" s="190" t="n">
        <f aca="true">L279+OFFSET($CG$27,$B291,$C291)</f>
        <v>39</v>
      </c>
      <c r="M291" s="96" t="n">
        <f aca="true">$L291+OFFSET($CU$27,$B291,$C291)</f>
        <v>34</v>
      </c>
      <c r="N291" s="97" t="n">
        <f aca="true">$L291+OFFSET($DI$27,$B291,$C291)</f>
        <v>63</v>
      </c>
      <c r="O291" s="59" t="n">
        <f aca="true">IF($A291="",0,INDEX(tblPosn,$A291,2))</f>
        <v>0</v>
      </c>
      <c r="P291" s="59" t="n">
        <f aca="true">IF($A291="",0,INDEX(tblPosn,$A291,3))</f>
        <v>0</v>
      </c>
      <c r="Q291" s="59" t="n">
        <f aca="true">IF($A291="",0,INDEX(tblPosn,$A291,4))</f>
        <v>0</v>
      </c>
      <c r="R291" s="59" t="n">
        <f aca="true">IF($A291="",0,INDEX(tblPosn,$A291,5))</f>
        <v>0</v>
      </c>
      <c r="V291" s="161" t="n">
        <f aca="false">D291</f>
        <v>44743</v>
      </c>
      <c r="W291" s="94" t="n">
        <f aca="false">VLOOKUP($D291,tblPriorPrice,4)</f>
        <v>29</v>
      </c>
      <c r="X291" s="95" t="n">
        <f aca="false">Y291-W291</f>
        <v>10</v>
      </c>
      <c r="Y291" s="191" t="n">
        <f aca="true">Y279+OFFSET($CG$50,$B291,$C291)</f>
        <v>39</v>
      </c>
      <c r="Z291" s="96" t="n">
        <f aca="true">Y291+OFFSET($CU$51,$B291,$C291)</f>
        <v>39</v>
      </c>
      <c r="AA291" s="177" t="n">
        <f aca="true">Y291+OFFSET($DI$51,$B291,$C291)</f>
        <v>39</v>
      </c>
      <c r="AB291" s="94" t="n">
        <f aca="false">VLOOKUP($D291,tblPriorPrice,5)</f>
        <v>29</v>
      </c>
      <c r="AC291" s="190" t="n">
        <f aca="false">AD291-AB291</f>
        <v>10</v>
      </c>
      <c r="AD291" s="191" t="n">
        <f aca="true">AD279+OFFSET($CG$73,$B291,$C291)</f>
        <v>39</v>
      </c>
      <c r="AE291" s="96" t="n">
        <f aca="true">AD291+OFFSET($CU$74,$B291,$C291)</f>
        <v>39</v>
      </c>
      <c r="AF291" s="177" t="n">
        <f aca="true">AD291+OFFSET($DI$74,$B291,$C291)</f>
        <v>39</v>
      </c>
      <c r="AG291" s="94" t="n">
        <f aca="false">VLOOKUP($D291,tblPriorPrice,6)</f>
        <v>1</v>
      </c>
      <c r="AH291" s="190" t="n">
        <f aca="false">AI291-AG291</f>
        <v>0</v>
      </c>
      <c r="AI291" s="191" t="n">
        <f aca="true">AI279+OFFSET($CG$96,$B291,$C291)</f>
        <v>1</v>
      </c>
      <c r="AJ291" s="96" t="n">
        <f aca="true">AI291+OFFSET($CU$96,$B291,$C291)</f>
        <v>1</v>
      </c>
      <c r="AK291" s="97" t="n">
        <f aca="true">AI291+OFFSET($DI$96,$B291,$C291)</f>
        <v>1</v>
      </c>
      <c r="AL291" s="178" t="n">
        <v>74</v>
      </c>
      <c r="AM291" s="165" t="n">
        <v>0.4</v>
      </c>
      <c r="AN291" s="167" t="n">
        <f aca="false">'[3]Pricing Summary'!$AM269</f>
        <v>0</v>
      </c>
      <c r="AO291" s="167" t="n">
        <f aca="false">0.9*AN291</f>
        <v>0</v>
      </c>
      <c r="AP291" s="166" t="n">
        <f aca="false">1.5*AN291</f>
        <v>0</v>
      </c>
      <c r="AQ291" s="167" t="n">
        <f aca="false">AN291</f>
        <v>0</v>
      </c>
      <c r="AR291" s="166" t="n">
        <f aca="false">0.8*AQ291</f>
        <v>0</v>
      </c>
      <c r="AS291" s="166" t="n">
        <f aca="false">1.2*AQ291</f>
        <v>0</v>
      </c>
      <c r="AT291" s="169" t="n">
        <f aca="false">IF(G291&lt;110,17.94063*(LN(G291/100))+6.727568*(LN(G291/100)^2)+15.06494,(-4.1*G291+2135)/100)*0.5</f>
        <v>2.06836530423771</v>
      </c>
      <c r="AU291" s="169" t="n">
        <f aca="false">(0.75*AT291-AT291)</f>
        <v>-0.517091326059428</v>
      </c>
      <c r="AV291" s="166" t="n">
        <f aca="false">AT291/0.5*1.25-AT291</f>
        <v>3.10254795635657</v>
      </c>
      <c r="AW291" s="168" t="n">
        <f aca="false">IF(L291&lt;15,(15*L291+375)/100,(-4.71*L291+670.65)/100)*0.5</f>
        <v>2.4348</v>
      </c>
      <c r="AX291" s="166" t="n">
        <f aca="false">0.75*AW291-AW291</f>
        <v>-0.6087</v>
      </c>
      <c r="AY291" s="166" t="n">
        <f aca="false">AW291/0.5*1.25-AW291</f>
        <v>3.6522</v>
      </c>
      <c r="AZ291" s="167" t="n">
        <v>0.5</v>
      </c>
      <c r="BA291" s="74"/>
      <c r="BZ291" s="43" t="n">
        <v>44743</v>
      </c>
      <c r="CA291" s="0" t="n">
        <v>39</v>
      </c>
      <c r="CB291" s="63" t="n">
        <v>39</v>
      </c>
      <c r="CC291" s="63" t="n">
        <v>39</v>
      </c>
      <c r="CD291" s="63" t="n">
        <v>39</v>
      </c>
      <c r="CE291" s="63" t="n">
        <v>1</v>
      </c>
    </row>
    <row r="292" customFormat="false" ht="12.75" hidden="false" customHeight="false" outlineLevel="0" collapsed="false">
      <c r="A292" s="0" t="str">
        <f aca="true">IF(ISERROR(MATCH(D292,iRefDt,0)),"",MATCH(D292,iRefDt,0))</f>
        <v/>
      </c>
      <c r="B292" s="92" t="n">
        <f aca="false">MATCH(YEAR(D292),iSpreads)</f>
        <v>20</v>
      </c>
      <c r="C292" s="0" t="n">
        <f aca="false">MONTH(D292)</f>
        <v>8</v>
      </c>
      <c r="D292" s="93" t="n">
        <f aca="false">DATE(YEAR(D291),MONTH(D291)+1,1)</f>
        <v>44774</v>
      </c>
      <c r="E292" s="94" t="n">
        <f aca="false">VLOOKUP($D292,tblPriorPrice,2)</f>
        <v>29</v>
      </c>
      <c r="F292" s="190" t="n">
        <f aca="false">G292-E292</f>
        <v>12</v>
      </c>
      <c r="G292" s="190" t="n">
        <f aca="true">G280+OFFSET($CG$4,$B292,$C292)</f>
        <v>41</v>
      </c>
      <c r="H292" s="96" t="n">
        <f aca="true">G292+OFFSET($CU$4,$B292,$C292)</f>
        <v>36</v>
      </c>
      <c r="I292" s="96" t="n">
        <f aca="true">G292+OFFSET($DI$4,$B292,$C292)</f>
        <v>75</v>
      </c>
      <c r="J292" s="94" t="n">
        <f aca="false">VLOOKUP($D292,tblPriorPrice,3)</f>
        <v>29</v>
      </c>
      <c r="K292" s="190" t="n">
        <f aca="false">L292-J292</f>
        <v>12</v>
      </c>
      <c r="L292" s="190" t="n">
        <f aca="true">L280+OFFSET($CG$27,$B292,$C292)</f>
        <v>41</v>
      </c>
      <c r="M292" s="96" t="n">
        <f aca="true">$L292+OFFSET($CU$27,$B292,$C292)</f>
        <v>36</v>
      </c>
      <c r="N292" s="97" t="n">
        <f aca="true">$L292+OFFSET($DI$27,$B292,$C292)</f>
        <v>65</v>
      </c>
      <c r="O292" s="59" t="n">
        <f aca="true">IF($A292="",0,INDEX(tblPosn,$A292,2))</f>
        <v>0</v>
      </c>
      <c r="P292" s="59" t="n">
        <f aca="true">IF($A292="",0,INDEX(tblPosn,$A292,3))</f>
        <v>0</v>
      </c>
      <c r="Q292" s="59" t="n">
        <f aca="true">IF($A292="",0,INDEX(tblPosn,$A292,4))</f>
        <v>0</v>
      </c>
      <c r="R292" s="59" t="n">
        <f aca="true">IF($A292="",0,INDEX(tblPosn,$A292,5))</f>
        <v>0</v>
      </c>
      <c r="V292" s="161" t="n">
        <f aca="false">D292</f>
        <v>44774</v>
      </c>
      <c r="W292" s="94" t="n">
        <f aca="false">VLOOKUP($D292,tblPriorPrice,4)</f>
        <v>29</v>
      </c>
      <c r="X292" s="95" t="n">
        <f aca="false">Y292-W292</f>
        <v>12</v>
      </c>
      <c r="Y292" s="191" t="n">
        <f aca="true">Y280+OFFSET($CG$50,$B292,$C292)</f>
        <v>41</v>
      </c>
      <c r="Z292" s="96" t="n">
        <f aca="true">Y292+OFFSET($CU$51,$B292,$C292)</f>
        <v>41</v>
      </c>
      <c r="AA292" s="177" t="n">
        <f aca="true">Y292+OFFSET($DI$51,$B292,$C292)</f>
        <v>41</v>
      </c>
      <c r="AB292" s="94" t="n">
        <f aca="false">VLOOKUP($D292,tblPriorPrice,5)</f>
        <v>29</v>
      </c>
      <c r="AC292" s="190" t="n">
        <f aca="false">AD292-AB292</f>
        <v>12</v>
      </c>
      <c r="AD292" s="191" t="n">
        <f aca="true">AD280+OFFSET($CG$73,$B292,$C292)</f>
        <v>41</v>
      </c>
      <c r="AE292" s="96" t="n">
        <f aca="true">AD292+OFFSET($CU$74,$B292,$C292)</f>
        <v>41</v>
      </c>
      <c r="AF292" s="177" t="n">
        <f aca="true">AD292+OFFSET($DI$74,$B292,$C292)</f>
        <v>41</v>
      </c>
      <c r="AG292" s="94" t="n">
        <f aca="false">VLOOKUP($D292,tblPriorPrice,6)</f>
        <v>1</v>
      </c>
      <c r="AH292" s="190" t="n">
        <f aca="false">AI292-AG292</f>
        <v>0</v>
      </c>
      <c r="AI292" s="191" t="n">
        <f aca="true">AI280+OFFSET($CG$96,$B292,$C292)</f>
        <v>1</v>
      </c>
      <c r="AJ292" s="96" t="n">
        <f aca="true">AI292+OFFSET($CU$96,$B292,$C292)</f>
        <v>1</v>
      </c>
      <c r="AK292" s="97" t="n">
        <f aca="true">AI292+OFFSET($DI$96,$B292,$C292)</f>
        <v>1</v>
      </c>
      <c r="AL292" s="178" t="n">
        <v>74</v>
      </c>
      <c r="AM292" s="165" t="n">
        <v>0.4</v>
      </c>
      <c r="AN292" s="167" t="n">
        <f aca="false">'[3]Pricing Summary'!$AM270</f>
        <v>0</v>
      </c>
      <c r="AO292" s="167" t="n">
        <f aca="false">0.9*AN292</f>
        <v>0</v>
      </c>
      <c r="AP292" s="166" t="n">
        <f aca="false">1.5*AN292</f>
        <v>0</v>
      </c>
      <c r="AQ292" s="167" t="n">
        <f aca="false">AN292</f>
        <v>0</v>
      </c>
      <c r="AR292" s="166" t="n">
        <f aca="false">0.8*AQ292</f>
        <v>0</v>
      </c>
      <c r="AS292" s="166" t="n">
        <f aca="false">1.2*AQ292</f>
        <v>0</v>
      </c>
      <c r="AT292" s="169" t="n">
        <f aca="false">IF(G292&lt;110,17.94063*(LN(G292/100))+6.727568*(LN(G292/100)^2)+15.06494,(-4.1*G292+2135)/100)*0.5</f>
        <v>2.20858471004844</v>
      </c>
      <c r="AU292" s="169" t="n">
        <f aca="false">(0.75*AT292-AT292)</f>
        <v>-0.552146177512111</v>
      </c>
      <c r="AV292" s="166" t="n">
        <f aca="false">AT292/0.5*1.25-AT292</f>
        <v>3.31287706507267</v>
      </c>
      <c r="AW292" s="168" t="n">
        <f aca="false">IF(L292&lt;15,(15*L292+375)/100,(-4.71*L292+670.65)/100)*0.5</f>
        <v>2.3877</v>
      </c>
      <c r="AX292" s="166" t="n">
        <f aca="false">0.75*AW292-AW292</f>
        <v>-0.596925</v>
      </c>
      <c r="AY292" s="166" t="n">
        <f aca="false">AW292/0.5*1.25-AW292</f>
        <v>3.58155</v>
      </c>
      <c r="AZ292" s="167" t="n">
        <v>0.5</v>
      </c>
      <c r="BA292" s="74"/>
      <c r="BZ292" s="43" t="n">
        <v>44774</v>
      </c>
      <c r="CA292" s="0" t="n">
        <v>41</v>
      </c>
      <c r="CB292" s="63" t="n">
        <v>41</v>
      </c>
      <c r="CC292" s="63" t="n">
        <v>41</v>
      </c>
      <c r="CD292" s="63" t="n">
        <v>41</v>
      </c>
      <c r="CE292" s="63" t="n">
        <v>1</v>
      </c>
    </row>
    <row r="293" customFormat="false" ht="12.75" hidden="false" customHeight="false" outlineLevel="0" collapsed="false">
      <c r="A293" s="0" t="str">
        <f aca="true">IF(ISERROR(MATCH(D293,iRefDt,0)),"",MATCH(D293,iRefDt,0))</f>
        <v/>
      </c>
      <c r="B293" s="92" t="n">
        <f aca="false">MATCH(YEAR(D293),iSpreads)</f>
        <v>20</v>
      </c>
      <c r="C293" s="0" t="n">
        <f aca="false">MONTH(D293)</f>
        <v>9</v>
      </c>
      <c r="D293" s="93" t="n">
        <f aca="false">DATE(YEAR(D292),MONTH(D292)+1,1)</f>
        <v>44805</v>
      </c>
      <c r="E293" s="94" t="n">
        <f aca="false">VLOOKUP($D293,tblPriorPrice,2)</f>
        <v>29</v>
      </c>
      <c r="F293" s="190" t="n">
        <f aca="false">G293-E293</f>
        <v>6</v>
      </c>
      <c r="G293" s="190" t="n">
        <f aca="true">G281+OFFSET($CG$4,$B293,$C293)</f>
        <v>35</v>
      </c>
      <c r="H293" s="96" t="n">
        <f aca="true">G293+OFFSET($CU$4,$B293,$C293)</f>
        <v>30</v>
      </c>
      <c r="I293" s="96" t="n">
        <f aca="true">G293+OFFSET($DI$4,$B293,$C293)</f>
        <v>69</v>
      </c>
      <c r="J293" s="94" t="n">
        <f aca="false">VLOOKUP($D293,tblPriorPrice,3)</f>
        <v>29</v>
      </c>
      <c r="K293" s="190" t="n">
        <f aca="false">L293-J293</f>
        <v>6</v>
      </c>
      <c r="L293" s="190" t="n">
        <f aca="true">L281+OFFSET($CG$27,$B293,$C293)</f>
        <v>35</v>
      </c>
      <c r="M293" s="96" t="n">
        <f aca="true">$L293+OFFSET($CU$27,$B293,$C293)</f>
        <v>30</v>
      </c>
      <c r="N293" s="97" t="n">
        <f aca="true">$L293+OFFSET($DI$27,$B293,$C293)</f>
        <v>59</v>
      </c>
      <c r="O293" s="59" t="n">
        <f aca="true">IF($A293="",0,INDEX(tblPosn,$A293,2))</f>
        <v>0</v>
      </c>
      <c r="P293" s="59" t="n">
        <f aca="true">IF($A293="",0,INDEX(tblPosn,$A293,3))</f>
        <v>0</v>
      </c>
      <c r="Q293" s="59" t="n">
        <f aca="true">IF($A293="",0,INDEX(tblPosn,$A293,4))</f>
        <v>0</v>
      </c>
      <c r="R293" s="59" t="n">
        <f aca="true">IF($A293="",0,INDEX(tblPosn,$A293,5))</f>
        <v>0</v>
      </c>
      <c r="V293" s="161" t="n">
        <f aca="false">D293</f>
        <v>44805</v>
      </c>
      <c r="W293" s="94" t="n">
        <f aca="false">VLOOKUP($D293,tblPriorPrice,4)</f>
        <v>29</v>
      </c>
      <c r="X293" s="95" t="n">
        <f aca="false">Y293-W293</f>
        <v>6</v>
      </c>
      <c r="Y293" s="191" t="n">
        <f aca="true">Y281+OFFSET($CG$50,$B293,$C293)</f>
        <v>35</v>
      </c>
      <c r="Z293" s="96" t="n">
        <f aca="true">Y293+OFFSET($CU$51,$B293,$C293)</f>
        <v>35</v>
      </c>
      <c r="AA293" s="177" t="n">
        <f aca="true">Y293+OFFSET($DI$51,$B293,$C293)</f>
        <v>35</v>
      </c>
      <c r="AB293" s="94" t="n">
        <f aca="false">VLOOKUP($D293,tblPriorPrice,5)</f>
        <v>29</v>
      </c>
      <c r="AC293" s="190" t="n">
        <f aca="false">AD293-AB293</f>
        <v>6</v>
      </c>
      <c r="AD293" s="191" t="n">
        <f aca="true">AD281+OFFSET($CG$73,$B293,$C293)</f>
        <v>35</v>
      </c>
      <c r="AE293" s="96" t="n">
        <f aca="true">AD293+OFFSET($CU$74,$B293,$C293)</f>
        <v>35</v>
      </c>
      <c r="AF293" s="177" t="n">
        <f aca="true">AD293+OFFSET($DI$74,$B293,$C293)</f>
        <v>35</v>
      </c>
      <c r="AG293" s="94" t="n">
        <f aca="false">VLOOKUP($D293,tblPriorPrice,6)</f>
        <v>1</v>
      </c>
      <c r="AH293" s="190" t="n">
        <f aca="false">AI293-AG293</f>
        <v>0</v>
      </c>
      <c r="AI293" s="191" t="n">
        <f aca="true">AI281+OFFSET($CG$96,$B293,$C293)</f>
        <v>1</v>
      </c>
      <c r="AJ293" s="96" t="n">
        <f aca="true">AI293+OFFSET($CU$96,$B293,$C293)</f>
        <v>1</v>
      </c>
      <c r="AK293" s="97" t="n">
        <f aca="true">AI293+OFFSET($DI$96,$B293,$C293)</f>
        <v>1</v>
      </c>
      <c r="AL293" s="178" t="n">
        <v>74</v>
      </c>
      <c r="AM293" s="165" t="n">
        <v>0.4</v>
      </c>
      <c r="AN293" s="167" t="n">
        <f aca="false">'[3]Pricing Summary'!$AM271</f>
        <v>0</v>
      </c>
      <c r="AO293" s="167" t="n">
        <f aca="false">0.9*AN293</f>
        <v>0</v>
      </c>
      <c r="AP293" s="166" t="n">
        <f aca="false">1.5*AN293</f>
        <v>0</v>
      </c>
      <c r="AQ293" s="167" t="n">
        <f aca="false">AN293</f>
        <v>0</v>
      </c>
      <c r="AR293" s="166" t="n">
        <f aca="false">0.8*AQ293</f>
        <v>0</v>
      </c>
      <c r="AS293" s="166" t="n">
        <f aca="false">1.2*AQ293</f>
        <v>0</v>
      </c>
      <c r="AT293" s="169" t="n">
        <f aca="false">IF(G293&lt;110,17.94063*(LN(G293/100))+6.727568*(LN(G293/100)^2)+15.06494,(-4.1*G293+2135)/100)*0.5</f>
        <v>1.82255031269953</v>
      </c>
      <c r="AU293" s="169" t="n">
        <f aca="false">(0.75*AT293-AT293)</f>
        <v>-0.455637578174882</v>
      </c>
      <c r="AV293" s="166" t="n">
        <f aca="false">AT293/0.5*1.25-AT293</f>
        <v>2.73382546904929</v>
      </c>
      <c r="AW293" s="168" t="n">
        <f aca="false">IF(L293&lt;15,(15*L293+375)/100,(-4.71*L293+670.65)/100)*0.5</f>
        <v>2.529</v>
      </c>
      <c r="AX293" s="166" t="n">
        <f aca="false">0.75*AW293-AW293</f>
        <v>-0.63225</v>
      </c>
      <c r="AY293" s="166" t="n">
        <f aca="false">AW293/0.5*1.25-AW293</f>
        <v>3.7935</v>
      </c>
      <c r="AZ293" s="167" t="n">
        <v>0.5</v>
      </c>
      <c r="BA293" s="74"/>
      <c r="BZ293" s="43" t="n">
        <v>44805</v>
      </c>
      <c r="CA293" s="0" t="n">
        <v>35</v>
      </c>
      <c r="CB293" s="63" t="n">
        <v>35</v>
      </c>
      <c r="CC293" s="63" t="n">
        <v>35</v>
      </c>
      <c r="CD293" s="63" t="n">
        <v>35</v>
      </c>
      <c r="CE293" s="63" t="n">
        <v>1</v>
      </c>
    </row>
    <row r="294" customFormat="false" ht="12.75" hidden="false" customHeight="false" outlineLevel="0" collapsed="false">
      <c r="A294" s="0" t="str">
        <f aca="true">IF(ISERROR(MATCH(D294,iRefDt,0)),"",MATCH(D294,iRefDt,0))</f>
        <v/>
      </c>
      <c r="B294" s="92" t="n">
        <f aca="false">MATCH(YEAR(D294),iSpreads)</f>
        <v>20</v>
      </c>
      <c r="C294" s="0" t="n">
        <f aca="false">MONTH(D294)</f>
        <v>10</v>
      </c>
      <c r="D294" s="93" t="n">
        <f aca="false">DATE(YEAR(D293),MONTH(D293)+1,1)</f>
        <v>44835</v>
      </c>
      <c r="E294" s="94" t="n">
        <f aca="false">VLOOKUP($D294,tblPriorPrice,2)</f>
        <v>29</v>
      </c>
      <c r="F294" s="190" t="n">
        <f aca="false">G294-E294</f>
        <v>8</v>
      </c>
      <c r="G294" s="190" t="n">
        <f aca="true">G282+OFFSET($CG$4,$B294,$C294)</f>
        <v>37</v>
      </c>
      <c r="H294" s="96" t="n">
        <f aca="true">G294+OFFSET($CU$4,$B294,$C294)</f>
        <v>32</v>
      </c>
      <c r="I294" s="96" t="n">
        <f aca="true">G294+OFFSET($DI$4,$B294,$C294)</f>
        <v>71</v>
      </c>
      <c r="J294" s="94" t="n">
        <f aca="false">VLOOKUP($D294,tblPriorPrice,3)</f>
        <v>29</v>
      </c>
      <c r="K294" s="190" t="n">
        <f aca="false">L294-J294</f>
        <v>8</v>
      </c>
      <c r="L294" s="190" t="n">
        <f aca="true">L282+OFFSET($CG$27,$B294,$C294)</f>
        <v>37</v>
      </c>
      <c r="M294" s="96" t="n">
        <f aca="true">$L294+OFFSET($CU$27,$B294,$C294)</f>
        <v>32</v>
      </c>
      <c r="N294" s="97" t="n">
        <f aca="true">$L294+OFFSET($DI$27,$B294,$C294)</f>
        <v>61</v>
      </c>
      <c r="O294" s="59" t="n">
        <f aca="true">IF($A294="",0,INDEX(tblPosn,$A294,2))</f>
        <v>0</v>
      </c>
      <c r="P294" s="59" t="n">
        <f aca="true">IF($A294="",0,INDEX(tblPosn,$A294,3))</f>
        <v>0</v>
      </c>
      <c r="Q294" s="59" t="n">
        <f aca="true">IF($A294="",0,INDEX(tblPosn,$A294,4))</f>
        <v>0</v>
      </c>
      <c r="R294" s="59" t="n">
        <f aca="true">IF($A294="",0,INDEX(tblPosn,$A294,5))</f>
        <v>0</v>
      </c>
      <c r="V294" s="161" t="n">
        <f aca="false">D294</f>
        <v>44835</v>
      </c>
      <c r="W294" s="94" t="n">
        <f aca="false">VLOOKUP($D294,tblPriorPrice,4)</f>
        <v>29</v>
      </c>
      <c r="X294" s="95" t="n">
        <f aca="false">Y294-W294</f>
        <v>8</v>
      </c>
      <c r="Y294" s="191" t="n">
        <f aca="true">Y282+OFFSET($CG$50,$B294,$C294)</f>
        <v>37</v>
      </c>
      <c r="Z294" s="96" t="n">
        <f aca="true">Y294+OFFSET($CU$51,$B294,$C294)</f>
        <v>37</v>
      </c>
      <c r="AA294" s="177" t="n">
        <f aca="true">Y294+OFFSET($DI$51,$B294,$C294)</f>
        <v>37</v>
      </c>
      <c r="AB294" s="94" t="n">
        <f aca="false">VLOOKUP($D294,tblPriorPrice,5)</f>
        <v>29</v>
      </c>
      <c r="AC294" s="190" t="n">
        <f aca="false">AD294-AB294</f>
        <v>8</v>
      </c>
      <c r="AD294" s="191" t="n">
        <f aca="true">AD282+OFFSET($CG$73,$B294,$C294)</f>
        <v>37</v>
      </c>
      <c r="AE294" s="96" t="n">
        <f aca="true">AD294+OFFSET($CU$74,$B294,$C294)</f>
        <v>37</v>
      </c>
      <c r="AF294" s="177" t="n">
        <f aca="true">AD294+OFFSET($DI$74,$B294,$C294)</f>
        <v>37</v>
      </c>
      <c r="AG294" s="94" t="n">
        <f aca="false">VLOOKUP($D294,tblPriorPrice,6)</f>
        <v>1</v>
      </c>
      <c r="AH294" s="190" t="n">
        <f aca="false">AI294-AG294</f>
        <v>0</v>
      </c>
      <c r="AI294" s="191" t="n">
        <f aca="true">AI282+OFFSET($CG$96,$B294,$C294)</f>
        <v>1</v>
      </c>
      <c r="AJ294" s="96" t="n">
        <f aca="true">AI294+OFFSET($CU$96,$B294,$C294)</f>
        <v>1</v>
      </c>
      <c r="AK294" s="97" t="n">
        <f aca="true">AI294+OFFSET($DI$96,$B294,$C294)</f>
        <v>1</v>
      </c>
      <c r="AL294" s="178" t="n">
        <v>74</v>
      </c>
      <c r="AM294" s="165" t="n">
        <v>0.4</v>
      </c>
      <c r="AN294" s="167" t="n">
        <f aca="false">'[3]Pricing Summary'!$AM272</f>
        <v>0</v>
      </c>
      <c r="AO294" s="167" t="n">
        <f aca="false">0.9*AN294</f>
        <v>0</v>
      </c>
      <c r="AP294" s="166" t="n">
        <f aca="false">1.5*AN294</f>
        <v>0</v>
      </c>
      <c r="AQ294" s="167" t="n">
        <f aca="false">AN294</f>
        <v>0</v>
      </c>
      <c r="AR294" s="166" t="n">
        <f aca="false">0.8*AQ294</f>
        <v>0</v>
      </c>
      <c r="AS294" s="166" t="n">
        <f aca="false">1.2*AQ294</f>
        <v>0</v>
      </c>
      <c r="AT294" s="169" t="n">
        <f aca="false">IF(G294&lt;110,17.94063*(LN(G294/100))+6.727568*(LN(G294/100)^2)+15.06494,(-4.1*G294+2135)/100)*0.5</f>
        <v>1.93894082389981</v>
      </c>
      <c r="AU294" s="169" t="n">
        <f aca="false">(0.75*AT294-AT294)</f>
        <v>-0.484735205974953</v>
      </c>
      <c r="AV294" s="166" t="n">
        <f aca="false">AT294/0.5*1.25-AT294</f>
        <v>2.90841123584972</v>
      </c>
      <c r="AW294" s="168" t="n">
        <f aca="false">IF(L294&lt;15,(15*L294+375)/100,(-4.71*L294+670.65)/100)*0.5</f>
        <v>2.4819</v>
      </c>
      <c r="AX294" s="166" t="n">
        <f aca="false">0.75*AW294-AW294</f>
        <v>-0.620475</v>
      </c>
      <c r="AY294" s="166" t="n">
        <f aca="false">AW294/0.5*1.25-AW294</f>
        <v>3.72285</v>
      </c>
      <c r="AZ294" s="167" t="n">
        <v>0.5</v>
      </c>
      <c r="BA294" s="74"/>
      <c r="BZ294" s="43" t="n">
        <v>44835</v>
      </c>
      <c r="CA294" s="0" t="n">
        <v>37</v>
      </c>
      <c r="CB294" s="63" t="n">
        <v>37</v>
      </c>
      <c r="CC294" s="63" t="n">
        <v>37</v>
      </c>
      <c r="CD294" s="63" t="n">
        <v>37</v>
      </c>
      <c r="CE294" s="63" t="n">
        <v>1</v>
      </c>
    </row>
    <row r="295" customFormat="false" ht="12.75" hidden="false" customHeight="false" outlineLevel="0" collapsed="false">
      <c r="A295" s="0" t="str">
        <f aca="true">IF(ISERROR(MATCH(D295,iRefDt,0)),"",MATCH(D295,iRefDt,0))</f>
        <v/>
      </c>
      <c r="B295" s="92" t="n">
        <f aca="false">MATCH(YEAR(D295),iSpreads)</f>
        <v>20</v>
      </c>
      <c r="C295" s="0" t="n">
        <f aca="false">MONTH(D295)</f>
        <v>11</v>
      </c>
      <c r="D295" s="93" t="n">
        <f aca="false">DATE(YEAR(D294),MONTH(D294)+1,1)</f>
        <v>44866</v>
      </c>
      <c r="E295" s="94" t="n">
        <f aca="false">VLOOKUP($D295,tblPriorPrice,2)</f>
        <v>29</v>
      </c>
      <c r="F295" s="190" t="n">
        <f aca="false">G295-E295</f>
        <v>2</v>
      </c>
      <c r="G295" s="190" t="n">
        <f aca="true">G283+OFFSET($CG$4,$B295,$C295)</f>
        <v>31</v>
      </c>
      <c r="H295" s="96" t="n">
        <f aca="true">G295+OFFSET($CU$4,$B295,$C295)</f>
        <v>26</v>
      </c>
      <c r="I295" s="96" t="n">
        <f aca="true">G295+OFFSET($DI$4,$B295,$C295)</f>
        <v>65</v>
      </c>
      <c r="J295" s="94" t="n">
        <f aca="false">VLOOKUP($D295,tblPriorPrice,3)</f>
        <v>29</v>
      </c>
      <c r="K295" s="190" t="n">
        <f aca="false">L295-J295</f>
        <v>2</v>
      </c>
      <c r="L295" s="190" t="n">
        <f aca="true">L283+OFFSET($CG$27,$B295,$C295)</f>
        <v>31</v>
      </c>
      <c r="M295" s="96" t="n">
        <f aca="true">$L295+OFFSET($CU$27,$B295,$C295)</f>
        <v>26</v>
      </c>
      <c r="N295" s="97" t="n">
        <f aca="true">$L295+OFFSET($DI$27,$B295,$C295)</f>
        <v>55</v>
      </c>
      <c r="O295" s="59" t="n">
        <f aca="true">IF($A295="",0,INDEX(tblPosn,$A295,2))</f>
        <v>0</v>
      </c>
      <c r="P295" s="59" t="n">
        <f aca="true">IF($A295="",0,INDEX(tblPosn,$A295,3))</f>
        <v>0</v>
      </c>
      <c r="Q295" s="59" t="n">
        <f aca="true">IF($A295="",0,INDEX(tblPosn,$A295,4))</f>
        <v>0</v>
      </c>
      <c r="R295" s="59" t="n">
        <f aca="true">IF($A295="",0,INDEX(tblPosn,$A295,5))</f>
        <v>0</v>
      </c>
      <c r="V295" s="161" t="n">
        <f aca="false">D295</f>
        <v>44866</v>
      </c>
      <c r="W295" s="94" t="n">
        <f aca="false">VLOOKUP($D295,tblPriorPrice,4)</f>
        <v>29</v>
      </c>
      <c r="X295" s="95" t="n">
        <f aca="false">Y295-W295</f>
        <v>2</v>
      </c>
      <c r="Y295" s="191" t="n">
        <f aca="true">Y283+OFFSET($CG$50,$B295,$C295)</f>
        <v>31</v>
      </c>
      <c r="Z295" s="96" t="n">
        <f aca="true">Y295+OFFSET($CU$51,$B295,$C295)</f>
        <v>31</v>
      </c>
      <c r="AA295" s="177" t="n">
        <f aca="true">Y295+OFFSET($DI$51,$B295,$C295)</f>
        <v>31</v>
      </c>
      <c r="AB295" s="94" t="n">
        <f aca="false">VLOOKUP($D295,tblPriorPrice,5)</f>
        <v>29</v>
      </c>
      <c r="AC295" s="190" t="n">
        <f aca="false">AD295-AB295</f>
        <v>2</v>
      </c>
      <c r="AD295" s="191" t="n">
        <f aca="true">AD283+OFFSET($CG$73,$B295,$C295)</f>
        <v>31</v>
      </c>
      <c r="AE295" s="96" t="n">
        <f aca="true">AD295+OFFSET($CU$74,$B295,$C295)</f>
        <v>31</v>
      </c>
      <c r="AF295" s="177" t="n">
        <f aca="true">AD295+OFFSET($DI$74,$B295,$C295)</f>
        <v>31</v>
      </c>
      <c r="AG295" s="94" t="n">
        <f aca="false">VLOOKUP($D295,tblPriorPrice,6)</f>
        <v>1</v>
      </c>
      <c r="AH295" s="190" t="n">
        <f aca="false">AI295-AG295</f>
        <v>0</v>
      </c>
      <c r="AI295" s="191" t="n">
        <f aca="true">AI283+OFFSET($CG$96,$B295,$C295)</f>
        <v>1</v>
      </c>
      <c r="AJ295" s="96" t="n">
        <f aca="true">AI295+OFFSET($CU$96,$B295,$C295)</f>
        <v>1</v>
      </c>
      <c r="AK295" s="97" t="n">
        <f aca="true">AI295+OFFSET($DI$96,$B295,$C295)</f>
        <v>1</v>
      </c>
      <c r="AL295" s="178" t="n">
        <v>74</v>
      </c>
      <c r="AM295" s="165" t="n">
        <v>0.4</v>
      </c>
      <c r="AN295" s="167" t="n">
        <f aca="false">'[3]Pricing Summary'!$AM273</f>
        <v>0</v>
      </c>
      <c r="AO295" s="167" t="n">
        <f aca="false">0.9*AN295</f>
        <v>0</v>
      </c>
      <c r="AP295" s="166" t="n">
        <f aca="false">1.5*AN295</f>
        <v>0</v>
      </c>
      <c r="AQ295" s="167" t="n">
        <f aca="false">AN295</f>
        <v>0</v>
      </c>
      <c r="AR295" s="166" t="n">
        <f aca="false">0.8*AQ295</f>
        <v>0</v>
      </c>
      <c r="AS295" s="166" t="n">
        <f aca="false">1.2*AQ295</f>
        <v>0</v>
      </c>
      <c r="AT295" s="169" t="n">
        <f aca="false">IF(G295&lt;110,17.94063*(LN(G295/100))+6.727568*(LN(G295/100)^2)+15.06494,(-4.1*G295+2135)/100)*0.5</f>
        <v>1.64058990686036</v>
      </c>
      <c r="AU295" s="169" t="n">
        <f aca="false">(0.75*AT295-AT295)</f>
        <v>-0.410147476715089</v>
      </c>
      <c r="AV295" s="166" t="n">
        <f aca="false">AT295/0.5*1.25-AT295</f>
        <v>2.46088486029054</v>
      </c>
      <c r="AW295" s="168" t="n">
        <f aca="false">IF(L295&lt;15,(15*L295+375)/100,(-4.71*L295+670.65)/100)*0.5</f>
        <v>2.6232</v>
      </c>
      <c r="AX295" s="166" t="n">
        <f aca="false">0.75*AW295-AW295</f>
        <v>-0.6558</v>
      </c>
      <c r="AY295" s="166" t="n">
        <f aca="false">AW295/0.5*1.25-AW295</f>
        <v>3.9348</v>
      </c>
      <c r="AZ295" s="167" t="n">
        <v>0.5</v>
      </c>
      <c r="BA295" s="74"/>
      <c r="BZ295" s="43" t="n">
        <v>44866</v>
      </c>
      <c r="CA295" s="0" t="n">
        <v>31</v>
      </c>
      <c r="CB295" s="63" t="n">
        <v>31</v>
      </c>
      <c r="CC295" s="63" t="n">
        <v>31</v>
      </c>
      <c r="CD295" s="63" t="n">
        <v>31</v>
      </c>
      <c r="CE295" s="63" t="n">
        <v>1</v>
      </c>
    </row>
    <row r="296" customFormat="false" ht="12.75" hidden="false" customHeight="false" outlineLevel="0" collapsed="false">
      <c r="A296" s="0" t="str">
        <f aca="true">IF(ISERROR(MATCH(D296,iRefDt,0)),"",MATCH(D296,iRefDt,0))</f>
        <v/>
      </c>
      <c r="B296" s="92" t="n">
        <f aca="false">MATCH(YEAR(D296),iSpreads)</f>
        <v>20</v>
      </c>
      <c r="C296" s="0" t="n">
        <f aca="false">MONTH(D296)</f>
        <v>12</v>
      </c>
      <c r="D296" s="93" t="n">
        <f aca="false">DATE(YEAR(D295),MONTH(D295)+1,1)</f>
        <v>44896</v>
      </c>
      <c r="E296" s="94" t="n">
        <f aca="false">VLOOKUP($D296,tblPriorPrice,2)</f>
        <v>29</v>
      </c>
      <c r="F296" s="190" t="n">
        <f aca="false">G296-E296</f>
        <v>3</v>
      </c>
      <c r="G296" s="190" t="n">
        <f aca="true">G284+OFFSET($CG$4,$B296,$C296)</f>
        <v>32</v>
      </c>
      <c r="H296" s="96" t="n">
        <f aca="true">G296+OFFSET($CU$4,$B296,$C296)</f>
        <v>27</v>
      </c>
      <c r="I296" s="96" t="n">
        <f aca="true">G296+OFFSET($DI$4,$B296,$C296)</f>
        <v>66</v>
      </c>
      <c r="J296" s="94" t="n">
        <f aca="false">VLOOKUP($D296,tblPriorPrice,3)</f>
        <v>29</v>
      </c>
      <c r="K296" s="190" t="n">
        <f aca="false">L296-J296</f>
        <v>0</v>
      </c>
      <c r="L296" s="190" t="n">
        <f aca="true">L284+OFFSET($CG$27,$B296,$C296)</f>
        <v>29</v>
      </c>
      <c r="M296" s="96" t="n">
        <f aca="true">$L296+OFFSET($CU$27,$B296,$C296)</f>
        <v>24</v>
      </c>
      <c r="N296" s="97" t="n">
        <f aca="true">$L296+OFFSET($DI$27,$B296,$C296)</f>
        <v>53</v>
      </c>
      <c r="O296" s="59" t="n">
        <f aca="true">IF($A296="",0,INDEX(tblPosn,$A296,2))</f>
        <v>0</v>
      </c>
      <c r="P296" s="59" t="n">
        <f aca="true">IF($A296="",0,INDEX(tblPosn,$A296,3))</f>
        <v>0</v>
      </c>
      <c r="Q296" s="59" t="n">
        <f aca="true">IF($A296="",0,INDEX(tblPosn,$A296,4))</f>
        <v>0</v>
      </c>
      <c r="R296" s="59" t="n">
        <f aca="true">IF($A296="",0,INDEX(tblPosn,$A296,5))</f>
        <v>0</v>
      </c>
      <c r="V296" s="161" t="n">
        <f aca="false">D296</f>
        <v>44896</v>
      </c>
      <c r="W296" s="94" t="n">
        <f aca="false">VLOOKUP($D296,tblPriorPrice,4)</f>
        <v>29</v>
      </c>
      <c r="X296" s="95" t="n">
        <f aca="false">Y296-W296</f>
        <v>0</v>
      </c>
      <c r="Y296" s="191" t="n">
        <f aca="true">Y284+OFFSET($CG$50,$B296,$C296)</f>
        <v>29</v>
      </c>
      <c r="Z296" s="96" t="n">
        <f aca="true">Y296+OFFSET($CU$51,$B296,$C296)</f>
        <v>29</v>
      </c>
      <c r="AA296" s="177" t="n">
        <f aca="true">Y296+OFFSET($DI$51,$B296,$C296)</f>
        <v>29</v>
      </c>
      <c r="AB296" s="94" t="n">
        <f aca="false">VLOOKUP($D296,tblPriorPrice,5)</f>
        <v>29</v>
      </c>
      <c r="AC296" s="190" t="n">
        <f aca="false">AD296-AB296</f>
        <v>0</v>
      </c>
      <c r="AD296" s="191" t="n">
        <f aca="true">AD284+OFFSET($CG$73,$B296,$C296)</f>
        <v>29</v>
      </c>
      <c r="AE296" s="96" t="n">
        <f aca="true">AD296+OFFSET($CU$74,$B296,$C296)</f>
        <v>29</v>
      </c>
      <c r="AF296" s="177" t="n">
        <f aca="true">AD296+OFFSET($DI$74,$B296,$C296)</f>
        <v>29</v>
      </c>
      <c r="AG296" s="94" t="n">
        <f aca="false">VLOOKUP($D296,tblPriorPrice,6)</f>
        <v>1</v>
      </c>
      <c r="AH296" s="190" t="n">
        <f aca="false">AI296-AG296</f>
        <v>0</v>
      </c>
      <c r="AI296" s="191" t="n">
        <f aca="true">AI284+OFFSET($CG$96,$B296,$C296)</f>
        <v>1</v>
      </c>
      <c r="AJ296" s="96" t="n">
        <f aca="true">AI296+OFFSET($CU$96,$B296,$C296)</f>
        <v>1</v>
      </c>
      <c r="AK296" s="97" t="n">
        <f aca="true">AI296+OFFSET($DI$96,$B296,$C296)</f>
        <v>1</v>
      </c>
      <c r="AL296" s="178" t="n">
        <v>74</v>
      </c>
      <c r="AM296" s="165" t="n">
        <v>0.4</v>
      </c>
      <c r="AN296" s="167" t="n">
        <f aca="false">'[3]Pricing Summary'!$AM274</f>
        <v>0</v>
      </c>
      <c r="AO296" s="167" t="n">
        <f aca="false">0.9*AN296</f>
        <v>0</v>
      </c>
      <c r="AP296" s="166" t="n">
        <f aca="false">1.5*AN296</f>
        <v>0</v>
      </c>
      <c r="AQ296" s="167" t="n">
        <f aca="false">AN296</f>
        <v>0</v>
      </c>
      <c r="AR296" s="166" t="n">
        <f aca="false">0.8*AQ296</f>
        <v>0</v>
      </c>
      <c r="AS296" s="166" t="n">
        <f aca="false">1.2*AQ296</f>
        <v>0</v>
      </c>
      <c r="AT296" s="169" t="n">
        <f aca="false">IF(G296&lt;110,17.94063*(LN(G296/100))+6.727568*(LN(G296/100)^2)+15.06494,(-4.1*G296+2135)/100)*0.5</f>
        <v>1.67862159684781</v>
      </c>
      <c r="AU296" s="169" t="n">
        <f aca="false">(0.75*AT296-AT296)</f>
        <v>-0.419655399211954</v>
      </c>
      <c r="AV296" s="166" t="n">
        <f aca="false">AT296/0.5*1.25-AT296</f>
        <v>2.51793239527172</v>
      </c>
      <c r="AW296" s="168" t="n">
        <f aca="false">IF(L296&lt;15,(15*L296+375)/100,(-4.71*L296+670.65)/100)*0.5</f>
        <v>2.6703</v>
      </c>
      <c r="AX296" s="166" t="n">
        <f aca="false">0.75*AW296-AW296</f>
        <v>-0.667575</v>
      </c>
      <c r="AY296" s="166" t="n">
        <f aca="false">AW296/0.5*1.25-AW296</f>
        <v>4.00545</v>
      </c>
      <c r="AZ296" s="167" t="n">
        <v>0.5</v>
      </c>
      <c r="BA296" s="74"/>
      <c r="BZ296" s="43" t="n">
        <v>44896</v>
      </c>
      <c r="CA296" s="0" t="n">
        <v>32</v>
      </c>
      <c r="CB296" s="63" t="n">
        <v>29</v>
      </c>
      <c r="CC296" s="63" t="n">
        <v>29</v>
      </c>
      <c r="CD296" s="63" t="n">
        <v>29</v>
      </c>
      <c r="CE296" s="63" t="n">
        <v>1</v>
      </c>
    </row>
    <row r="297" customFormat="false" ht="12.75" hidden="false" customHeight="false" outlineLevel="0" collapsed="false">
      <c r="A297" s="0" t="str">
        <f aca="true">IF(ISERROR(MATCH(D297,iRefDt,0)),"",MATCH(D297,iRefDt,0))</f>
        <v/>
      </c>
      <c r="B297" s="92" t="n">
        <f aca="false">MATCH(YEAR(D297),iSpreads)</f>
        <v>20</v>
      </c>
      <c r="C297" s="0" t="n">
        <f aca="false">MONTH(D297)</f>
        <v>1</v>
      </c>
      <c r="D297" s="93" t="n">
        <f aca="false">DATE(YEAR(D296),MONTH(D296)+1,1)</f>
        <v>44927</v>
      </c>
      <c r="E297" s="94" t="n">
        <f aca="false">VLOOKUP($D297,tblPriorPrice,2)</f>
        <v>29</v>
      </c>
      <c r="F297" s="190" t="n">
        <f aca="false">G297-E297</f>
        <v>4</v>
      </c>
      <c r="G297" s="190" t="n">
        <f aca="true">G285+OFFSET($CG$4,$B297,$C297)</f>
        <v>33</v>
      </c>
      <c r="H297" s="96" t="n">
        <f aca="true">G297+OFFSET($CU$4,$B297,$C297)</f>
        <v>28</v>
      </c>
      <c r="I297" s="96" t="n">
        <f aca="true">G297+OFFSET($DI$4,$B297,$C297)</f>
        <v>67</v>
      </c>
      <c r="J297" s="94" t="n">
        <f aca="false">VLOOKUP($D297,tblPriorPrice,3)</f>
        <v>29</v>
      </c>
      <c r="K297" s="190" t="n">
        <f aca="false">L297-J297</f>
        <v>2</v>
      </c>
      <c r="L297" s="190" t="n">
        <f aca="true">L285+OFFSET($CG$27,$B297,$C297)</f>
        <v>31</v>
      </c>
      <c r="M297" s="96" t="n">
        <f aca="true">$L297+OFFSET($CU$27,$B297,$C297)</f>
        <v>26</v>
      </c>
      <c r="N297" s="97" t="n">
        <f aca="true">$L297+OFFSET($DI$27,$B297,$C297)</f>
        <v>55</v>
      </c>
      <c r="O297" s="59" t="n">
        <f aca="true">IF($A297="",0,INDEX(tblPosn,$A297,2))</f>
        <v>0</v>
      </c>
      <c r="P297" s="59" t="n">
        <f aca="true">IF($A297="",0,INDEX(tblPosn,$A297,3))</f>
        <v>0</v>
      </c>
      <c r="Q297" s="59" t="n">
        <f aca="true">IF($A297="",0,INDEX(tblPosn,$A297,4))</f>
        <v>0</v>
      </c>
      <c r="R297" s="59" t="n">
        <f aca="true">IF($A297="",0,INDEX(tblPosn,$A297,5))</f>
        <v>0</v>
      </c>
      <c r="V297" s="161" t="n">
        <f aca="false">D297</f>
        <v>44927</v>
      </c>
      <c r="W297" s="94" t="n">
        <f aca="false">VLOOKUP($D297,tblPriorPrice,4)</f>
        <v>29</v>
      </c>
      <c r="X297" s="95" t="n">
        <f aca="false">Y297-W297</f>
        <v>2</v>
      </c>
      <c r="Y297" s="191" t="n">
        <f aca="true">Y285+OFFSET($CG$50,$B297,$C297)</f>
        <v>31</v>
      </c>
      <c r="Z297" s="96" t="n">
        <f aca="true">Y297+OFFSET($CU$51,$B297,$C297)</f>
        <v>31</v>
      </c>
      <c r="AA297" s="177" t="n">
        <f aca="true">Y297+OFFSET($DI$51,$B297,$C297)</f>
        <v>31</v>
      </c>
      <c r="AB297" s="94" t="n">
        <f aca="false">VLOOKUP($D297,tblPriorPrice,5)</f>
        <v>29</v>
      </c>
      <c r="AC297" s="190" t="n">
        <f aca="false">AD297-AB297</f>
        <v>2</v>
      </c>
      <c r="AD297" s="191" t="n">
        <f aca="true">AD285+OFFSET($CG$73,$B297,$C297)</f>
        <v>31</v>
      </c>
      <c r="AE297" s="96" t="n">
        <f aca="true">AD297+OFFSET($CU$74,$B297,$C297)</f>
        <v>31</v>
      </c>
      <c r="AF297" s="177" t="n">
        <f aca="true">AD297+OFFSET($DI$74,$B297,$C297)</f>
        <v>31</v>
      </c>
      <c r="AG297" s="94" t="n">
        <f aca="false">VLOOKUP($D297,tblPriorPrice,6)</f>
        <v>1</v>
      </c>
      <c r="AH297" s="190" t="n">
        <f aca="false">AI297-AG297</f>
        <v>0</v>
      </c>
      <c r="AI297" s="191" t="n">
        <f aca="true">AI285+OFFSET($CG$96,$B297,$C297)</f>
        <v>1</v>
      </c>
      <c r="AJ297" s="96" t="n">
        <f aca="true">AI297+OFFSET($CU$96,$B297,$C297)</f>
        <v>1</v>
      </c>
      <c r="AK297" s="97" t="n">
        <f aca="true">AI297+OFFSET($DI$96,$B297,$C297)</f>
        <v>1</v>
      </c>
      <c r="AL297" s="178" t="n">
        <v>74</v>
      </c>
      <c r="AM297" s="165" t="n">
        <v>0.4</v>
      </c>
      <c r="AN297" s="167" t="n">
        <f aca="false">'[3]Pricing Summary'!$AM275</f>
        <v>0</v>
      </c>
      <c r="AO297" s="167" t="n">
        <f aca="false">0.9*AN297</f>
        <v>0</v>
      </c>
      <c r="AP297" s="166" t="n">
        <f aca="false">1.5*AN297</f>
        <v>0</v>
      </c>
      <c r="AQ297" s="167" t="n">
        <f aca="false">AN297</f>
        <v>0</v>
      </c>
      <c r="AR297" s="166" t="n">
        <f aca="false">0.8*AQ297</f>
        <v>0</v>
      </c>
      <c r="AS297" s="166" t="n">
        <f aca="false">1.2*AQ297</f>
        <v>0</v>
      </c>
      <c r="AT297" s="169" t="n">
        <f aca="false">IF(G297&lt;110,17.94063*(LN(G297/100))+6.727568*(LN(G297/100)^2)+15.06494,(-4.1*G297+2135)/100)*0.5</f>
        <v>1.72195432632388</v>
      </c>
      <c r="AU297" s="169" t="n">
        <f aca="false">(0.75*AT297-AT297)</f>
        <v>-0.43048858158097</v>
      </c>
      <c r="AV297" s="166" t="n">
        <f aca="false">AT297/0.5*1.25-AT297</f>
        <v>2.58293148948582</v>
      </c>
      <c r="AW297" s="168" t="n">
        <f aca="false">IF(L297&lt;15,(15*L297+375)/100,(-4.71*L297+670.65)/100)*0.5</f>
        <v>2.6232</v>
      </c>
      <c r="AX297" s="166" t="n">
        <f aca="false">0.75*AW297-AW297</f>
        <v>-0.6558</v>
      </c>
      <c r="AY297" s="166" t="n">
        <f aca="false">AW297/0.5*1.25-AW297</f>
        <v>3.9348</v>
      </c>
      <c r="AZ297" s="167" t="n">
        <v>0.5</v>
      </c>
      <c r="BA297" s="74"/>
      <c r="BZ297" s="43" t="n">
        <v>44927</v>
      </c>
      <c r="CA297" s="0" t="n">
        <v>33</v>
      </c>
      <c r="CB297" s="63" t="n">
        <v>31</v>
      </c>
      <c r="CC297" s="63" t="n">
        <v>31</v>
      </c>
      <c r="CD297" s="63" t="n">
        <v>31</v>
      </c>
      <c r="CE297" s="63" t="n">
        <v>1</v>
      </c>
    </row>
    <row r="298" customFormat="false" ht="12.75" hidden="false" customHeight="false" outlineLevel="0" collapsed="false">
      <c r="A298" s="0" t="str">
        <f aca="true">IF(ISERROR(MATCH(D298,iRefDt,0)),"",MATCH(D298,iRefDt,0))</f>
        <v/>
      </c>
      <c r="B298" s="92" t="n">
        <f aca="false">MATCH(YEAR(D298),iSpreads)</f>
        <v>20</v>
      </c>
      <c r="C298" s="0" t="n">
        <f aca="false">MONTH(D298)</f>
        <v>2</v>
      </c>
      <c r="D298" s="93" t="n">
        <f aca="false">DATE(YEAR(D297),MONTH(D297)+1,1)</f>
        <v>44958</v>
      </c>
      <c r="E298" s="94" t="n">
        <f aca="false">VLOOKUP($D298,tblPriorPrice,2)</f>
        <v>29</v>
      </c>
      <c r="F298" s="190" t="n">
        <f aca="false">G298-E298</f>
        <v>1</v>
      </c>
      <c r="G298" s="190" t="n">
        <f aca="true">G286+OFFSET($CG$4,$B298,$C298)</f>
        <v>30</v>
      </c>
      <c r="H298" s="96" t="n">
        <f aca="true">G298+OFFSET($CU$4,$B298,$C298)</f>
        <v>25</v>
      </c>
      <c r="I298" s="96" t="n">
        <f aca="true">G298+OFFSET($DI$4,$B298,$C298)</f>
        <v>64</v>
      </c>
      <c r="J298" s="94" t="n">
        <f aca="false">VLOOKUP($D298,tblPriorPrice,3)</f>
        <v>29</v>
      </c>
      <c r="K298" s="190" t="n">
        <f aca="false">L298-J298</f>
        <v>1</v>
      </c>
      <c r="L298" s="190" t="n">
        <f aca="true">L286+OFFSET($CG$27,$B298,$C298)</f>
        <v>30</v>
      </c>
      <c r="M298" s="96" t="n">
        <f aca="true">$L298+OFFSET($CU$27,$B298,$C298)</f>
        <v>25</v>
      </c>
      <c r="N298" s="97" t="n">
        <f aca="true">$L298+OFFSET($DI$27,$B298,$C298)</f>
        <v>54</v>
      </c>
      <c r="O298" s="59" t="n">
        <f aca="true">IF($A298="",0,INDEX(tblPosn,$A298,2))</f>
        <v>0</v>
      </c>
      <c r="P298" s="59" t="n">
        <f aca="true">IF($A298="",0,INDEX(tblPosn,$A298,3))</f>
        <v>0</v>
      </c>
      <c r="Q298" s="59" t="n">
        <f aca="true">IF($A298="",0,INDEX(tblPosn,$A298,4))</f>
        <v>0</v>
      </c>
      <c r="R298" s="59" t="n">
        <f aca="true">IF($A298="",0,INDEX(tblPosn,$A298,5))</f>
        <v>0</v>
      </c>
      <c r="V298" s="161" t="n">
        <f aca="false">D298</f>
        <v>44958</v>
      </c>
      <c r="W298" s="94" t="n">
        <f aca="false">VLOOKUP($D298,tblPriorPrice,4)</f>
        <v>29</v>
      </c>
      <c r="X298" s="95" t="n">
        <f aca="false">Y298-W298</f>
        <v>1</v>
      </c>
      <c r="Y298" s="191" t="n">
        <f aca="true">Y286+OFFSET($CG$50,$B298,$C298)</f>
        <v>30</v>
      </c>
      <c r="Z298" s="96" t="n">
        <f aca="true">Y298+OFFSET($CU$51,$B298,$C298)</f>
        <v>30</v>
      </c>
      <c r="AA298" s="177" t="n">
        <f aca="true">Y298+OFFSET($DI$51,$B298,$C298)</f>
        <v>30</v>
      </c>
      <c r="AB298" s="94" t="n">
        <f aca="false">VLOOKUP($D298,tblPriorPrice,5)</f>
        <v>29</v>
      </c>
      <c r="AC298" s="190" t="n">
        <f aca="false">AD298-AB298</f>
        <v>1</v>
      </c>
      <c r="AD298" s="191" t="n">
        <f aca="true">AD286+OFFSET($CG$73,$B298,$C298)</f>
        <v>30</v>
      </c>
      <c r="AE298" s="96" t="n">
        <f aca="true">AD298+OFFSET($CU$74,$B298,$C298)</f>
        <v>30</v>
      </c>
      <c r="AF298" s="177" t="n">
        <f aca="true">AD298+OFFSET($DI$74,$B298,$C298)</f>
        <v>30</v>
      </c>
      <c r="AG298" s="94" t="n">
        <f aca="false">VLOOKUP($D298,tblPriorPrice,6)</f>
        <v>1</v>
      </c>
      <c r="AH298" s="190" t="n">
        <f aca="false">AI298-AG298</f>
        <v>0</v>
      </c>
      <c r="AI298" s="191" t="n">
        <f aca="true">AI286+OFFSET($CG$96,$B298,$C298)</f>
        <v>1</v>
      </c>
      <c r="AJ298" s="96" t="n">
        <f aca="true">AI298+OFFSET($CU$96,$B298,$C298)</f>
        <v>1</v>
      </c>
      <c r="AK298" s="97" t="n">
        <f aca="true">AI298+OFFSET($DI$96,$B298,$C298)</f>
        <v>1</v>
      </c>
      <c r="AL298" s="178" t="n">
        <v>74</v>
      </c>
      <c r="AM298" s="165" t="n">
        <v>0.4</v>
      </c>
      <c r="AN298" s="167" t="n">
        <f aca="false">'[3]Pricing Summary'!$AM276</f>
        <v>0</v>
      </c>
      <c r="AO298" s="167" t="n">
        <f aca="false">0.9*AN298</f>
        <v>0</v>
      </c>
      <c r="AP298" s="166" t="n">
        <f aca="false">1.5*AN298</f>
        <v>0</v>
      </c>
      <c r="AQ298" s="167" t="n">
        <f aca="false">AN298</f>
        <v>0</v>
      </c>
      <c r="AR298" s="166" t="n">
        <f aca="false">0.8*AQ298</f>
        <v>0</v>
      </c>
      <c r="AS298" s="166" t="n">
        <f aca="false">1.2*AQ298</f>
        <v>0</v>
      </c>
      <c r="AT298" s="169" t="n">
        <f aca="false">IF(G298&lt;110,17.94063*(LN(G298/100))+6.727568*(LN(G298/100)^2)+15.06494,(-4.1*G298+2135)/100)*0.5</f>
        <v>1.60842951845599</v>
      </c>
      <c r="AU298" s="169" t="n">
        <f aca="false">(0.75*AT298-AT298)</f>
        <v>-0.402107379613998</v>
      </c>
      <c r="AV298" s="166" t="n">
        <f aca="false">AT298/0.5*1.25-AT298</f>
        <v>2.41264427768399</v>
      </c>
      <c r="AW298" s="168" t="n">
        <f aca="false">IF(L298&lt;15,(15*L298+375)/100,(-4.71*L298+670.65)/100)*0.5</f>
        <v>2.64675</v>
      </c>
      <c r="AX298" s="166" t="n">
        <f aca="false">0.75*AW298-AW298</f>
        <v>-0.6616875</v>
      </c>
      <c r="AY298" s="166" t="n">
        <f aca="false">AW298/0.5*1.25-AW298</f>
        <v>3.970125</v>
      </c>
      <c r="AZ298" s="167" t="n">
        <v>0.5</v>
      </c>
      <c r="BA298" s="74"/>
      <c r="BZ298" s="43" t="n">
        <v>44958</v>
      </c>
      <c r="CA298" s="0" t="n">
        <v>30</v>
      </c>
      <c r="CB298" s="63" t="n">
        <v>30</v>
      </c>
      <c r="CC298" s="63" t="n">
        <v>30</v>
      </c>
      <c r="CD298" s="63" t="n">
        <v>30</v>
      </c>
      <c r="CE298" s="63" t="n">
        <v>1</v>
      </c>
    </row>
    <row r="299" customFormat="false" ht="12.75" hidden="false" customHeight="false" outlineLevel="0" collapsed="false">
      <c r="A299" s="0" t="str">
        <f aca="true">IF(ISERROR(MATCH(D299,iRefDt,0)),"",MATCH(D299,iRefDt,0))</f>
        <v/>
      </c>
      <c r="B299" s="92" t="n">
        <f aca="false">MATCH(YEAR(D299),iSpreads)</f>
        <v>20</v>
      </c>
      <c r="C299" s="0" t="n">
        <f aca="false">MONTH(D299)</f>
        <v>3</v>
      </c>
      <c r="D299" s="93" t="n">
        <f aca="false">DATE(YEAR(D298),MONTH(D298)+1,1)</f>
        <v>44986</v>
      </c>
      <c r="E299" s="94" t="n">
        <f aca="false">VLOOKUP($D299,tblPriorPrice,2)</f>
        <v>29</v>
      </c>
      <c r="F299" s="190" t="n">
        <f aca="false">G299-E299</f>
        <v>0</v>
      </c>
      <c r="G299" s="190" t="n">
        <f aca="true">G287+OFFSET($CG$4,$B299,$C299)</f>
        <v>29</v>
      </c>
      <c r="H299" s="96" t="n">
        <f aca="true">G299+OFFSET($CU$4,$B299,$C299)</f>
        <v>24</v>
      </c>
      <c r="I299" s="96" t="n">
        <f aca="true">G299+OFFSET($DI$4,$B299,$C299)</f>
        <v>63</v>
      </c>
      <c r="J299" s="94" t="n">
        <f aca="false">VLOOKUP($D299,tblPriorPrice,3)</f>
        <v>29</v>
      </c>
      <c r="K299" s="190" t="n">
        <f aca="false">L299-J299</f>
        <v>0</v>
      </c>
      <c r="L299" s="190" t="n">
        <f aca="true">L287+OFFSET($CG$27,$B299,$C299)</f>
        <v>29</v>
      </c>
      <c r="M299" s="96" t="n">
        <f aca="true">$L299+OFFSET($CU$27,$B299,$C299)</f>
        <v>24</v>
      </c>
      <c r="N299" s="97" t="n">
        <f aca="true">$L299+OFFSET($DI$27,$B299,$C299)</f>
        <v>53</v>
      </c>
      <c r="O299" s="59" t="n">
        <f aca="true">IF($A299="",0,INDEX(tblPosn,$A299,2))</f>
        <v>0</v>
      </c>
      <c r="P299" s="59" t="n">
        <f aca="true">IF($A299="",0,INDEX(tblPosn,$A299,3))</f>
        <v>0</v>
      </c>
      <c r="Q299" s="59" t="n">
        <f aca="true">IF($A299="",0,INDEX(tblPosn,$A299,4))</f>
        <v>0</v>
      </c>
      <c r="R299" s="59" t="n">
        <f aca="true">IF($A299="",0,INDEX(tblPosn,$A299,5))</f>
        <v>0</v>
      </c>
      <c r="V299" s="161" t="n">
        <f aca="false">D299</f>
        <v>44986</v>
      </c>
      <c r="W299" s="94" t="n">
        <f aca="false">VLOOKUP($D299,tblPriorPrice,4)</f>
        <v>29</v>
      </c>
      <c r="X299" s="95" t="n">
        <f aca="false">Y299-W299</f>
        <v>0</v>
      </c>
      <c r="Y299" s="191" t="n">
        <f aca="true">Y287+OFFSET($CG$50,$B299,$C299)</f>
        <v>29</v>
      </c>
      <c r="Z299" s="96" t="n">
        <f aca="true">Y299+OFFSET($CU$51,$B299,$C299)</f>
        <v>29</v>
      </c>
      <c r="AA299" s="177" t="n">
        <f aca="true">Y299+OFFSET($DI$51,$B299,$C299)</f>
        <v>29</v>
      </c>
      <c r="AB299" s="94" t="n">
        <f aca="false">VLOOKUP($D299,tblPriorPrice,5)</f>
        <v>29</v>
      </c>
      <c r="AC299" s="190" t="n">
        <f aca="false">AD299-AB299</f>
        <v>0</v>
      </c>
      <c r="AD299" s="191" t="n">
        <f aca="true">AD287+OFFSET($CG$73,$B299,$C299)</f>
        <v>29</v>
      </c>
      <c r="AE299" s="96" t="n">
        <f aca="true">AD299+OFFSET($CU$74,$B299,$C299)</f>
        <v>29</v>
      </c>
      <c r="AF299" s="177" t="n">
        <f aca="true">AD299+OFFSET($DI$74,$B299,$C299)</f>
        <v>29</v>
      </c>
      <c r="AG299" s="94" t="n">
        <f aca="false">VLOOKUP($D299,tblPriorPrice,6)</f>
        <v>1</v>
      </c>
      <c r="AH299" s="190" t="n">
        <f aca="false">AI299-AG299</f>
        <v>0</v>
      </c>
      <c r="AI299" s="191" t="n">
        <f aca="true">AI287+OFFSET($CG$96,$B299,$C299)</f>
        <v>1</v>
      </c>
      <c r="AJ299" s="96" t="n">
        <f aca="true">AI299+OFFSET($CU$96,$B299,$C299)</f>
        <v>1</v>
      </c>
      <c r="AK299" s="97" t="n">
        <f aca="true">AI299+OFFSET($DI$96,$B299,$C299)</f>
        <v>1</v>
      </c>
      <c r="AL299" s="178" t="n">
        <v>74</v>
      </c>
      <c r="AM299" s="165" t="n">
        <v>0.4</v>
      </c>
      <c r="AN299" s="167" t="n">
        <f aca="false">'[3]Pricing Summary'!$AM277</f>
        <v>0</v>
      </c>
      <c r="AO299" s="167" t="n">
        <f aca="false">0.9*AN299</f>
        <v>0</v>
      </c>
      <c r="AP299" s="166" t="n">
        <f aca="false">1.5*AN299</f>
        <v>0</v>
      </c>
      <c r="AQ299" s="167" t="n">
        <f aca="false">AN299</f>
        <v>0</v>
      </c>
      <c r="AR299" s="166" t="n">
        <f aca="false">0.8*AQ299</f>
        <v>0</v>
      </c>
      <c r="AS299" s="166" t="n">
        <f aca="false">1.2*AQ299</f>
        <v>0</v>
      </c>
      <c r="AT299" s="169" t="n">
        <f aca="false">IF(G299&lt;110,17.94063*(LN(G299/100))+6.727568*(LN(G299/100)^2)+15.06494,(-4.1*G299+2135)/100)*0.5</f>
        <v>1.58278405940532</v>
      </c>
      <c r="AU299" s="169" t="n">
        <f aca="false">(0.75*AT299-AT299)</f>
        <v>-0.395696014851329</v>
      </c>
      <c r="AV299" s="166" t="n">
        <f aca="false">AT299/0.5*1.25-AT299</f>
        <v>2.37417608910797</v>
      </c>
      <c r="AW299" s="168" t="n">
        <f aca="false">IF(L299&lt;15,(15*L299+375)/100,(-4.71*L299+670.65)/100)*0.5</f>
        <v>2.6703</v>
      </c>
      <c r="AX299" s="166" t="n">
        <f aca="false">0.75*AW299-AW299</f>
        <v>-0.667575</v>
      </c>
      <c r="AY299" s="166" t="n">
        <f aca="false">AW299/0.5*1.25-AW299</f>
        <v>4.00545</v>
      </c>
      <c r="AZ299" s="167" t="n">
        <v>0.5</v>
      </c>
      <c r="BA299" s="74"/>
      <c r="BZ299" s="43" t="n">
        <v>44986</v>
      </c>
      <c r="CA299" s="0" t="n">
        <v>29</v>
      </c>
      <c r="CB299" s="63" t="n">
        <v>29</v>
      </c>
      <c r="CC299" s="63" t="n">
        <v>29</v>
      </c>
      <c r="CD299" s="63" t="n">
        <v>29</v>
      </c>
      <c r="CE299" s="63" t="n">
        <v>1</v>
      </c>
    </row>
    <row r="300" customFormat="false" ht="12.75" hidden="false" customHeight="false" outlineLevel="0" collapsed="false">
      <c r="A300" s="0" t="str">
        <f aca="true">IF(ISERROR(MATCH(D300,iRefDt,0)),"",MATCH(D300,iRefDt,0))</f>
        <v/>
      </c>
      <c r="B300" s="92" t="n">
        <f aca="false">MATCH(YEAR(D300),iSpreads)</f>
        <v>20</v>
      </c>
      <c r="C300" s="0" t="n">
        <f aca="false">MONTH(D300)</f>
        <v>4</v>
      </c>
      <c r="D300" s="93" t="n">
        <f aca="false">DATE(YEAR(D299),MONTH(D299)+1,1)</f>
        <v>45017</v>
      </c>
      <c r="E300" s="94" t="n">
        <f aca="false">VLOOKUP($D300,tblPriorPrice,2)</f>
        <v>29</v>
      </c>
      <c r="F300" s="190" t="n">
        <f aca="false">G300-E300</f>
        <v>0</v>
      </c>
      <c r="G300" s="190" t="n">
        <f aca="true">G288+OFFSET($CG$4,$B300,$C300)</f>
        <v>29</v>
      </c>
      <c r="H300" s="96" t="n">
        <f aca="true">G300+OFFSET($CU$4,$B300,$C300)</f>
        <v>24</v>
      </c>
      <c r="I300" s="96" t="n">
        <f aca="true">G300+OFFSET($DI$4,$B300,$C300)</f>
        <v>63</v>
      </c>
      <c r="J300" s="94" t="n">
        <f aca="false">VLOOKUP($D300,tblPriorPrice,3)</f>
        <v>29</v>
      </c>
      <c r="K300" s="190" t="n">
        <f aca="false">L300-J300</f>
        <v>0</v>
      </c>
      <c r="L300" s="190" t="n">
        <f aca="true">L288+OFFSET($CG$27,$B300,$C300)</f>
        <v>29</v>
      </c>
      <c r="M300" s="96" t="n">
        <f aca="true">$L300+OFFSET($CU$27,$B300,$C300)</f>
        <v>24</v>
      </c>
      <c r="N300" s="97" t="n">
        <f aca="true">$L300+OFFSET($DI$27,$B300,$C300)</f>
        <v>53</v>
      </c>
      <c r="O300" s="59" t="n">
        <f aca="true">IF($A300="",0,INDEX(tblPosn,$A300,2))</f>
        <v>0</v>
      </c>
      <c r="P300" s="59" t="n">
        <f aca="true">IF($A300="",0,INDEX(tblPosn,$A300,3))</f>
        <v>0</v>
      </c>
      <c r="Q300" s="59" t="n">
        <f aca="true">IF($A300="",0,INDEX(tblPosn,$A300,4))</f>
        <v>0</v>
      </c>
      <c r="R300" s="59" t="n">
        <f aca="true">IF($A300="",0,INDEX(tblPosn,$A300,5))</f>
        <v>0</v>
      </c>
      <c r="V300" s="161" t="n">
        <f aca="false">D300</f>
        <v>45017</v>
      </c>
      <c r="W300" s="94" t="n">
        <f aca="false">VLOOKUP($D300,tblPriorPrice,4)</f>
        <v>29</v>
      </c>
      <c r="X300" s="95" t="n">
        <f aca="false">Y300-W300</f>
        <v>0</v>
      </c>
      <c r="Y300" s="191" t="n">
        <f aca="true">Y288+OFFSET($CG$50,$B300,$C300)</f>
        <v>29</v>
      </c>
      <c r="Z300" s="96" t="n">
        <f aca="true">Y300+OFFSET($CU$51,$B300,$C300)</f>
        <v>29</v>
      </c>
      <c r="AA300" s="177" t="n">
        <f aca="true">Y300+OFFSET($DI$51,$B300,$C300)</f>
        <v>29</v>
      </c>
      <c r="AB300" s="94" t="n">
        <f aca="false">VLOOKUP($D300,tblPriorPrice,5)</f>
        <v>29</v>
      </c>
      <c r="AC300" s="190" t="n">
        <f aca="false">AD300-AB300</f>
        <v>0</v>
      </c>
      <c r="AD300" s="191" t="n">
        <f aca="true">AD288+OFFSET($CG$73,$B300,$C300)</f>
        <v>29</v>
      </c>
      <c r="AE300" s="96" t="n">
        <f aca="true">AD300+OFFSET($CU$74,$B300,$C300)</f>
        <v>29</v>
      </c>
      <c r="AF300" s="177" t="n">
        <f aca="true">AD300+OFFSET($DI$74,$B300,$C300)</f>
        <v>29</v>
      </c>
      <c r="AG300" s="94" t="n">
        <f aca="false">VLOOKUP($D300,tblPriorPrice,6)</f>
        <v>1</v>
      </c>
      <c r="AH300" s="190" t="n">
        <f aca="false">AI300-AG300</f>
        <v>0</v>
      </c>
      <c r="AI300" s="191" t="n">
        <f aca="true">AI288+OFFSET($CG$96,$B300,$C300)</f>
        <v>1</v>
      </c>
      <c r="AJ300" s="96" t="n">
        <f aca="true">AI300+OFFSET($CU$96,$B300,$C300)</f>
        <v>1</v>
      </c>
      <c r="AK300" s="97" t="n">
        <f aca="true">AI300+OFFSET($DI$96,$B300,$C300)</f>
        <v>1</v>
      </c>
      <c r="AL300" s="178" t="n">
        <v>74</v>
      </c>
      <c r="AM300" s="165" t="n">
        <v>0.4</v>
      </c>
      <c r="AN300" s="167" t="n">
        <f aca="false">'[3]Pricing Summary'!$AM278</f>
        <v>0</v>
      </c>
      <c r="AO300" s="167" t="n">
        <f aca="false">0.9*AN300</f>
        <v>0</v>
      </c>
      <c r="AP300" s="166" t="n">
        <f aca="false">1.5*AN300</f>
        <v>0</v>
      </c>
      <c r="AQ300" s="167" t="n">
        <f aca="false">AN300</f>
        <v>0</v>
      </c>
      <c r="AR300" s="166" t="n">
        <f aca="false">0.8*AQ300</f>
        <v>0</v>
      </c>
      <c r="AS300" s="166" t="n">
        <f aca="false">1.2*AQ300</f>
        <v>0</v>
      </c>
      <c r="AT300" s="169" t="n">
        <f aca="false">IF(G300&lt;110,17.94063*(LN(G300/100))+6.727568*(LN(G300/100)^2)+15.06494,(-4.1*G300+2135)/100)*0.5</f>
        <v>1.58278405940532</v>
      </c>
      <c r="AU300" s="169" t="n">
        <f aca="false">(0.75*AT300-AT300)</f>
        <v>-0.395696014851329</v>
      </c>
      <c r="AV300" s="166" t="n">
        <f aca="false">AT300/0.5*1.25-AT300</f>
        <v>2.37417608910797</v>
      </c>
      <c r="AW300" s="168" t="n">
        <f aca="false">IF(L300&lt;15,(15*L300+375)/100,(-4.71*L300+670.65)/100)*0.5</f>
        <v>2.6703</v>
      </c>
      <c r="AX300" s="166" t="n">
        <f aca="false">0.75*AW300-AW300</f>
        <v>-0.667575</v>
      </c>
      <c r="AY300" s="166" t="n">
        <f aca="false">AW300/0.5*1.25-AW300</f>
        <v>4.00545</v>
      </c>
      <c r="AZ300" s="167" t="n">
        <v>0.5</v>
      </c>
      <c r="BA300" s="74"/>
      <c r="BZ300" s="43" t="n">
        <v>45017</v>
      </c>
      <c r="CA300" s="0" t="n">
        <v>29</v>
      </c>
      <c r="CB300" s="63" t="n">
        <v>29</v>
      </c>
      <c r="CC300" s="63" t="n">
        <v>29</v>
      </c>
      <c r="CD300" s="63" t="n">
        <v>29</v>
      </c>
      <c r="CE300" s="63" t="n">
        <v>1</v>
      </c>
    </row>
    <row r="301" customFormat="false" ht="12.75" hidden="false" customHeight="false" outlineLevel="0" collapsed="false">
      <c r="A301" s="0" t="str">
        <f aca="true">IF(ISERROR(MATCH(D301,iRefDt,0)),"",MATCH(D301,iRefDt,0))</f>
        <v/>
      </c>
      <c r="B301" s="92" t="n">
        <f aca="false">MATCH(YEAR(D301),iSpreads)</f>
        <v>20</v>
      </c>
      <c r="C301" s="0" t="n">
        <f aca="false">MONTH(D301)</f>
        <v>5</v>
      </c>
      <c r="D301" s="93" t="n">
        <f aca="false">DATE(YEAR(D300),MONTH(D300)+1,1)</f>
        <v>45047</v>
      </c>
      <c r="E301" s="94" t="n">
        <f aca="false">VLOOKUP($D301,tblPriorPrice,2)</f>
        <v>29</v>
      </c>
      <c r="F301" s="190" t="n">
        <f aca="false">G301-E301</f>
        <v>3</v>
      </c>
      <c r="G301" s="190" t="n">
        <f aca="true">G289+OFFSET($CG$4,$B301,$C301)</f>
        <v>32</v>
      </c>
      <c r="H301" s="96" t="n">
        <f aca="true">G301+OFFSET($CU$4,$B301,$C301)</f>
        <v>27</v>
      </c>
      <c r="I301" s="96" t="n">
        <f aca="true">G301+OFFSET($DI$4,$B301,$C301)</f>
        <v>66</v>
      </c>
      <c r="J301" s="94" t="n">
        <f aca="false">VLOOKUP($D301,tblPriorPrice,3)</f>
        <v>29</v>
      </c>
      <c r="K301" s="190" t="n">
        <f aca="false">L301-J301</f>
        <v>3</v>
      </c>
      <c r="L301" s="190" t="n">
        <f aca="true">L289+OFFSET($CG$27,$B301,$C301)</f>
        <v>32</v>
      </c>
      <c r="M301" s="96" t="n">
        <f aca="true">$L301+OFFSET($CU$27,$B301,$C301)</f>
        <v>27</v>
      </c>
      <c r="N301" s="97" t="n">
        <f aca="true">$L301+OFFSET($DI$27,$B301,$C301)</f>
        <v>56</v>
      </c>
      <c r="O301" s="59" t="n">
        <f aca="true">IF($A301="",0,INDEX(tblPosn,$A301,2))</f>
        <v>0</v>
      </c>
      <c r="P301" s="59" t="n">
        <f aca="true">IF($A301="",0,INDEX(tblPosn,$A301,3))</f>
        <v>0</v>
      </c>
      <c r="Q301" s="59" t="n">
        <f aca="true">IF($A301="",0,INDEX(tblPosn,$A301,4))</f>
        <v>0</v>
      </c>
      <c r="R301" s="59" t="n">
        <f aca="true">IF($A301="",0,INDEX(tblPosn,$A301,5))</f>
        <v>0</v>
      </c>
      <c r="V301" s="161" t="n">
        <f aca="false">D301</f>
        <v>45047</v>
      </c>
      <c r="W301" s="94" t="n">
        <f aca="false">VLOOKUP($D301,tblPriorPrice,4)</f>
        <v>29</v>
      </c>
      <c r="X301" s="95" t="n">
        <f aca="false">Y301-W301</f>
        <v>3</v>
      </c>
      <c r="Y301" s="191" t="n">
        <f aca="true">Y289+OFFSET($CG$50,$B301,$C301)</f>
        <v>32</v>
      </c>
      <c r="Z301" s="96" t="n">
        <f aca="true">Y301+OFFSET($CU$51,$B301,$C301)</f>
        <v>32</v>
      </c>
      <c r="AA301" s="177" t="n">
        <f aca="true">Y301+OFFSET($DI$51,$B301,$C301)</f>
        <v>32</v>
      </c>
      <c r="AB301" s="94" t="n">
        <f aca="false">VLOOKUP($D301,tblPriorPrice,5)</f>
        <v>29</v>
      </c>
      <c r="AC301" s="190" t="n">
        <f aca="false">AD301-AB301</f>
        <v>3</v>
      </c>
      <c r="AD301" s="191" t="n">
        <f aca="true">AD289+OFFSET($CG$73,$B301,$C301)</f>
        <v>32</v>
      </c>
      <c r="AE301" s="96" t="n">
        <f aca="true">AD301+OFFSET($CU$74,$B301,$C301)</f>
        <v>32</v>
      </c>
      <c r="AF301" s="177" t="n">
        <f aca="true">AD301+OFFSET($DI$74,$B301,$C301)</f>
        <v>32</v>
      </c>
      <c r="AG301" s="94" t="n">
        <f aca="false">VLOOKUP($D301,tblPriorPrice,6)</f>
        <v>1</v>
      </c>
      <c r="AH301" s="190" t="n">
        <f aca="false">AI301-AG301</f>
        <v>0</v>
      </c>
      <c r="AI301" s="191" t="n">
        <f aca="true">AI289+OFFSET($CG$96,$B301,$C301)</f>
        <v>1</v>
      </c>
      <c r="AJ301" s="96" t="n">
        <f aca="true">AI301+OFFSET($CU$96,$B301,$C301)</f>
        <v>1</v>
      </c>
      <c r="AK301" s="97" t="n">
        <f aca="true">AI301+OFFSET($DI$96,$B301,$C301)</f>
        <v>1</v>
      </c>
      <c r="AL301" s="178" t="n">
        <v>74</v>
      </c>
      <c r="AM301" s="165" t="n">
        <v>0.4</v>
      </c>
      <c r="AN301" s="167" t="n">
        <f aca="false">'[3]Pricing Summary'!$AM279</f>
        <v>0</v>
      </c>
      <c r="AO301" s="167" t="n">
        <f aca="false">0.9*AN301</f>
        <v>0</v>
      </c>
      <c r="AP301" s="166" t="n">
        <f aca="false">1.5*AN301</f>
        <v>0</v>
      </c>
      <c r="AQ301" s="167" t="n">
        <f aca="false">AN301</f>
        <v>0</v>
      </c>
      <c r="AR301" s="166" t="n">
        <f aca="false">0.8*AQ301</f>
        <v>0</v>
      </c>
      <c r="AS301" s="166" t="n">
        <f aca="false">1.2*AQ301</f>
        <v>0</v>
      </c>
      <c r="AT301" s="169" t="n">
        <f aca="false">IF(G301&lt;110,17.94063*(LN(G301/100))+6.727568*(LN(G301/100)^2)+15.06494,(-4.1*G301+2135)/100)*0.5</f>
        <v>1.67862159684781</v>
      </c>
      <c r="AU301" s="169" t="n">
        <f aca="false">(0.75*AT301-AT301)</f>
        <v>-0.419655399211954</v>
      </c>
      <c r="AV301" s="166" t="n">
        <f aca="false">AT301/0.5*1.25-AT301</f>
        <v>2.51793239527172</v>
      </c>
      <c r="AW301" s="168" t="n">
        <f aca="false">IF(L301&lt;15,(15*L301+375)/100,(-4.71*L301+670.65)/100)*0.5</f>
        <v>2.59965</v>
      </c>
      <c r="AX301" s="166" t="n">
        <f aca="false">0.75*AW301-AW301</f>
        <v>-0.6499125</v>
      </c>
      <c r="AY301" s="166" t="n">
        <f aca="false">AW301/0.5*1.25-AW301</f>
        <v>3.899475</v>
      </c>
      <c r="AZ301" s="167" t="n">
        <v>0.5</v>
      </c>
      <c r="BA301" s="74"/>
      <c r="BZ301" s="43" t="n">
        <v>45047</v>
      </c>
      <c r="CA301" s="0" t="n">
        <v>32</v>
      </c>
      <c r="CB301" s="63" t="n">
        <v>32</v>
      </c>
      <c r="CC301" s="63" t="n">
        <v>32</v>
      </c>
      <c r="CD301" s="63" t="n">
        <v>32</v>
      </c>
      <c r="CE301" s="63" t="n">
        <v>1</v>
      </c>
    </row>
    <row r="302" customFormat="false" ht="12.75" hidden="false" customHeight="false" outlineLevel="0" collapsed="false">
      <c r="A302" s="0" t="str">
        <f aca="true">IF(ISERROR(MATCH(D302,iRefDt,0)),"",MATCH(D302,iRefDt,0))</f>
        <v/>
      </c>
      <c r="B302" s="92" t="n">
        <f aca="false">MATCH(YEAR(D302),iSpreads)</f>
        <v>20</v>
      </c>
      <c r="C302" s="0" t="n">
        <f aca="false">MONTH(D302)</f>
        <v>6</v>
      </c>
      <c r="D302" s="93" t="n">
        <f aca="false">DATE(YEAR(D301),MONTH(D301)+1,1)</f>
        <v>45078</v>
      </c>
      <c r="E302" s="94" t="n">
        <f aca="false">VLOOKUP($D302,tblPriorPrice,2)</f>
        <v>29</v>
      </c>
      <c r="F302" s="190" t="n">
        <f aca="false">G302-E302</f>
        <v>10</v>
      </c>
      <c r="G302" s="190" t="n">
        <f aca="true">G290+OFFSET($CG$4,$B302,$C302)</f>
        <v>39</v>
      </c>
      <c r="H302" s="96" t="n">
        <f aca="true">G302+OFFSET($CU$4,$B302,$C302)</f>
        <v>34</v>
      </c>
      <c r="I302" s="96" t="n">
        <f aca="true">G302+OFFSET($DI$4,$B302,$C302)</f>
        <v>73</v>
      </c>
      <c r="J302" s="94" t="n">
        <f aca="false">VLOOKUP($D302,tblPriorPrice,3)</f>
        <v>29</v>
      </c>
      <c r="K302" s="190" t="n">
        <f aca="false">L302-J302</f>
        <v>10</v>
      </c>
      <c r="L302" s="190" t="n">
        <f aca="true">L290+OFFSET($CG$27,$B302,$C302)</f>
        <v>39</v>
      </c>
      <c r="M302" s="96" t="n">
        <f aca="true">$L302+OFFSET($CU$27,$B302,$C302)</f>
        <v>34</v>
      </c>
      <c r="N302" s="97" t="n">
        <f aca="true">$L302+OFFSET($DI$27,$B302,$C302)</f>
        <v>63</v>
      </c>
      <c r="O302" s="59" t="n">
        <f aca="true">IF($A302="",0,INDEX(tblPosn,$A302,2))</f>
        <v>0</v>
      </c>
      <c r="P302" s="59" t="n">
        <f aca="true">IF($A302="",0,INDEX(tblPosn,$A302,3))</f>
        <v>0</v>
      </c>
      <c r="Q302" s="59" t="n">
        <f aca="true">IF($A302="",0,INDEX(tblPosn,$A302,4))</f>
        <v>0</v>
      </c>
      <c r="R302" s="59" t="n">
        <f aca="true">IF($A302="",0,INDEX(tblPosn,$A302,5))</f>
        <v>0</v>
      </c>
      <c r="V302" s="161" t="n">
        <f aca="false">D302</f>
        <v>45078</v>
      </c>
      <c r="W302" s="94" t="n">
        <f aca="false">VLOOKUP($D302,tblPriorPrice,4)</f>
        <v>29</v>
      </c>
      <c r="X302" s="95" t="n">
        <f aca="false">Y302-W302</f>
        <v>10</v>
      </c>
      <c r="Y302" s="191" t="n">
        <f aca="true">Y290+OFFSET($CG$50,$B302,$C302)</f>
        <v>39</v>
      </c>
      <c r="Z302" s="96" t="n">
        <f aca="true">Y302+OFFSET($CU$51,$B302,$C302)</f>
        <v>39</v>
      </c>
      <c r="AA302" s="177" t="n">
        <f aca="true">Y302+OFFSET($DI$51,$B302,$C302)</f>
        <v>39</v>
      </c>
      <c r="AB302" s="94" t="n">
        <f aca="false">VLOOKUP($D302,tblPriorPrice,5)</f>
        <v>29</v>
      </c>
      <c r="AC302" s="190" t="n">
        <f aca="false">AD302-AB302</f>
        <v>10</v>
      </c>
      <c r="AD302" s="191" t="n">
        <f aca="true">AD290+OFFSET($CG$73,$B302,$C302)</f>
        <v>39</v>
      </c>
      <c r="AE302" s="96" t="n">
        <f aca="true">AD302+OFFSET($CU$74,$B302,$C302)</f>
        <v>39</v>
      </c>
      <c r="AF302" s="177" t="n">
        <f aca="true">AD302+OFFSET($DI$74,$B302,$C302)</f>
        <v>39</v>
      </c>
      <c r="AG302" s="94" t="n">
        <f aca="false">VLOOKUP($D302,tblPriorPrice,6)</f>
        <v>1</v>
      </c>
      <c r="AH302" s="190" t="n">
        <f aca="false">AI302-AG302</f>
        <v>0</v>
      </c>
      <c r="AI302" s="191" t="n">
        <f aca="true">AI290+OFFSET($CG$96,$B302,$C302)</f>
        <v>1</v>
      </c>
      <c r="AJ302" s="96" t="n">
        <f aca="true">AI302+OFFSET($CU$96,$B302,$C302)</f>
        <v>1</v>
      </c>
      <c r="AK302" s="97" t="n">
        <f aca="true">AI302+OFFSET($DI$96,$B302,$C302)</f>
        <v>1</v>
      </c>
      <c r="AL302" s="178" t="n">
        <v>74</v>
      </c>
      <c r="AM302" s="165" t="n">
        <v>0.4</v>
      </c>
      <c r="AN302" s="167" t="n">
        <f aca="false">'[3]Pricing Summary'!$AM280</f>
        <v>0</v>
      </c>
      <c r="AO302" s="167" t="n">
        <f aca="false">0.9*AN302</f>
        <v>0</v>
      </c>
      <c r="AP302" s="166" t="n">
        <f aca="false">1.5*AN302</f>
        <v>0</v>
      </c>
      <c r="AQ302" s="167" t="n">
        <f aca="false">AN302</f>
        <v>0</v>
      </c>
      <c r="AR302" s="166" t="n">
        <f aca="false">0.8*AQ302</f>
        <v>0</v>
      </c>
      <c r="AS302" s="166" t="n">
        <f aca="false">1.2*AQ302</f>
        <v>0</v>
      </c>
      <c r="AT302" s="169" t="n">
        <f aca="false">IF(G302&lt;110,17.94063*(LN(G302/100))+6.727568*(LN(G302/100)^2)+15.06494,(-4.1*G302+2135)/100)*0.5</f>
        <v>2.06836530423771</v>
      </c>
      <c r="AU302" s="169" t="n">
        <f aca="false">(0.75*AT302-AT302)</f>
        <v>-0.517091326059428</v>
      </c>
      <c r="AV302" s="166" t="n">
        <f aca="false">AT302/0.5*1.25-AT302</f>
        <v>3.10254795635657</v>
      </c>
      <c r="AW302" s="168" t="n">
        <f aca="false">IF(L302&lt;15,(15*L302+375)/100,(-4.71*L302+670.65)/100)*0.5</f>
        <v>2.4348</v>
      </c>
      <c r="AX302" s="166" t="n">
        <f aca="false">0.75*AW302-AW302</f>
        <v>-0.6087</v>
      </c>
      <c r="AY302" s="166" t="n">
        <f aca="false">AW302/0.5*1.25-AW302</f>
        <v>3.6522</v>
      </c>
      <c r="AZ302" s="167" t="n">
        <v>0.5</v>
      </c>
      <c r="BA302" s="74"/>
      <c r="BZ302" s="43" t="n">
        <v>45078</v>
      </c>
      <c r="CA302" s="0" t="n">
        <v>39</v>
      </c>
      <c r="CB302" s="63" t="n">
        <v>39</v>
      </c>
      <c r="CC302" s="63" t="n">
        <v>39</v>
      </c>
      <c r="CD302" s="63" t="n">
        <v>39</v>
      </c>
      <c r="CE302" s="63" t="n">
        <v>1</v>
      </c>
    </row>
    <row r="303" customFormat="false" ht="12.75" hidden="false" customHeight="false" outlineLevel="0" collapsed="false">
      <c r="A303" s="0" t="str">
        <f aca="true">IF(ISERROR(MATCH(D303,iRefDt,0)),"",MATCH(D303,iRefDt,0))</f>
        <v/>
      </c>
      <c r="B303" s="92" t="n">
        <f aca="false">MATCH(YEAR(D303),iSpreads)</f>
        <v>20</v>
      </c>
      <c r="C303" s="0" t="n">
        <f aca="false">MONTH(D303)</f>
        <v>7</v>
      </c>
      <c r="D303" s="93" t="n">
        <f aca="false">DATE(YEAR(D302),MONTH(D302)+1,1)</f>
        <v>45108</v>
      </c>
      <c r="E303" s="94" t="n">
        <f aca="false">VLOOKUP($D303,tblPriorPrice,2)</f>
        <v>29</v>
      </c>
      <c r="F303" s="190" t="n">
        <f aca="false">G303-E303</f>
        <v>10</v>
      </c>
      <c r="G303" s="190" t="n">
        <f aca="true">G291+OFFSET($CG$4,$B303,$C303)</f>
        <v>39</v>
      </c>
      <c r="H303" s="96" t="n">
        <f aca="true">G303+OFFSET($CU$4,$B303,$C303)</f>
        <v>34</v>
      </c>
      <c r="I303" s="96" t="n">
        <f aca="true">G303+OFFSET($DI$4,$B303,$C303)</f>
        <v>73</v>
      </c>
      <c r="J303" s="94" t="n">
        <f aca="false">VLOOKUP($D303,tblPriorPrice,3)</f>
        <v>29</v>
      </c>
      <c r="K303" s="190" t="n">
        <f aca="false">L303-J303</f>
        <v>10</v>
      </c>
      <c r="L303" s="190" t="n">
        <f aca="true">L291+OFFSET($CG$27,$B303,$C303)</f>
        <v>39</v>
      </c>
      <c r="M303" s="96" t="n">
        <f aca="true">$L303+OFFSET($CU$27,$B303,$C303)</f>
        <v>34</v>
      </c>
      <c r="N303" s="97" t="n">
        <f aca="true">$L303+OFFSET($DI$27,$B303,$C303)</f>
        <v>63</v>
      </c>
      <c r="O303" s="59" t="n">
        <f aca="true">IF($A303="",0,INDEX(tblPosn,$A303,2))</f>
        <v>0</v>
      </c>
      <c r="P303" s="59" t="n">
        <f aca="true">IF($A303="",0,INDEX(tblPosn,$A303,3))</f>
        <v>0</v>
      </c>
      <c r="Q303" s="59" t="n">
        <f aca="true">IF($A303="",0,INDEX(tblPosn,$A303,4))</f>
        <v>0</v>
      </c>
      <c r="R303" s="59" t="n">
        <f aca="true">IF($A303="",0,INDEX(tblPosn,$A303,5))</f>
        <v>0</v>
      </c>
      <c r="V303" s="161" t="n">
        <f aca="false">D303</f>
        <v>45108</v>
      </c>
      <c r="W303" s="94" t="n">
        <f aca="false">VLOOKUP($D303,tblPriorPrice,4)</f>
        <v>29</v>
      </c>
      <c r="X303" s="95" t="n">
        <f aca="false">Y303-W303</f>
        <v>10</v>
      </c>
      <c r="Y303" s="191" t="n">
        <f aca="true">Y291+OFFSET($CG$50,$B303,$C303)</f>
        <v>39</v>
      </c>
      <c r="Z303" s="96" t="n">
        <f aca="true">Y303+OFFSET($CU$51,$B303,$C303)</f>
        <v>39</v>
      </c>
      <c r="AA303" s="177" t="n">
        <f aca="true">Y303+OFFSET($DI$51,$B303,$C303)</f>
        <v>39</v>
      </c>
      <c r="AB303" s="94" t="n">
        <f aca="false">VLOOKUP($D303,tblPriorPrice,5)</f>
        <v>29</v>
      </c>
      <c r="AC303" s="190" t="n">
        <f aca="false">AD303-AB303</f>
        <v>10</v>
      </c>
      <c r="AD303" s="191" t="n">
        <f aca="true">AD291+OFFSET($CG$73,$B303,$C303)</f>
        <v>39</v>
      </c>
      <c r="AE303" s="96" t="n">
        <f aca="true">AD303+OFFSET($CU$74,$B303,$C303)</f>
        <v>39</v>
      </c>
      <c r="AF303" s="177" t="n">
        <f aca="true">AD303+OFFSET($DI$74,$B303,$C303)</f>
        <v>39</v>
      </c>
      <c r="AG303" s="94" t="n">
        <f aca="false">VLOOKUP($D303,tblPriorPrice,6)</f>
        <v>1</v>
      </c>
      <c r="AH303" s="190" t="n">
        <f aca="false">AI303-AG303</f>
        <v>0</v>
      </c>
      <c r="AI303" s="191" t="n">
        <f aca="true">AI291+OFFSET($CG$96,$B303,$C303)</f>
        <v>1</v>
      </c>
      <c r="AJ303" s="96" t="n">
        <f aca="true">AI303+OFFSET($CU$96,$B303,$C303)</f>
        <v>1</v>
      </c>
      <c r="AK303" s="97" t="n">
        <f aca="true">AI303+OFFSET($DI$96,$B303,$C303)</f>
        <v>1</v>
      </c>
      <c r="AL303" s="178" t="n">
        <v>74</v>
      </c>
      <c r="AM303" s="165" t="n">
        <v>0.4</v>
      </c>
      <c r="AN303" s="167" t="n">
        <f aca="false">'[3]Pricing Summary'!$AM281</f>
        <v>0</v>
      </c>
      <c r="AO303" s="167" t="n">
        <f aca="false">0.9*AN303</f>
        <v>0</v>
      </c>
      <c r="AP303" s="166" t="n">
        <f aca="false">1.5*AN303</f>
        <v>0</v>
      </c>
      <c r="AQ303" s="167" t="n">
        <f aca="false">AN303</f>
        <v>0</v>
      </c>
      <c r="AR303" s="166" t="n">
        <f aca="false">0.8*AQ303</f>
        <v>0</v>
      </c>
      <c r="AS303" s="166" t="n">
        <f aca="false">1.2*AQ303</f>
        <v>0</v>
      </c>
      <c r="AT303" s="169" t="n">
        <f aca="false">IF(G303&lt;110,17.94063*(LN(G303/100))+6.727568*(LN(G303/100)^2)+15.06494,(-4.1*G303+2135)/100)*0.5</f>
        <v>2.06836530423771</v>
      </c>
      <c r="AU303" s="169" t="n">
        <f aca="false">(0.75*AT303-AT303)</f>
        <v>-0.517091326059428</v>
      </c>
      <c r="AV303" s="166" t="n">
        <f aca="false">AT303/0.5*1.25-AT303</f>
        <v>3.10254795635657</v>
      </c>
      <c r="AW303" s="168" t="n">
        <f aca="false">IF(L303&lt;15,(15*L303+375)/100,(-4.71*L303+670.65)/100)*0.5</f>
        <v>2.4348</v>
      </c>
      <c r="AX303" s="166" t="n">
        <f aca="false">0.75*AW303-AW303</f>
        <v>-0.6087</v>
      </c>
      <c r="AY303" s="166" t="n">
        <f aca="false">AW303/0.5*1.25-AW303</f>
        <v>3.6522</v>
      </c>
      <c r="AZ303" s="167" t="n">
        <v>0.5</v>
      </c>
      <c r="BA303" s="74"/>
      <c r="BZ303" s="43" t="n">
        <v>45108</v>
      </c>
      <c r="CA303" s="0" t="n">
        <v>39</v>
      </c>
      <c r="CB303" s="63" t="n">
        <v>39</v>
      </c>
      <c r="CC303" s="63" t="n">
        <v>39</v>
      </c>
      <c r="CD303" s="63" t="n">
        <v>39</v>
      </c>
      <c r="CE303" s="63" t="n">
        <v>1</v>
      </c>
    </row>
    <row r="304" customFormat="false" ht="12.75" hidden="false" customHeight="false" outlineLevel="0" collapsed="false">
      <c r="A304" s="0" t="str">
        <f aca="true">IF(ISERROR(MATCH(D304,iRefDt,0)),"",MATCH(D304,iRefDt,0))</f>
        <v/>
      </c>
      <c r="B304" s="92" t="n">
        <f aca="false">MATCH(YEAR(D304),iSpreads)</f>
        <v>20</v>
      </c>
      <c r="C304" s="0" t="n">
        <f aca="false">MONTH(D304)</f>
        <v>8</v>
      </c>
      <c r="D304" s="93" t="n">
        <f aca="false">DATE(YEAR(D303),MONTH(D303)+1,1)</f>
        <v>45139</v>
      </c>
      <c r="E304" s="94" t="n">
        <f aca="false">VLOOKUP($D304,tblPriorPrice,2)</f>
        <v>29</v>
      </c>
      <c r="F304" s="190" t="n">
        <f aca="false">G304-E304</f>
        <v>12</v>
      </c>
      <c r="G304" s="190" t="n">
        <f aca="true">G292+OFFSET($CG$4,$B304,$C304)</f>
        <v>41</v>
      </c>
      <c r="H304" s="96" t="n">
        <f aca="true">G304+OFFSET($CU$4,$B304,$C304)</f>
        <v>36</v>
      </c>
      <c r="I304" s="96" t="n">
        <f aca="true">G304+OFFSET($DI$4,$B304,$C304)</f>
        <v>75</v>
      </c>
      <c r="J304" s="94" t="n">
        <f aca="false">VLOOKUP($D304,tblPriorPrice,3)</f>
        <v>29</v>
      </c>
      <c r="K304" s="190" t="n">
        <f aca="false">L304-J304</f>
        <v>12</v>
      </c>
      <c r="L304" s="190" t="n">
        <f aca="true">L292+OFFSET($CG$27,$B304,$C304)</f>
        <v>41</v>
      </c>
      <c r="M304" s="96" t="n">
        <f aca="true">$L304+OFFSET($CU$27,$B304,$C304)</f>
        <v>36</v>
      </c>
      <c r="N304" s="97" t="n">
        <f aca="true">$L304+OFFSET($DI$27,$B304,$C304)</f>
        <v>65</v>
      </c>
      <c r="O304" s="59" t="n">
        <f aca="true">IF($A304="",0,INDEX(tblPosn,$A304,2))</f>
        <v>0</v>
      </c>
      <c r="P304" s="59" t="n">
        <f aca="true">IF($A304="",0,INDEX(tblPosn,$A304,3))</f>
        <v>0</v>
      </c>
      <c r="Q304" s="59" t="n">
        <f aca="true">IF($A304="",0,INDEX(tblPosn,$A304,4))</f>
        <v>0</v>
      </c>
      <c r="R304" s="59" t="n">
        <f aca="true">IF($A304="",0,INDEX(tblPosn,$A304,5))</f>
        <v>0</v>
      </c>
      <c r="V304" s="161" t="n">
        <f aca="false">D304</f>
        <v>45139</v>
      </c>
      <c r="W304" s="94" t="n">
        <f aca="false">VLOOKUP($D304,tblPriorPrice,4)</f>
        <v>29</v>
      </c>
      <c r="X304" s="95" t="n">
        <f aca="false">Y304-W304</f>
        <v>12</v>
      </c>
      <c r="Y304" s="191" t="n">
        <f aca="true">Y292+OFFSET($CG$50,$B304,$C304)</f>
        <v>41</v>
      </c>
      <c r="Z304" s="96" t="n">
        <f aca="true">Y304+OFFSET($CU$51,$B304,$C304)</f>
        <v>41</v>
      </c>
      <c r="AA304" s="177" t="n">
        <f aca="true">Y304+OFFSET($DI$51,$B304,$C304)</f>
        <v>41</v>
      </c>
      <c r="AB304" s="94" t="n">
        <f aca="false">VLOOKUP($D304,tblPriorPrice,5)</f>
        <v>29</v>
      </c>
      <c r="AC304" s="190" t="n">
        <f aca="false">AD304-AB304</f>
        <v>12</v>
      </c>
      <c r="AD304" s="191" t="n">
        <f aca="true">AD292+OFFSET($CG$73,$B304,$C304)</f>
        <v>41</v>
      </c>
      <c r="AE304" s="96" t="n">
        <f aca="true">AD304+OFFSET($CU$74,$B304,$C304)</f>
        <v>41</v>
      </c>
      <c r="AF304" s="177" t="n">
        <f aca="true">AD304+OFFSET($DI$74,$B304,$C304)</f>
        <v>41</v>
      </c>
      <c r="AG304" s="94" t="n">
        <f aca="false">VLOOKUP($D304,tblPriorPrice,6)</f>
        <v>1</v>
      </c>
      <c r="AH304" s="190" t="n">
        <f aca="false">AI304-AG304</f>
        <v>0</v>
      </c>
      <c r="AI304" s="191" t="n">
        <f aca="true">AI292+OFFSET($CG$96,$B304,$C304)</f>
        <v>1</v>
      </c>
      <c r="AJ304" s="96" t="n">
        <f aca="true">AI304+OFFSET($CU$96,$B304,$C304)</f>
        <v>1</v>
      </c>
      <c r="AK304" s="97" t="n">
        <f aca="true">AI304+OFFSET($DI$96,$B304,$C304)</f>
        <v>1</v>
      </c>
      <c r="AL304" s="178" t="n">
        <v>74</v>
      </c>
      <c r="AM304" s="165" t="n">
        <v>0.4</v>
      </c>
      <c r="AN304" s="167" t="n">
        <f aca="false">'[3]Pricing Summary'!$AM282</f>
        <v>0</v>
      </c>
      <c r="AO304" s="167" t="n">
        <f aca="false">0.9*AN304</f>
        <v>0</v>
      </c>
      <c r="AP304" s="166" t="n">
        <f aca="false">1.5*AN304</f>
        <v>0</v>
      </c>
      <c r="AQ304" s="167" t="n">
        <f aca="false">AN304</f>
        <v>0</v>
      </c>
      <c r="AR304" s="166" t="n">
        <f aca="false">0.8*AQ304</f>
        <v>0</v>
      </c>
      <c r="AS304" s="166" t="n">
        <f aca="false">1.2*AQ304</f>
        <v>0</v>
      </c>
      <c r="AT304" s="169" t="n">
        <f aca="false">IF(G304&lt;110,17.94063*(LN(G304/100))+6.727568*(LN(G304/100)^2)+15.06494,(-4.1*G304+2135)/100)*0.5</f>
        <v>2.20858471004844</v>
      </c>
      <c r="AU304" s="169" t="n">
        <f aca="false">(0.75*AT304-AT304)</f>
        <v>-0.552146177512111</v>
      </c>
      <c r="AV304" s="166" t="n">
        <f aca="false">AT304/0.5*1.25-AT304</f>
        <v>3.31287706507267</v>
      </c>
      <c r="AW304" s="168" t="n">
        <f aca="false">IF(L304&lt;15,(15*L304+375)/100,(-4.71*L304+670.65)/100)*0.5</f>
        <v>2.3877</v>
      </c>
      <c r="AX304" s="166" t="n">
        <f aca="false">0.75*AW304-AW304</f>
        <v>-0.596925</v>
      </c>
      <c r="AY304" s="166" t="n">
        <f aca="false">AW304/0.5*1.25-AW304</f>
        <v>3.58155</v>
      </c>
      <c r="AZ304" s="167" t="n">
        <v>0.5</v>
      </c>
      <c r="BA304" s="74"/>
      <c r="BZ304" s="43" t="n">
        <v>45139</v>
      </c>
      <c r="CA304" s="0" t="n">
        <v>41</v>
      </c>
      <c r="CB304" s="63" t="n">
        <v>41</v>
      </c>
      <c r="CC304" s="63" t="n">
        <v>41</v>
      </c>
      <c r="CD304" s="63" t="n">
        <v>41</v>
      </c>
      <c r="CE304" s="63" t="n">
        <v>1</v>
      </c>
    </row>
    <row r="305" customFormat="false" ht="12.75" hidden="false" customHeight="false" outlineLevel="0" collapsed="false">
      <c r="A305" s="0" t="str">
        <f aca="true">IF(ISERROR(MATCH(D305,iRefDt,0)),"",MATCH(D305,iRefDt,0))</f>
        <v/>
      </c>
      <c r="B305" s="92" t="n">
        <f aca="false">MATCH(YEAR(D305),iSpreads)</f>
        <v>20</v>
      </c>
      <c r="C305" s="0" t="n">
        <f aca="false">MONTH(D305)</f>
        <v>9</v>
      </c>
      <c r="D305" s="93" t="n">
        <f aca="false">DATE(YEAR(D304),MONTH(D304)+1,1)</f>
        <v>45170</v>
      </c>
      <c r="E305" s="94" t="n">
        <f aca="false">VLOOKUP($D305,tblPriorPrice,2)</f>
        <v>29</v>
      </c>
      <c r="F305" s="190" t="n">
        <f aca="false">G305-E305</f>
        <v>6</v>
      </c>
      <c r="G305" s="190" t="n">
        <f aca="true">G293+OFFSET($CG$4,$B305,$C305)</f>
        <v>35</v>
      </c>
      <c r="H305" s="96" t="n">
        <f aca="true">G305+OFFSET($CU$4,$B305,$C305)</f>
        <v>30</v>
      </c>
      <c r="I305" s="96" t="n">
        <f aca="true">G305+OFFSET($DI$4,$B305,$C305)</f>
        <v>69</v>
      </c>
      <c r="J305" s="94" t="n">
        <f aca="false">VLOOKUP($D305,tblPriorPrice,3)</f>
        <v>29</v>
      </c>
      <c r="K305" s="190" t="n">
        <f aca="false">L305-J305</f>
        <v>6</v>
      </c>
      <c r="L305" s="190" t="n">
        <f aca="true">L293+OFFSET($CG$27,$B305,$C305)</f>
        <v>35</v>
      </c>
      <c r="M305" s="96" t="n">
        <f aca="true">$L305+OFFSET($CU$27,$B305,$C305)</f>
        <v>30</v>
      </c>
      <c r="N305" s="97" t="n">
        <f aca="true">$L305+OFFSET($DI$27,$B305,$C305)</f>
        <v>59</v>
      </c>
      <c r="O305" s="59" t="n">
        <f aca="true">IF($A305="",0,INDEX(tblPosn,$A305,2))</f>
        <v>0</v>
      </c>
      <c r="P305" s="59" t="n">
        <f aca="true">IF($A305="",0,INDEX(tblPosn,$A305,3))</f>
        <v>0</v>
      </c>
      <c r="Q305" s="59" t="n">
        <f aca="true">IF($A305="",0,INDEX(tblPosn,$A305,4))</f>
        <v>0</v>
      </c>
      <c r="R305" s="59" t="n">
        <f aca="true">IF($A305="",0,INDEX(tblPosn,$A305,5))</f>
        <v>0</v>
      </c>
      <c r="V305" s="161" t="n">
        <f aca="false">D305</f>
        <v>45170</v>
      </c>
      <c r="W305" s="94" t="n">
        <f aca="false">VLOOKUP($D305,tblPriorPrice,4)</f>
        <v>29</v>
      </c>
      <c r="X305" s="95" t="n">
        <f aca="false">Y305-W305</f>
        <v>6</v>
      </c>
      <c r="Y305" s="191" t="n">
        <f aca="true">Y293+OFFSET($CG$50,$B305,$C305)</f>
        <v>35</v>
      </c>
      <c r="Z305" s="96" t="n">
        <f aca="true">Y305+OFFSET($CU$51,$B305,$C305)</f>
        <v>35</v>
      </c>
      <c r="AA305" s="177" t="n">
        <f aca="true">Y305+OFFSET($DI$51,$B305,$C305)</f>
        <v>35</v>
      </c>
      <c r="AB305" s="94" t="n">
        <f aca="false">VLOOKUP($D305,tblPriorPrice,5)</f>
        <v>29</v>
      </c>
      <c r="AC305" s="190" t="n">
        <f aca="false">AD305-AB305</f>
        <v>6</v>
      </c>
      <c r="AD305" s="191" t="n">
        <f aca="true">AD293+OFFSET($CG$73,$B305,$C305)</f>
        <v>35</v>
      </c>
      <c r="AE305" s="96" t="n">
        <f aca="true">AD305+OFFSET($CU$74,$B305,$C305)</f>
        <v>35</v>
      </c>
      <c r="AF305" s="177" t="n">
        <f aca="true">AD305+OFFSET($DI$74,$B305,$C305)</f>
        <v>35</v>
      </c>
      <c r="AG305" s="94" t="n">
        <f aca="false">VLOOKUP($D305,tblPriorPrice,6)</f>
        <v>1</v>
      </c>
      <c r="AH305" s="190" t="n">
        <f aca="false">AI305-AG305</f>
        <v>0</v>
      </c>
      <c r="AI305" s="191" t="n">
        <f aca="true">AI293+OFFSET($CG$96,$B305,$C305)</f>
        <v>1</v>
      </c>
      <c r="AJ305" s="96" t="n">
        <f aca="true">AI305+OFFSET($CU$96,$B305,$C305)</f>
        <v>1</v>
      </c>
      <c r="AK305" s="97" t="n">
        <f aca="true">AI305+OFFSET($DI$96,$B305,$C305)</f>
        <v>1</v>
      </c>
      <c r="AL305" s="178" t="n">
        <v>74</v>
      </c>
      <c r="AM305" s="165" t="n">
        <v>0.4</v>
      </c>
      <c r="AN305" s="167" t="n">
        <f aca="false">'[3]Pricing Summary'!$AM283</f>
        <v>0</v>
      </c>
      <c r="AO305" s="167" t="n">
        <f aca="false">0.9*AN305</f>
        <v>0</v>
      </c>
      <c r="AP305" s="166" t="n">
        <f aca="false">1.5*AN305</f>
        <v>0</v>
      </c>
      <c r="AQ305" s="167" t="n">
        <f aca="false">AN305</f>
        <v>0</v>
      </c>
      <c r="AR305" s="166" t="n">
        <f aca="false">0.8*AQ305</f>
        <v>0</v>
      </c>
      <c r="AS305" s="166" t="n">
        <f aca="false">1.2*AQ305</f>
        <v>0</v>
      </c>
      <c r="AT305" s="169" t="n">
        <f aca="false">IF(G305&lt;110,17.94063*(LN(G305/100))+6.727568*(LN(G305/100)^2)+15.06494,(-4.1*G305+2135)/100)*0.5</f>
        <v>1.82255031269953</v>
      </c>
      <c r="AU305" s="169" t="n">
        <f aca="false">(0.75*AT305-AT305)</f>
        <v>-0.455637578174882</v>
      </c>
      <c r="AV305" s="166" t="n">
        <f aca="false">AT305/0.5*1.25-AT305</f>
        <v>2.73382546904929</v>
      </c>
      <c r="AW305" s="168" t="n">
        <f aca="false">IF(L305&lt;15,(15*L305+375)/100,(-4.71*L305+670.65)/100)*0.5</f>
        <v>2.529</v>
      </c>
      <c r="AX305" s="166" t="n">
        <f aca="false">0.75*AW305-AW305</f>
        <v>-0.63225</v>
      </c>
      <c r="AY305" s="166" t="n">
        <f aca="false">AW305/0.5*1.25-AW305</f>
        <v>3.7935</v>
      </c>
      <c r="AZ305" s="167" t="n">
        <v>0.5</v>
      </c>
      <c r="BA305" s="74"/>
      <c r="BZ305" s="43" t="n">
        <v>45170</v>
      </c>
      <c r="CA305" s="0" t="n">
        <v>35</v>
      </c>
      <c r="CB305" s="63" t="n">
        <v>35</v>
      </c>
      <c r="CC305" s="63" t="n">
        <v>35</v>
      </c>
      <c r="CD305" s="63" t="n">
        <v>35</v>
      </c>
      <c r="CE305" s="63" t="n">
        <v>1</v>
      </c>
    </row>
    <row r="306" customFormat="false" ht="12.75" hidden="false" customHeight="false" outlineLevel="0" collapsed="false">
      <c r="A306" s="0" t="str">
        <f aca="true">IF(ISERROR(MATCH(D306,iRefDt,0)),"",MATCH(D306,iRefDt,0))</f>
        <v/>
      </c>
      <c r="B306" s="92" t="n">
        <f aca="false">MATCH(YEAR(D306),iSpreads)</f>
        <v>20</v>
      </c>
      <c r="C306" s="0" t="n">
        <f aca="false">MONTH(D306)</f>
        <v>10</v>
      </c>
      <c r="D306" s="93" t="n">
        <f aca="false">DATE(YEAR(D305),MONTH(D305)+1,1)</f>
        <v>45200</v>
      </c>
      <c r="E306" s="94" t="n">
        <f aca="false">VLOOKUP($D306,tblPriorPrice,2)</f>
        <v>29</v>
      </c>
      <c r="F306" s="190" t="n">
        <f aca="false">G306-E306</f>
        <v>8</v>
      </c>
      <c r="G306" s="190" t="n">
        <f aca="true">G294+OFFSET($CG$4,$B306,$C306)</f>
        <v>37</v>
      </c>
      <c r="H306" s="96" t="n">
        <f aca="true">G306+OFFSET($CU$4,$B306,$C306)</f>
        <v>32</v>
      </c>
      <c r="I306" s="96" t="n">
        <f aca="true">G306+OFFSET($DI$4,$B306,$C306)</f>
        <v>71</v>
      </c>
      <c r="J306" s="94" t="n">
        <f aca="false">VLOOKUP($D306,tblPriorPrice,3)</f>
        <v>29</v>
      </c>
      <c r="K306" s="190" t="n">
        <f aca="false">L306-J306</f>
        <v>8</v>
      </c>
      <c r="L306" s="190" t="n">
        <f aca="true">L294+OFFSET($CG$27,$B306,$C306)</f>
        <v>37</v>
      </c>
      <c r="M306" s="96" t="n">
        <f aca="true">$L306+OFFSET($CU$27,$B306,$C306)</f>
        <v>32</v>
      </c>
      <c r="N306" s="97" t="n">
        <f aca="true">$L306+OFFSET($DI$27,$B306,$C306)</f>
        <v>61</v>
      </c>
      <c r="O306" s="59" t="n">
        <f aca="true">IF($A306="",0,INDEX(tblPosn,$A306,2))</f>
        <v>0</v>
      </c>
      <c r="P306" s="59" t="n">
        <f aca="true">IF($A306="",0,INDEX(tblPosn,$A306,3))</f>
        <v>0</v>
      </c>
      <c r="Q306" s="59" t="n">
        <f aca="true">IF($A306="",0,INDEX(tblPosn,$A306,4))</f>
        <v>0</v>
      </c>
      <c r="R306" s="59" t="n">
        <f aca="true">IF($A306="",0,INDEX(tblPosn,$A306,5))</f>
        <v>0</v>
      </c>
      <c r="V306" s="161" t="n">
        <f aca="false">D306</f>
        <v>45200</v>
      </c>
      <c r="W306" s="94" t="n">
        <f aca="false">VLOOKUP($D306,tblPriorPrice,4)</f>
        <v>29</v>
      </c>
      <c r="X306" s="95" t="n">
        <f aca="false">Y306-W306</f>
        <v>8</v>
      </c>
      <c r="Y306" s="191" t="n">
        <f aca="true">Y294+OFFSET($CG$50,$B306,$C306)</f>
        <v>37</v>
      </c>
      <c r="Z306" s="96" t="n">
        <f aca="true">Y306+OFFSET($CU$51,$B306,$C306)</f>
        <v>37</v>
      </c>
      <c r="AA306" s="177" t="n">
        <f aca="true">Y306+OFFSET($DI$51,$B306,$C306)</f>
        <v>37</v>
      </c>
      <c r="AB306" s="94" t="n">
        <f aca="false">VLOOKUP($D306,tblPriorPrice,5)</f>
        <v>29</v>
      </c>
      <c r="AC306" s="190" t="n">
        <f aca="false">AD306-AB306</f>
        <v>8</v>
      </c>
      <c r="AD306" s="191" t="n">
        <f aca="true">AD294+OFFSET($CG$73,$B306,$C306)</f>
        <v>37</v>
      </c>
      <c r="AE306" s="96" t="n">
        <f aca="true">AD306+OFFSET($CU$74,$B306,$C306)</f>
        <v>37</v>
      </c>
      <c r="AF306" s="177" t="n">
        <f aca="true">AD306+OFFSET($DI$74,$B306,$C306)</f>
        <v>37</v>
      </c>
      <c r="AG306" s="94" t="n">
        <f aca="false">VLOOKUP($D306,tblPriorPrice,6)</f>
        <v>1</v>
      </c>
      <c r="AH306" s="190" t="n">
        <f aca="false">AI306-AG306</f>
        <v>0</v>
      </c>
      <c r="AI306" s="191" t="n">
        <f aca="true">AI294+OFFSET($CG$96,$B306,$C306)</f>
        <v>1</v>
      </c>
      <c r="AJ306" s="96" t="n">
        <f aca="true">AI306+OFFSET($CU$96,$B306,$C306)</f>
        <v>1</v>
      </c>
      <c r="AK306" s="97" t="n">
        <f aca="true">AI306+OFFSET($DI$96,$B306,$C306)</f>
        <v>1</v>
      </c>
      <c r="AL306" s="178" t="n">
        <v>74</v>
      </c>
      <c r="AM306" s="165" t="n">
        <v>0.4</v>
      </c>
      <c r="AN306" s="167" t="n">
        <f aca="false">'[3]Pricing Summary'!$AM284</f>
        <v>0</v>
      </c>
      <c r="AO306" s="167" t="n">
        <f aca="false">0.9*AN306</f>
        <v>0</v>
      </c>
      <c r="AP306" s="166" t="n">
        <f aca="false">1.5*AN306</f>
        <v>0</v>
      </c>
      <c r="AQ306" s="167" t="n">
        <f aca="false">AN306</f>
        <v>0</v>
      </c>
      <c r="AR306" s="166" t="n">
        <f aca="false">0.8*AQ306</f>
        <v>0</v>
      </c>
      <c r="AS306" s="166" t="n">
        <f aca="false">1.2*AQ306</f>
        <v>0</v>
      </c>
      <c r="AT306" s="169" t="n">
        <f aca="false">IF(G306&lt;110,17.94063*(LN(G306/100))+6.727568*(LN(G306/100)^2)+15.06494,(-4.1*G306+2135)/100)*0.5</f>
        <v>1.93894082389981</v>
      </c>
      <c r="AU306" s="169" t="n">
        <f aca="false">(0.75*AT306-AT306)</f>
        <v>-0.484735205974953</v>
      </c>
      <c r="AV306" s="166" t="n">
        <f aca="false">AT306/0.5*1.25-AT306</f>
        <v>2.90841123584972</v>
      </c>
      <c r="AW306" s="168" t="n">
        <f aca="false">IF(L306&lt;15,(15*L306+375)/100,(-4.71*L306+670.65)/100)*0.5</f>
        <v>2.4819</v>
      </c>
      <c r="AX306" s="166" t="n">
        <f aca="false">0.75*AW306-AW306</f>
        <v>-0.620475</v>
      </c>
      <c r="AY306" s="166" t="n">
        <f aca="false">AW306/0.5*1.25-AW306</f>
        <v>3.72285</v>
      </c>
      <c r="AZ306" s="167" t="n">
        <v>0.5</v>
      </c>
      <c r="BA306" s="74"/>
      <c r="BZ306" s="43" t="n">
        <v>45200</v>
      </c>
      <c r="CA306" s="0" t="n">
        <v>37</v>
      </c>
      <c r="CB306" s="63" t="n">
        <v>37</v>
      </c>
      <c r="CC306" s="63" t="n">
        <v>37</v>
      </c>
      <c r="CD306" s="63" t="n">
        <v>37</v>
      </c>
      <c r="CE306" s="63" t="n">
        <v>1</v>
      </c>
    </row>
    <row r="307" customFormat="false" ht="12.75" hidden="false" customHeight="false" outlineLevel="0" collapsed="false">
      <c r="A307" s="0" t="str">
        <f aca="true">IF(ISERROR(MATCH(D307,iRefDt,0)),"",MATCH(D307,iRefDt,0))</f>
        <v/>
      </c>
      <c r="B307" s="92" t="n">
        <f aca="false">MATCH(YEAR(D307),iSpreads)</f>
        <v>20</v>
      </c>
      <c r="C307" s="0" t="n">
        <f aca="false">MONTH(D307)</f>
        <v>11</v>
      </c>
      <c r="D307" s="93" t="n">
        <f aca="false">DATE(YEAR(D306),MONTH(D306)+1,1)</f>
        <v>45231</v>
      </c>
      <c r="E307" s="94" t="n">
        <f aca="false">VLOOKUP($D307,tblPriorPrice,2)</f>
        <v>29</v>
      </c>
      <c r="F307" s="190" t="n">
        <f aca="false">G307-E307</f>
        <v>2</v>
      </c>
      <c r="G307" s="190" t="n">
        <f aca="true">G295+OFFSET($CG$4,$B307,$C307)</f>
        <v>31</v>
      </c>
      <c r="H307" s="96" t="n">
        <f aca="true">G307+OFFSET($CU$4,$B307,$C307)</f>
        <v>26</v>
      </c>
      <c r="I307" s="96" t="n">
        <f aca="true">G307+OFFSET($DI$4,$B307,$C307)</f>
        <v>65</v>
      </c>
      <c r="J307" s="94" t="n">
        <f aca="false">VLOOKUP($D307,tblPriorPrice,3)</f>
        <v>29</v>
      </c>
      <c r="K307" s="190" t="n">
        <f aca="false">L307-J307</f>
        <v>2</v>
      </c>
      <c r="L307" s="190" t="n">
        <f aca="true">L295+OFFSET($CG$27,$B307,$C307)</f>
        <v>31</v>
      </c>
      <c r="M307" s="96" t="n">
        <f aca="true">$L307+OFFSET($CU$27,$B307,$C307)</f>
        <v>26</v>
      </c>
      <c r="N307" s="97" t="n">
        <f aca="true">$L307+OFFSET($DI$27,$B307,$C307)</f>
        <v>55</v>
      </c>
      <c r="O307" s="59" t="n">
        <f aca="true">IF($A307="",0,INDEX(tblPosn,$A307,2))</f>
        <v>0</v>
      </c>
      <c r="P307" s="59" t="n">
        <f aca="true">IF($A307="",0,INDEX(tblPosn,$A307,3))</f>
        <v>0</v>
      </c>
      <c r="Q307" s="59" t="n">
        <f aca="true">IF($A307="",0,INDEX(tblPosn,$A307,4))</f>
        <v>0</v>
      </c>
      <c r="R307" s="59" t="n">
        <f aca="true">IF($A307="",0,INDEX(tblPosn,$A307,5))</f>
        <v>0</v>
      </c>
      <c r="V307" s="161" t="n">
        <f aca="false">D307</f>
        <v>45231</v>
      </c>
      <c r="W307" s="94" t="n">
        <f aca="false">VLOOKUP($D307,tblPriorPrice,4)</f>
        <v>29</v>
      </c>
      <c r="X307" s="95" t="n">
        <f aca="false">Y307-W307</f>
        <v>2</v>
      </c>
      <c r="Y307" s="191" t="n">
        <f aca="true">Y295+OFFSET($CG$50,$B307,$C307)</f>
        <v>31</v>
      </c>
      <c r="Z307" s="96" t="n">
        <f aca="true">Y307+OFFSET($CU$51,$B307,$C307)</f>
        <v>31</v>
      </c>
      <c r="AA307" s="177" t="n">
        <f aca="true">Y307+OFFSET($DI$51,$B307,$C307)</f>
        <v>31</v>
      </c>
      <c r="AB307" s="94" t="n">
        <f aca="false">VLOOKUP($D307,tblPriorPrice,5)</f>
        <v>29</v>
      </c>
      <c r="AC307" s="190" t="n">
        <f aca="false">AD307-AB307</f>
        <v>2</v>
      </c>
      <c r="AD307" s="191" t="n">
        <f aca="true">AD295+OFFSET($CG$73,$B307,$C307)</f>
        <v>31</v>
      </c>
      <c r="AE307" s="96" t="n">
        <f aca="true">AD307+OFFSET($CU$74,$B307,$C307)</f>
        <v>31</v>
      </c>
      <c r="AF307" s="177" t="n">
        <f aca="true">AD307+OFFSET($DI$74,$B307,$C307)</f>
        <v>31</v>
      </c>
      <c r="AG307" s="94" t="n">
        <f aca="false">VLOOKUP($D307,tblPriorPrice,6)</f>
        <v>1</v>
      </c>
      <c r="AH307" s="190" t="n">
        <f aca="false">AI307-AG307</f>
        <v>0</v>
      </c>
      <c r="AI307" s="191" t="n">
        <f aca="true">AI295+OFFSET($CG$96,$B307,$C307)</f>
        <v>1</v>
      </c>
      <c r="AJ307" s="96" t="n">
        <f aca="true">AI307+OFFSET($CU$96,$B307,$C307)</f>
        <v>1</v>
      </c>
      <c r="AK307" s="97" t="n">
        <f aca="true">AI307+OFFSET($DI$96,$B307,$C307)</f>
        <v>1</v>
      </c>
      <c r="AL307" s="178" t="n">
        <v>74</v>
      </c>
      <c r="AM307" s="165" t="n">
        <v>0.4</v>
      </c>
      <c r="AN307" s="167" t="n">
        <f aca="false">'[3]Pricing Summary'!$AM285</f>
        <v>0</v>
      </c>
      <c r="AO307" s="167" t="n">
        <f aca="false">0.9*AN307</f>
        <v>0</v>
      </c>
      <c r="AP307" s="166" t="n">
        <f aca="false">1.5*AN307</f>
        <v>0</v>
      </c>
      <c r="AQ307" s="167" t="n">
        <f aca="false">AN307</f>
        <v>0</v>
      </c>
      <c r="AR307" s="166" t="n">
        <f aca="false">0.8*AQ307</f>
        <v>0</v>
      </c>
      <c r="AS307" s="166" t="n">
        <f aca="false">1.2*AQ307</f>
        <v>0</v>
      </c>
      <c r="AT307" s="169" t="n">
        <f aca="false">IF(G307&lt;110,17.94063*(LN(G307/100))+6.727568*(LN(G307/100)^2)+15.06494,(-4.1*G307+2135)/100)*0.5</f>
        <v>1.64058990686036</v>
      </c>
      <c r="AU307" s="169" t="n">
        <f aca="false">(0.75*AT307-AT307)</f>
        <v>-0.410147476715089</v>
      </c>
      <c r="AV307" s="166" t="n">
        <f aca="false">AT307/0.5*1.25-AT307</f>
        <v>2.46088486029054</v>
      </c>
      <c r="AW307" s="168" t="n">
        <f aca="false">IF(L307&lt;15,(15*L307+375)/100,(-4.71*L307+670.65)/100)*0.5</f>
        <v>2.6232</v>
      </c>
      <c r="AX307" s="166" t="n">
        <f aca="false">0.75*AW307-AW307</f>
        <v>-0.6558</v>
      </c>
      <c r="AY307" s="166" t="n">
        <f aca="false">AW307/0.5*1.25-AW307</f>
        <v>3.9348</v>
      </c>
      <c r="AZ307" s="167" t="n">
        <v>0.5</v>
      </c>
      <c r="BA307" s="74"/>
      <c r="BZ307" s="43" t="n">
        <v>45231</v>
      </c>
      <c r="CA307" s="0" t="n">
        <v>31</v>
      </c>
      <c r="CB307" s="63" t="n">
        <v>31</v>
      </c>
      <c r="CC307" s="63" t="n">
        <v>31</v>
      </c>
      <c r="CD307" s="63" t="n">
        <v>31</v>
      </c>
      <c r="CE307" s="63" t="n">
        <v>1</v>
      </c>
    </row>
    <row r="308" customFormat="false" ht="12.75" hidden="false" customHeight="false" outlineLevel="0" collapsed="false">
      <c r="A308" s="0" t="str">
        <f aca="true">IF(ISERROR(MATCH(D308,iRefDt,0)),"",MATCH(D308,iRefDt,0))</f>
        <v/>
      </c>
      <c r="B308" s="92" t="n">
        <f aca="false">MATCH(YEAR(D308),iSpreads)</f>
        <v>20</v>
      </c>
      <c r="C308" s="0" t="n">
        <f aca="false">MONTH(D308)</f>
        <v>12</v>
      </c>
      <c r="D308" s="93" t="n">
        <f aca="false">DATE(YEAR(D307),MONTH(D307)+1,1)</f>
        <v>45261</v>
      </c>
      <c r="E308" s="94" t="n">
        <f aca="false">VLOOKUP($D308,tblPriorPrice,2)</f>
        <v>29</v>
      </c>
      <c r="F308" s="190" t="n">
        <f aca="false">G308-E308</f>
        <v>3</v>
      </c>
      <c r="G308" s="190" t="n">
        <f aca="true">G296+OFFSET($CG$4,$B308,$C308)</f>
        <v>32</v>
      </c>
      <c r="H308" s="96" t="n">
        <f aca="true">G308+OFFSET($CU$4,$B308,$C308)</f>
        <v>27</v>
      </c>
      <c r="I308" s="96" t="n">
        <f aca="true">G308+OFFSET($DI$4,$B308,$C308)</f>
        <v>66</v>
      </c>
      <c r="J308" s="94" t="n">
        <f aca="false">VLOOKUP($D308,tblPriorPrice,3)</f>
        <v>29</v>
      </c>
      <c r="K308" s="190" t="n">
        <f aca="false">L308-J308</f>
        <v>0</v>
      </c>
      <c r="L308" s="190" t="n">
        <f aca="true">L296+OFFSET($CG$27,$B308,$C308)</f>
        <v>29</v>
      </c>
      <c r="M308" s="96" t="n">
        <f aca="true">$L308+OFFSET($CU$27,$B308,$C308)</f>
        <v>24</v>
      </c>
      <c r="N308" s="97" t="n">
        <f aca="true">$L308+OFFSET($DI$27,$B308,$C308)</f>
        <v>53</v>
      </c>
      <c r="O308" s="59" t="n">
        <f aca="true">IF($A308="",0,INDEX(tblPosn,$A308,2))</f>
        <v>0</v>
      </c>
      <c r="P308" s="59" t="n">
        <f aca="true">IF($A308="",0,INDEX(tblPosn,$A308,3))</f>
        <v>0</v>
      </c>
      <c r="Q308" s="59" t="n">
        <f aca="true">IF($A308="",0,INDEX(tblPosn,$A308,4))</f>
        <v>0</v>
      </c>
      <c r="R308" s="59" t="n">
        <f aca="true">IF($A308="",0,INDEX(tblPosn,$A308,5))</f>
        <v>0</v>
      </c>
      <c r="V308" s="161" t="n">
        <f aca="false">D308</f>
        <v>45261</v>
      </c>
      <c r="W308" s="94" t="n">
        <f aca="false">VLOOKUP($D308,tblPriorPrice,4)</f>
        <v>29</v>
      </c>
      <c r="X308" s="95" t="n">
        <f aca="false">Y308-W308</f>
        <v>0</v>
      </c>
      <c r="Y308" s="191" t="n">
        <f aca="true">Y296+OFFSET($CG$50,$B308,$C308)</f>
        <v>29</v>
      </c>
      <c r="Z308" s="96" t="n">
        <f aca="true">Y308+OFFSET($CU$51,$B308,$C308)</f>
        <v>29</v>
      </c>
      <c r="AA308" s="177" t="n">
        <f aca="true">Y308+OFFSET($DI$51,$B308,$C308)</f>
        <v>29</v>
      </c>
      <c r="AB308" s="94" t="n">
        <f aca="false">VLOOKUP($D308,tblPriorPrice,5)</f>
        <v>29</v>
      </c>
      <c r="AC308" s="190" t="n">
        <f aca="false">AD308-AB308</f>
        <v>0</v>
      </c>
      <c r="AD308" s="191" t="n">
        <f aca="true">AD296+OFFSET($CG$73,$B308,$C308)</f>
        <v>29</v>
      </c>
      <c r="AE308" s="96" t="n">
        <f aca="true">AD308+OFFSET($CU$74,$B308,$C308)</f>
        <v>29</v>
      </c>
      <c r="AF308" s="177" t="n">
        <f aca="true">AD308+OFFSET($DI$74,$B308,$C308)</f>
        <v>29</v>
      </c>
      <c r="AG308" s="94" t="n">
        <f aca="false">VLOOKUP($D308,tblPriorPrice,6)</f>
        <v>1</v>
      </c>
      <c r="AH308" s="190" t="n">
        <f aca="false">AI308-AG308</f>
        <v>0</v>
      </c>
      <c r="AI308" s="191" t="n">
        <f aca="true">AI296+OFFSET($CG$96,$B308,$C308)</f>
        <v>1</v>
      </c>
      <c r="AJ308" s="96" t="n">
        <f aca="true">AI308+OFFSET($CU$96,$B308,$C308)</f>
        <v>1</v>
      </c>
      <c r="AK308" s="97" t="n">
        <f aca="true">AI308+OFFSET($DI$96,$B308,$C308)</f>
        <v>1</v>
      </c>
      <c r="AL308" s="178" t="n">
        <v>74</v>
      </c>
      <c r="AM308" s="165" t="n">
        <v>0.4</v>
      </c>
      <c r="AN308" s="167" t="n">
        <f aca="false">'[3]Pricing Summary'!$AM286</f>
        <v>0</v>
      </c>
      <c r="AO308" s="167" t="n">
        <f aca="false">0.9*AN308</f>
        <v>0</v>
      </c>
      <c r="AP308" s="166" t="n">
        <f aca="false">1.5*AN308</f>
        <v>0</v>
      </c>
      <c r="AQ308" s="167" t="n">
        <f aca="false">AN308</f>
        <v>0</v>
      </c>
      <c r="AR308" s="166" t="n">
        <f aca="false">0.8*AQ308</f>
        <v>0</v>
      </c>
      <c r="AS308" s="166" t="n">
        <f aca="false">1.2*AQ308</f>
        <v>0</v>
      </c>
      <c r="AT308" s="169" t="n">
        <f aca="false">IF(G308&lt;110,17.94063*(LN(G308/100))+6.727568*(LN(G308/100)^2)+15.06494,(-4.1*G308+2135)/100)*0.5</f>
        <v>1.67862159684781</v>
      </c>
      <c r="AU308" s="169" t="n">
        <f aca="false">(0.75*AT308-AT308)</f>
        <v>-0.419655399211954</v>
      </c>
      <c r="AV308" s="166" t="n">
        <f aca="false">AT308/0.5*1.25-AT308</f>
        <v>2.51793239527172</v>
      </c>
      <c r="AW308" s="168" t="n">
        <f aca="false">IF(L308&lt;15,(15*L308+375)/100,(-4.71*L308+670.65)/100)*0.5</f>
        <v>2.6703</v>
      </c>
      <c r="AX308" s="166" t="n">
        <f aca="false">0.75*AW308-AW308</f>
        <v>-0.667575</v>
      </c>
      <c r="AY308" s="166" t="n">
        <f aca="false">AW308/0.5*1.25-AW308</f>
        <v>4.00545</v>
      </c>
      <c r="AZ308" s="167" t="n">
        <v>0.5</v>
      </c>
      <c r="BA308" s="74"/>
      <c r="BZ308" s="43" t="n">
        <v>45261</v>
      </c>
      <c r="CA308" s="0" t="n">
        <v>32</v>
      </c>
      <c r="CB308" s="63" t="n">
        <v>29</v>
      </c>
      <c r="CC308" s="63" t="n">
        <v>29</v>
      </c>
      <c r="CD308" s="63" t="n">
        <v>29</v>
      </c>
      <c r="CE308" s="63" t="n">
        <v>1</v>
      </c>
    </row>
    <row r="309" customFormat="false" ht="12.75" hidden="false" customHeight="false" outlineLevel="0" collapsed="false">
      <c r="A309" s="0" t="str">
        <f aca="true">IF(ISERROR(MATCH(D309,iRefDt,0)),"",MATCH(D309,iRefDt,0))</f>
        <v/>
      </c>
      <c r="B309" s="92" t="n">
        <f aca="false">MATCH(YEAR(D309),iSpreads)</f>
        <v>20</v>
      </c>
      <c r="C309" s="0" t="n">
        <f aca="false">MONTH(D309)</f>
        <v>1</v>
      </c>
      <c r="D309" s="93" t="n">
        <f aca="false">DATE(YEAR(D308),MONTH(D308)+1,1)</f>
        <v>45292</v>
      </c>
      <c r="E309" s="94" t="n">
        <f aca="false">VLOOKUP($D309,tblPriorPrice,2)</f>
        <v>29</v>
      </c>
      <c r="F309" s="190" t="n">
        <f aca="false">G309-E309</f>
        <v>4</v>
      </c>
      <c r="G309" s="190" t="n">
        <f aca="true">G297+OFFSET($CG$4,$B309,$C309)</f>
        <v>33</v>
      </c>
      <c r="H309" s="96" t="n">
        <f aca="true">G309+OFFSET($CU$4,$B309,$C309)</f>
        <v>28</v>
      </c>
      <c r="I309" s="96" t="n">
        <f aca="true">G309+OFFSET($DI$4,$B309,$C309)</f>
        <v>67</v>
      </c>
      <c r="J309" s="94" t="n">
        <f aca="false">VLOOKUP($D309,tblPriorPrice,3)</f>
        <v>29</v>
      </c>
      <c r="K309" s="190" t="n">
        <f aca="false">L309-J309</f>
        <v>2</v>
      </c>
      <c r="L309" s="190" t="n">
        <f aca="true">L297+OFFSET($CG$27,$B309,$C309)</f>
        <v>31</v>
      </c>
      <c r="M309" s="96" t="n">
        <f aca="true">$L309+OFFSET($CU$27,$B309,$C309)</f>
        <v>26</v>
      </c>
      <c r="N309" s="97" t="n">
        <f aca="true">$L309+OFFSET($DI$27,$B309,$C309)</f>
        <v>55</v>
      </c>
      <c r="O309" s="59" t="n">
        <f aca="true">IF($A309="",0,INDEX(tblPosn,$A309,2))</f>
        <v>0</v>
      </c>
      <c r="P309" s="59" t="n">
        <f aca="true">IF($A309="",0,INDEX(tblPosn,$A309,3))</f>
        <v>0</v>
      </c>
      <c r="Q309" s="59" t="n">
        <f aca="true">IF($A309="",0,INDEX(tblPosn,$A309,4))</f>
        <v>0</v>
      </c>
      <c r="R309" s="59" t="n">
        <f aca="true">IF($A309="",0,INDEX(tblPosn,$A309,5))</f>
        <v>0</v>
      </c>
      <c r="V309" s="161" t="n">
        <f aca="false">D309</f>
        <v>45292</v>
      </c>
      <c r="W309" s="94" t="n">
        <f aca="false">VLOOKUP($D309,tblPriorPrice,4)</f>
        <v>29</v>
      </c>
      <c r="X309" s="95" t="n">
        <f aca="false">Y309-W309</f>
        <v>2</v>
      </c>
      <c r="Y309" s="191" t="n">
        <f aca="true">Y297+OFFSET($CG$50,$B309,$C309)</f>
        <v>31</v>
      </c>
      <c r="Z309" s="96" t="n">
        <f aca="true">Y309+OFFSET($CU$51,$B309,$C309)</f>
        <v>31</v>
      </c>
      <c r="AA309" s="177" t="n">
        <f aca="true">Y309+OFFSET($DI$51,$B309,$C309)</f>
        <v>31</v>
      </c>
      <c r="AB309" s="94" t="n">
        <f aca="false">VLOOKUP($D309,tblPriorPrice,5)</f>
        <v>29</v>
      </c>
      <c r="AC309" s="190" t="n">
        <f aca="false">AD309-AB309</f>
        <v>2</v>
      </c>
      <c r="AD309" s="191" t="n">
        <f aca="true">AD297+OFFSET($CG$73,$B309,$C309)</f>
        <v>31</v>
      </c>
      <c r="AE309" s="96" t="n">
        <f aca="true">AD309+OFFSET($CU$74,$B309,$C309)</f>
        <v>31</v>
      </c>
      <c r="AF309" s="177" t="n">
        <f aca="true">AD309+OFFSET($DI$74,$B309,$C309)</f>
        <v>31</v>
      </c>
      <c r="AG309" s="94" t="n">
        <f aca="false">VLOOKUP($D309,tblPriorPrice,6)</f>
        <v>1</v>
      </c>
      <c r="AH309" s="190" t="n">
        <f aca="false">AI309-AG309</f>
        <v>0</v>
      </c>
      <c r="AI309" s="191" t="n">
        <f aca="true">AI297+OFFSET($CG$96,$B309,$C309)</f>
        <v>1</v>
      </c>
      <c r="AJ309" s="96" t="n">
        <f aca="true">AI309+OFFSET($CU$96,$B309,$C309)</f>
        <v>1</v>
      </c>
      <c r="AK309" s="97" t="n">
        <f aca="true">AI309+OFFSET($DI$96,$B309,$C309)</f>
        <v>1</v>
      </c>
      <c r="AL309" s="178" t="n">
        <v>74</v>
      </c>
      <c r="AM309" s="165" t="n">
        <v>0.4</v>
      </c>
      <c r="AN309" s="167" t="n">
        <f aca="false">'[3]Pricing Summary'!$AM287</f>
        <v>0</v>
      </c>
      <c r="AO309" s="167" t="n">
        <f aca="false">0.9*AN309</f>
        <v>0</v>
      </c>
      <c r="AP309" s="166" t="n">
        <f aca="false">1.5*AN309</f>
        <v>0</v>
      </c>
      <c r="AQ309" s="167" t="n">
        <f aca="false">AN309</f>
        <v>0</v>
      </c>
      <c r="AR309" s="166" t="n">
        <f aca="false">0.8*AQ309</f>
        <v>0</v>
      </c>
      <c r="AS309" s="166" t="n">
        <f aca="false">1.2*AQ309</f>
        <v>0</v>
      </c>
      <c r="AT309" s="169" t="n">
        <f aca="false">IF(G309&lt;110,17.94063*(LN(G309/100))+6.727568*(LN(G309/100)^2)+15.06494,(-4.1*G309+2135)/100)*0.5</f>
        <v>1.72195432632388</v>
      </c>
      <c r="AU309" s="169" t="n">
        <f aca="false">(0.75*AT309-AT309)</f>
        <v>-0.43048858158097</v>
      </c>
      <c r="AV309" s="166" t="n">
        <f aca="false">AT309/0.5*1.25-AT309</f>
        <v>2.58293148948582</v>
      </c>
      <c r="AW309" s="168" t="n">
        <f aca="false">IF(L309&lt;15,(15*L309+375)/100,(-4.71*L309+670.65)/100)*0.5</f>
        <v>2.6232</v>
      </c>
      <c r="AX309" s="166" t="n">
        <f aca="false">0.75*AW309-AW309</f>
        <v>-0.6558</v>
      </c>
      <c r="AY309" s="166" t="n">
        <f aca="false">AW309/0.5*1.25-AW309</f>
        <v>3.9348</v>
      </c>
      <c r="AZ309" s="167" t="n">
        <v>0.5</v>
      </c>
      <c r="BA309" s="74"/>
      <c r="BZ309" s="43" t="n">
        <v>45292</v>
      </c>
      <c r="CA309" s="0" t="n">
        <v>33</v>
      </c>
      <c r="CB309" s="63" t="n">
        <v>31</v>
      </c>
      <c r="CC309" s="63" t="n">
        <v>31</v>
      </c>
      <c r="CD309" s="63" t="n">
        <v>31</v>
      </c>
      <c r="CE309" s="63" t="n">
        <v>1</v>
      </c>
    </row>
    <row r="310" customFormat="false" ht="12.75" hidden="false" customHeight="false" outlineLevel="0" collapsed="false">
      <c r="A310" s="0" t="str">
        <f aca="true">IF(ISERROR(MATCH(D310,iRefDt,0)),"",MATCH(D310,iRefDt,0))</f>
        <v/>
      </c>
      <c r="B310" s="92" t="n">
        <f aca="false">MATCH(YEAR(D310),iSpreads)</f>
        <v>20</v>
      </c>
      <c r="C310" s="0" t="n">
        <f aca="false">MONTH(D310)</f>
        <v>2</v>
      </c>
      <c r="D310" s="93" t="n">
        <f aca="false">DATE(YEAR(D309),MONTH(D309)+1,1)</f>
        <v>45323</v>
      </c>
      <c r="E310" s="94" t="n">
        <f aca="false">VLOOKUP($D310,tblPriorPrice,2)</f>
        <v>29</v>
      </c>
      <c r="F310" s="190" t="n">
        <f aca="false">G310-E310</f>
        <v>1</v>
      </c>
      <c r="G310" s="190" t="n">
        <f aca="true">G298+OFFSET($CG$4,$B310,$C310)</f>
        <v>30</v>
      </c>
      <c r="H310" s="96" t="n">
        <f aca="true">G310+OFFSET($CU$4,$B310,$C310)</f>
        <v>25</v>
      </c>
      <c r="I310" s="96" t="n">
        <f aca="true">G310+OFFSET($DI$4,$B310,$C310)</f>
        <v>64</v>
      </c>
      <c r="J310" s="94" t="n">
        <f aca="false">VLOOKUP($D310,tblPriorPrice,3)</f>
        <v>29</v>
      </c>
      <c r="K310" s="190" t="n">
        <f aca="false">L310-J310</f>
        <v>1</v>
      </c>
      <c r="L310" s="190" t="n">
        <f aca="true">L298+OFFSET($CG$27,$B310,$C310)</f>
        <v>30</v>
      </c>
      <c r="M310" s="96" t="n">
        <f aca="true">$L310+OFFSET($CU$27,$B310,$C310)</f>
        <v>25</v>
      </c>
      <c r="N310" s="97" t="n">
        <f aca="true">$L310+OFFSET($DI$27,$B310,$C310)</f>
        <v>54</v>
      </c>
      <c r="O310" s="59" t="n">
        <f aca="true">IF($A310="",0,INDEX(tblPosn,$A310,2))</f>
        <v>0</v>
      </c>
      <c r="P310" s="59" t="n">
        <f aca="true">IF($A310="",0,INDEX(tblPosn,$A310,3))</f>
        <v>0</v>
      </c>
      <c r="Q310" s="59" t="n">
        <f aca="true">IF($A310="",0,INDEX(tblPosn,$A310,4))</f>
        <v>0</v>
      </c>
      <c r="R310" s="59" t="n">
        <f aca="true">IF($A310="",0,INDEX(tblPosn,$A310,5))</f>
        <v>0</v>
      </c>
      <c r="V310" s="161" t="n">
        <f aca="false">D310</f>
        <v>45323</v>
      </c>
      <c r="W310" s="94" t="n">
        <f aca="false">VLOOKUP($D310,tblPriorPrice,4)</f>
        <v>29</v>
      </c>
      <c r="X310" s="95" t="n">
        <f aca="false">Y310-W310</f>
        <v>1</v>
      </c>
      <c r="Y310" s="191" t="n">
        <f aca="true">Y298+OFFSET($CG$50,$B310,$C310)</f>
        <v>30</v>
      </c>
      <c r="Z310" s="96" t="n">
        <f aca="true">Y310+OFFSET($CU$51,$B310,$C310)</f>
        <v>30</v>
      </c>
      <c r="AA310" s="177" t="n">
        <f aca="true">Y310+OFFSET($DI$51,$B310,$C310)</f>
        <v>30</v>
      </c>
      <c r="AB310" s="94" t="n">
        <f aca="false">VLOOKUP($D310,tblPriorPrice,5)</f>
        <v>29</v>
      </c>
      <c r="AC310" s="190" t="n">
        <f aca="false">AD310-AB310</f>
        <v>1</v>
      </c>
      <c r="AD310" s="191" t="n">
        <f aca="true">AD298+OFFSET($CG$73,$B310,$C310)</f>
        <v>30</v>
      </c>
      <c r="AE310" s="96" t="n">
        <f aca="true">AD310+OFFSET($CU$74,$B310,$C310)</f>
        <v>30</v>
      </c>
      <c r="AF310" s="177" t="n">
        <f aca="true">AD310+OFFSET($DI$74,$B310,$C310)</f>
        <v>30</v>
      </c>
      <c r="AG310" s="94" t="n">
        <f aca="false">VLOOKUP($D310,tblPriorPrice,6)</f>
        <v>1</v>
      </c>
      <c r="AH310" s="190" t="n">
        <f aca="false">AI310-AG310</f>
        <v>0</v>
      </c>
      <c r="AI310" s="191" t="n">
        <f aca="true">AI298+OFFSET($CG$96,$B310,$C310)</f>
        <v>1</v>
      </c>
      <c r="AJ310" s="96" t="n">
        <f aca="true">AI310+OFFSET($CU$96,$B310,$C310)</f>
        <v>1</v>
      </c>
      <c r="AK310" s="97" t="n">
        <f aca="true">AI310+OFFSET($DI$96,$B310,$C310)</f>
        <v>1</v>
      </c>
      <c r="AL310" s="178" t="n">
        <v>74</v>
      </c>
      <c r="AM310" s="165" t="n">
        <v>0.4</v>
      </c>
      <c r="AN310" s="167" t="n">
        <f aca="false">'[3]Pricing Summary'!$AM288</f>
        <v>0</v>
      </c>
      <c r="AO310" s="167" t="n">
        <f aca="false">0.9*AN310</f>
        <v>0</v>
      </c>
      <c r="AP310" s="166" t="n">
        <f aca="false">1.5*AN310</f>
        <v>0</v>
      </c>
      <c r="AQ310" s="167" t="n">
        <f aca="false">AN310</f>
        <v>0</v>
      </c>
      <c r="AR310" s="166" t="n">
        <f aca="false">0.8*AQ310</f>
        <v>0</v>
      </c>
      <c r="AS310" s="166" t="n">
        <f aca="false">1.2*AQ310</f>
        <v>0</v>
      </c>
      <c r="AT310" s="169" t="n">
        <f aca="false">IF(G310&lt;110,17.94063*(LN(G310/100))+6.727568*(LN(G310/100)^2)+15.06494,(-4.1*G310+2135)/100)*0.5</f>
        <v>1.60842951845599</v>
      </c>
      <c r="AU310" s="169" t="n">
        <f aca="false">(0.75*AT310-AT310)</f>
        <v>-0.402107379613998</v>
      </c>
      <c r="AV310" s="166" t="n">
        <f aca="false">AT310/0.5*1.25-AT310</f>
        <v>2.41264427768399</v>
      </c>
      <c r="AW310" s="168" t="n">
        <f aca="false">IF(L310&lt;15,(15*L310+375)/100,(-4.71*L310+670.65)/100)*0.5</f>
        <v>2.64675</v>
      </c>
      <c r="AX310" s="166" t="n">
        <f aca="false">0.75*AW310-AW310</f>
        <v>-0.6616875</v>
      </c>
      <c r="AY310" s="166" t="n">
        <f aca="false">AW310/0.5*1.25-AW310</f>
        <v>3.970125</v>
      </c>
      <c r="AZ310" s="167" t="n">
        <v>0.5</v>
      </c>
      <c r="BA310" s="74"/>
      <c r="BZ310" s="43" t="n">
        <v>45323</v>
      </c>
      <c r="CA310" s="0" t="n">
        <v>30</v>
      </c>
      <c r="CB310" s="63" t="n">
        <v>30</v>
      </c>
      <c r="CC310" s="63" t="n">
        <v>30</v>
      </c>
      <c r="CD310" s="63" t="n">
        <v>30</v>
      </c>
      <c r="CE310" s="63" t="n">
        <v>1</v>
      </c>
    </row>
    <row r="311" customFormat="false" ht="12.75" hidden="false" customHeight="false" outlineLevel="0" collapsed="false">
      <c r="A311" s="0" t="str">
        <f aca="true">IF(ISERROR(MATCH(D311,iRefDt,0)),"",MATCH(D311,iRefDt,0))</f>
        <v/>
      </c>
      <c r="B311" s="92" t="n">
        <f aca="false">MATCH(YEAR(D311),iSpreads)</f>
        <v>20</v>
      </c>
      <c r="C311" s="0" t="n">
        <f aca="false">MONTH(D311)</f>
        <v>3</v>
      </c>
      <c r="D311" s="93" t="n">
        <f aca="false">DATE(YEAR(D310),MONTH(D310)+1,1)</f>
        <v>45352</v>
      </c>
      <c r="E311" s="94" t="n">
        <f aca="false">VLOOKUP($D311,tblPriorPrice,2)</f>
        <v>29</v>
      </c>
      <c r="F311" s="190" t="n">
        <f aca="false">G311-E311</f>
        <v>0</v>
      </c>
      <c r="G311" s="190" t="n">
        <f aca="true">G299+OFFSET($CG$4,$B311,$C311)</f>
        <v>29</v>
      </c>
      <c r="H311" s="96" t="n">
        <f aca="true">G311+OFFSET($CU$4,$B311,$C311)</f>
        <v>24</v>
      </c>
      <c r="I311" s="96" t="n">
        <f aca="true">G311+OFFSET($DI$4,$B311,$C311)</f>
        <v>63</v>
      </c>
      <c r="J311" s="94" t="n">
        <f aca="false">VLOOKUP($D311,tblPriorPrice,3)</f>
        <v>29</v>
      </c>
      <c r="K311" s="190" t="n">
        <f aca="false">L311-J311</f>
        <v>0</v>
      </c>
      <c r="L311" s="190" t="n">
        <f aca="true">L299+OFFSET($CG$27,$B311,$C311)</f>
        <v>29</v>
      </c>
      <c r="M311" s="96" t="n">
        <f aca="true">$L311+OFFSET($CU$27,$B311,$C311)</f>
        <v>24</v>
      </c>
      <c r="N311" s="97" t="n">
        <f aca="true">$L311+OFFSET($DI$27,$B311,$C311)</f>
        <v>53</v>
      </c>
      <c r="O311" s="59" t="n">
        <f aca="true">IF($A311="",0,INDEX(tblPosn,$A311,2))</f>
        <v>0</v>
      </c>
      <c r="P311" s="59" t="n">
        <f aca="true">IF($A311="",0,INDEX(tblPosn,$A311,3))</f>
        <v>0</v>
      </c>
      <c r="Q311" s="59" t="n">
        <f aca="true">IF($A311="",0,INDEX(tblPosn,$A311,4))</f>
        <v>0</v>
      </c>
      <c r="R311" s="59" t="n">
        <f aca="true">IF($A311="",0,INDEX(tblPosn,$A311,5))</f>
        <v>0</v>
      </c>
      <c r="V311" s="161" t="n">
        <f aca="false">D311</f>
        <v>45352</v>
      </c>
      <c r="W311" s="94" t="n">
        <f aca="false">VLOOKUP($D311,tblPriorPrice,4)</f>
        <v>29</v>
      </c>
      <c r="X311" s="95" t="n">
        <f aca="false">Y311-W311</f>
        <v>0</v>
      </c>
      <c r="Y311" s="191" t="n">
        <f aca="true">Y299+OFFSET($CG$50,$B311,$C311)</f>
        <v>29</v>
      </c>
      <c r="Z311" s="96" t="n">
        <f aca="true">Y311+OFFSET($CU$51,$B311,$C311)</f>
        <v>29</v>
      </c>
      <c r="AA311" s="177" t="n">
        <f aca="true">Y311+OFFSET($DI$51,$B311,$C311)</f>
        <v>29</v>
      </c>
      <c r="AB311" s="94" t="n">
        <f aca="false">VLOOKUP($D311,tblPriorPrice,5)</f>
        <v>29</v>
      </c>
      <c r="AC311" s="190" t="n">
        <f aca="false">AD311-AB311</f>
        <v>0</v>
      </c>
      <c r="AD311" s="191" t="n">
        <f aca="true">AD299+OFFSET($CG$73,$B311,$C311)</f>
        <v>29</v>
      </c>
      <c r="AE311" s="96" t="n">
        <f aca="true">AD311+OFFSET($CU$74,$B311,$C311)</f>
        <v>29</v>
      </c>
      <c r="AF311" s="177" t="n">
        <f aca="true">AD311+OFFSET($DI$74,$B311,$C311)</f>
        <v>29</v>
      </c>
      <c r="AG311" s="94" t="n">
        <f aca="false">VLOOKUP($D311,tblPriorPrice,6)</f>
        <v>1</v>
      </c>
      <c r="AH311" s="190" t="n">
        <f aca="false">AI311-AG311</f>
        <v>0</v>
      </c>
      <c r="AI311" s="191" t="n">
        <f aca="true">AI299+OFFSET($CG$96,$B311,$C311)</f>
        <v>1</v>
      </c>
      <c r="AJ311" s="96" t="n">
        <f aca="true">AI311+OFFSET($CU$96,$B311,$C311)</f>
        <v>1</v>
      </c>
      <c r="AK311" s="97" t="n">
        <f aca="true">AI311+OFFSET($DI$96,$B311,$C311)</f>
        <v>1</v>
      </c>
      <c r="AL311" s="178" t="n">
        <v>74</v>
      </c>
      <c r="AM311" s="165" t="n">
        <v>0.4</v>
      </c>
      <c r="AN311" s="167" t="n">
        <f aca="false">'[3]Pricing Summary'!$AM289</f>
        <v>0</v>
      </c>
      <c r="AO311" s="167" t="n">
        <f aca="false">0.9*AN311</f>
        <v>0</v>
      </c>
      <c r="AP311" s="166" t="n">
        <f aca="false">1.5*AN311</f>
        <v>0</v>
      </c>
      <c r="AQ311" s="167" t="n">
        <f aca="false">AN311</f>
        <v>0</v>
      </c>
      <c r="AR311" s="166" t="n">
        <f aca="false">0.8*AQ311</f>
        <v>0</v>
      </c>
      <c r="AS311" s="166" t="n">
        <f aca="false">1.2*AQ311</f>
        <v>0</v>
      </c>
      <c r="AT311" s="169" t="n">
        <f aca="false">IF(G311&lt;110,17.94063*(LN(G311/100))+6.727568*(LN(G311/100)^2)+15.06494,(-4.1*G311+2135)/100)*0.5</f>
        <v>1.58278405940532</v>
      </c>
      <c r="AU311" s="169" t="n">
        <f aca="false">(0.75*AT311-AT311)</f>
        <v>-0.395696014851329</v>
      </c>
      <c r="AV311" s="166" t="n">
        <f aca="false">AT311/0.5*1.25-AT311</f>
        <v>2.37417608910797</v>
      </c>
      <c r="AW311" s="168" t="n">
        <f aca="false">IF(L311&lt;15,(15*L311+375)/100,(-4.71*L311+670.65)/100)*0.5</f>
        <v>2.6703</v>
      </c>
      <c r="AX311" s="166" t="n">
        <f aca="false">0.75*AW311-AW311</f>
        <v>-0.667575</v>
      </c>
      <c r="AY311" s="166" t="n">
        <f aca="false">AW311/0.5*1.25-AW311</f>
        <v>4.00545</v>
      </c>
      <c r="AZ311" s="167" t="n">
        <v>0.5</v>
      </c>
      <c r="BA311" s="74"/>
      <c r="BZ311" s="43" t="n">
        <v>45352</v>
      </c>
      <c r="CA311" s="0" t="n">
        <v>29</v>
      </c>
      <c r="CB311" s="63" t="n">
        <v>29</v>
      </c>
      <c r="CC311" s="63" t="n">
        <v>29</v>
      </c>
      <c r="CD311" s="63" t="n">
        <v>29</v>
      </c>
      <c r="CE311" s="63" t="n">
        <v>1</v>
      </c>
    </row>
    <row r="312" customFormat="false" ht="12.75" hidden="false" customHeight="false" outlineLevel="0" collapsed="false">
      <c r="A312" s="0" t="str">
        <f aca="true">IF(ISERROR(MATCH(D312,iRefDt,0)),"",MATCH(D312,iRefDt,0))</f>
        <v/>
      </c>
      <c r="B312" s="92" t="n">
        <f aca="false">MATCH(YEAR(D312),iSpreads)</f>
        <v>20</v>
      </c>
      <c r="C312" s="0" t="n">
        <f aca="false">MONTH(D312)</f>
        <v>4</v>
      </c>
      <c r="D312" s="93" t="n">
        <f aca="false">DATE(YEAR(D311),MONTH(D311)+1,1)</f>
        <v>45383</v>
      </c>
      <c r="E312" s="94" t="n">
        <f aca="false">VLOOKUP($D312,tblPriorPrice,2)</f>
        <v>29</v>
      </c>
      <c r="F312" s="190" t="n">
        <f aca="false">G312-E312</f>
        <v>0</v>
      </c>
      <c r="G312" s="190" t="n">
        <f aca="true">G300+OFFSET($CG$4,$B312,$C312)</f>
        <v>29</v>
      </c>
      <c r="H312" s="96" t="n">
        <f aca="true">G312+OFFSET($CU$4,$B312,$C312)</f>
        <v>24</v>
      </c>
      <c r="I312" s="96" t="n">
        <f aca="true">G312+OFFSET($DI$4,$B312,$C312)</f>
        <v>63</v>
      </c>
      <c r="J312" s="94" t="n">
        <f aca="false">VLOOKUP($D312,tblPriorPrice,3)</f>
        <v>29</v>
      </c>
      <c r="K312" s="190" t="n">
        <f aca="false">L312-J312</f>
        <v>0</v>
      </c>
      <c r="L312" s="190" t="n">
        <f aca="true">L300+OFFSET($CG$27,$B312,$C312)</f>
        <v>29</v>
      </c>
      <c r="M312" s="96" t="n">
        <f aca="true">$L312+OFFSET($CU$27,$B312,$C312)</f>
        <v>24</v>
      </c>
      <c r="N312" s="97" t="n">
        <f aca="true">$L312+OFFSET($DI$27,$B312,$C312)</f>
        <v>53</v>
      </c>
      <c r="O312" s="59" t="n">
        <f aca="true">IF($A312="",0,INDEX(tblPosn,$A312,2))</f>
        <v>0</v>
      </c>
      <c r="P312" s="59" t="n">
        <f aca="true">IF($A312="",0,INDEX(tblPosn,$A312,3))</f>
        <v>0</v>
      </c>
      <c r="Q312" s="59" t="n">
        <f aca="true">IF($A312="",0,INDEX(tblPosn,$A312,4))</f>
        <v>0</v>
      </c>
      <c r="R312" s="59" t="n">
        <f aca="true">IF($A312="",0,INDEX(tblPosn,$A312,5))</f>
        <v>0</v>
      </c>
      <c r="V312" s="161" t="n">
        <f aca="false">D312</f>
        <v>45383</v>
      </c>
      <c r="W312" s="94" t="n">
        <f aca="false">VLOOKUP($D312,tblPriorPrice,4)</f>
        <v>29</v>
      </c>
      <c r="X312" s="95" t="n">
        <f aca="false">Y312-W312</f>
        <v>0</v>
      </c>
      <c r="Y312" s="191" t="n">
        <f aca="true">Y300+OFFSET($CG$50,$B312,$C312)</f>
        <v>29</v>
      </c>
      <c r="Z312" s="96" t="n">
        <f aca="true">Y312+OFFSET($CU$51,$B312,$C312)</f>
        <v>29</v>
      </c>
      <c r="AA312" s="177" t="n">
        <f aca="true">Y312+OFFSET($DI$51,$B312,$C312)</f>
        <v>29</v>
      </c>
      <c r="AB312" s="94" t="n">
        <f aca="false">VLOOKUP($D312,tblPriorPrice,5)</f>
        <v>29</v>
      </c>
      <c r="AC312" s="190" t="n">
        <f aca="false">AD312-AB312</f>
        <v>0</v>
      </c>
      <c r="AD312" s="191" t="n">
        <f aca="true">AD300+OFFSET($CG$73,$B312,$C312)</f>
        <v>29</v>
      </c>
      <c r="AE312" s="96" t="n">
        <f aca="true">AD312+OFFSET($CU$74,$B312,$C312)</f>
        <v>29</v>
      </c>
      <c r="AF312" s="177" t="n">
        <f aca="true">AD312+OFFSET($DI$74,$B312,$C312)</f>
        <v>29</v>
      </c>
      <c r="AG312" s="94" t="n">
        <f aca="false">VLOOKUP($D312,tblPriorPrice,6)</f>
        <v>1</v>
      </c>
      <c r="AH312" s="190" t="n">
        <f aca="false">AI312-AG312</f>
        <v>0</v>
      </c>
      <c r="AI312" s="191" t="n">
        <f aca="true">AI300+OFFSET($CG$96,$B312,$C312)</f>
        <v>1</v>
      </c>
      <c r="AJ312" s="96" t="n">
        <f aca="true">AI312+OFFSET($CU$96,$B312,$C312)</f>
        <v>1</v>
      </c>
      <c r="AK312" s="97" t="n">
        <f aca="true">AI312+OFFSET($DI$96,$B312,$C312)</f>
        <v>1</v>
      </c>
      <c r="AL312" s="178" t="n">
        <v>74</v>
      </c>
      <c r="AM312" s="165" t="n">
        <v>0.4</v>
      </c>
      <c r="AN312" s="167" t="n">
        <f aca="false">'[3]Pricing Summary'!$AM290</f>
        <v>0</v>
      </c>
      <c r="AO312" s="167" t="n">
        <f aca="false">0.9*AN312</f>
        <v>0</v>
      </c>
      <c r="AP312" s="166" t="n">
        <f aca="false">1.5*AN312</f>
        <v>0</v>
      </c>
      <c r="AQ312" s="167" t="n">
        <f aca="false">AN312</f>
        <v>0</v>
      </c>
      <c r="AR312" s="166" t="n">
        <f aca="false">0.8*AQ312</f>
        <v>0</v>
      </c>
      <c r="AS312" s="166" t="n">
        <f aca="false">1.2*AQ312</f>
        <v>0</v>
      </c>
      <c r="AT312" s="169" t="n">
        <f aca="false">IF(G312&lt;110,17.94063*(LN(G312/100))+6.727568*(LN(G312/100)^2)+15.06494,(-4.1*G312+2135)/100)*0.5</f>
        <v>1.58278405940532</v>
      </c>
      <c r="AU312" s="169" t="n">
        <f aca="false">(0.75*AT312-AT312)</f>
        <v>-0.395696014851329</v>
      </c>
      <c r="AV312" s="166" t="n">
        <f aca="false">AT312/0.5*1.25-AT312</f>
        <v>2.37417608910797</v>
      </c>
      <c r="AW312" s="168" t="n">
        <f aca="false">IF(L312&lt;15,(15*L312+375)/100,(-4.71*L312+670.65)/100)*0.5</f>
        <v>2.6703</v>
      </c>
      <c r="AX312" s="166" t="n">
        <f aca="false">0.75*AW312-AW312</f>
        <v>-0.667575</v>
      </c>
      <c r="AY312" s="166" t="n">
        <f aca="false">AW312/0.5*1.25-AW312</f>
        <v>4.00545</v>
      </c>
      <c r="AZ312" s="167" t="n">
        <v>0.5</v>
      </c>
      <c r="BA312" s="74"/>
      <c r="BZ312" s="43" t="n">
        <v>45383</v>
      </c>
      <c r="CA312" s="0" t="n">
        <v>29</v>
      </c>
      <c r="CB312" s="63" t="n">
        <v>29</v>
      </c>
      <c r="CC312" s="63" t="n">
        <v>29</v>
      </c>
      <c r="CD312" s="63" t="n">
        <v>29</v>
      </c>
      <c r="CE312" s="63" t="n">
        <v>1</v>
      </c>
    </row>
    <row r="313" customFormat="false" ht="12.75" hidden="false" customHeight="false" outlineLevel="0" collapsed="false">
      <c r="A313" s="0" t="str">
        <f aca="true">IF(ISERROR(MATCH(D313,iRefDt,0)),"",MATCH(D313,iRefDt,0))</f>
        <v/>
      </c>
      <c r="B313" s="92" t="n">
        <f aca="false">MATCH(YEAR(D313),iSpreads)</f>
        <v>20</v>
      </c>
      <c r="C313" s="0" t="n">
        <f aca="false">MONTH(D313)</f>
        <v>5</v>
      </c>
      <c r="D313" s="93" t="n">
        <f aca="false">DATE(YEAR(D312),MONTH(D312)+1,1)</f>
        <v>45413</v>
      </c>
      <c r="E313" s="94" t="n">
        <f aca="false">VLOOKUP($D313,tblPriorPrice,2)</f>
        <v>29</v>
      </c>
      <c r="F313" s="190" t="n">
        <f aca="false">G313-E313</f>
        <v>3</v>
      </c>
      <c r="G313" s="190" t="n">
        <f aca="true">G301+OFFSET($CG$4,$B313,$C313)</f>
        <v>32</v>
      </c>
      <c r="H313" s="96" t="n">
        <f aca="true">G313+OFFSET($CU$4,$B313,$C313)</f>
        <v>27</v>
      </c>
      <c r="I313" s="96" t="n">
        <f aca="true">G313+OFFSET($DI$4,$B313,$C313)</f>
        <v>66</v>
      </c>
      <c r="J313" s="94" t="n">
        <f aca="false">VLOOKUP($D313,tblPriorPrice,3)</f>
        <v>29</v>
      </c>
      <c r="K313" s="190" t="n">
        <f aca="false">L313-J313</f>
        <v>3</v>
      </c>
      <c r="L313" s="190" t="n">
        <f aca="true">L301+OFFSET($CG$27,$B313,$C313)</f>
        <v>32</v>
      </c>
      <c r="M313" s="96" t="n">
        <f aca="true">$L313+OFFSET($CU$27,$B313,$C313)</f>
        <v>27</v>
      </c>
      <c r="N313" s="97" t="n">
        <f aca="true">$L313+OFFSET($DI$27,$B313,$C313)</f>
        <v>56</v>
      </c>
      <c r="O313" s="59" t="n">
        <f aca="true">IF($A313="",0,INDEX(tblPosn,$A313,2))</f>
        <v>0</v>
      </c>
      <c r="P313" s="59" t="n">
        <f aca="true">IF($A313="",0,INDEX(tblPosn,$A313,3))</f>
        <v>0</v>
      </c>
      <c r="Q313" s="59" t="n">
        <f aca="true">IF($A313="",0,INDEX(tblPosn,$A313,4))</f>
        <v>0</v>
      </c>
      <c r="R313" s="59" t="n">
        <f aca="true">IF($A313="",0,INDEX(tblPosn,$A313,5))</f>
        <v>0</v>
      </c>
      <c r="V313" s="161" t="n">
        <f aca="false">D313</f>
        <v>45413</v>
      </c>
      <c r="W313" s="94" t="n">
        <f aca="false">VLOOKUP($D313,tblPriorPrice,4)</f>
        <v>29</v>
      </c>
      <c r="X313" s="95" t="n">
        <f aca="false">Y313-W313</f>
        <v>3</v>
      </c>
      <c r="Y313" s="191" t="n">
        <f aca="true">Y301+OFFSET($CG$50,$B313,$C313)</f>
        <v>32</v>
      </c>
      <c r="Z313" s="96" t="n">
        <f aca="true">Y313+OFFSET($CU$51,$B313,$C313)</f>
        <v>32</v>
      </c>
      <c r="AA313" s="177" t="n">
        <f aca="true">Y313+OFFSET($DI$51,$B313,$C313)</f>
        <v>32</v>
      </c>
      <c r="AB313" s="94" t="n">
        <f aca="false">VLOOKUP($D313,tblPriorPrice,5)</f>
        <v>29</v>
      </c>
      <c r="AC313" s="190" t="n">
        <f aca="false">AD313-AB313</f>
        <v>3</v>
      </c>
      <c r="AD313" s="191" t="n">
        <f aca="true">AD301+OFFSET($CG$73,$B313,$C313)</f>
        <v>32</v>
      </c>
      <c r="AE313" s="96" t="n">
        <f aca="true">AD313+OFFSET($CU$74,$B313,$C313)</f>
        <v>32</v>
      </c>
      <c r="AF313" s="177" t="n">
        <f aca="true">AD313+OFFSET($DI$74,$B313,$C313)</f>
        <v>32</v>
      </c>
      <c r="AG313" s="94" t="n">
        <f aca="false">VLOOKUP($D313,tblPriorPrice,6)</f>
        <v>1</v>
      </c>
      <c r="AH313" s="190" t="n">
        <f aca="false">AI313-AG313</f>
        <v>0</v>
      </c>
      <c r="AI313" s="191" t="n">
        <f aca="true">AI301+OFFSET($CG$96,$B313,$C313)</f>
        <v>1</v>
      </c>
      <c r="AJ313" s="96" t="n">
        <f aca="true">AI313+OFFSET($CU$96,$B313,$C313)</f>
        <v>1</v>
      </c>
      <c r="AK313" s="97" t="n">
        <f aca="true">AI313+OFFSET($DI$96,$B313,$C313)</f>
        <v>1</v>
      </c>
      <c r="AL313" s="178" t="n">
        <v>74</v>
      </c>
      <c r="AM313" s="165" t="n">
        <v>0.4</v>
      </c>
      <c r="AN313" s="167" t="n">
        <f aca="false">'[3]Pricing Summary'!$AM291</f>
        <v>0</v>
      </c>
      <c r="AO313" s="167" t="n">
        <f aca="false">0.9*AN313</f>
        <v>0</v>
      </c>
      <c r="AP313" s="166" t="n">
        <f aca="false">1.5*AN313</f>
        <v>0</v>
      </c>
      <c r="AQ313" s="167" t="n">
        <f aca="false">AN313</f>
        <v>0</v>
      </c>
      <c r="AR313" s="166" t="n">
        <f aca="false">0.8*AQ313</f>
        <v>0</v>
      </c>
      <c r="AS313" s="166" t="n">
        <f aca="false">1.2*AQ313</f>
        <v>0</v>
      </c>
      <c r="AT313" s="169" t="n">
        <f aca="false">IF(G313&lt;110,17.94063*(LN(G313/100))+6.727568*(LN(G313/100)^2)+15.06494,(-4.1*G313+2135)/100)*0.5</f>
        <v>1.67862159684781</v>
      </c>
      <c r="AU313" s="169" t="n">
        <f aca="false">(0.75*AT313-AT313)</f>
        <v>-0.419655399211954</v>
      </c>
      <c r="AV313" s="166" t="n">
        <f aca="false">AT313/0.5*1.25-AT313</f>
        <v>2.51793239527172</v>
      </c>
      <c r="AW313" s="168" t="n">
        <f aca="false">IF(L313&lt;15,(15*L313+375)/100,(-4.71*L313+670.65)/100)*0.5</f>
        <v>2.59965</v>
      </c>
      <c r="AX313" s="166" t="n">
        <f aca="false">0.75*AW313-AW313</f>
        <v>-0.6499125</v>
      </c>
      <c r="AY313" s="166" t="n">
        <f aca="false">AW313/0.5*1.25-AW313</f>
        <v>3.899475</v>
      </c>
      <c r="AZ313" s="167" t="n">
        <v>0.5</v>
      </c>
      <c r="BA313" s="74"/>
      <c r="BZ313" s="43" t="n">
        <v>45413</v>
      </c>
      <c r="CA313" s="0" t="n">
        <v>32</v>
      </c>
      <c r="CB313" s="63" t="n">
        <v>32</v>
      </c>
      <c r="CC313" s="63" t="n">
        <v>32</v>
      </c>
      <c r="CD313" s="63" t="n">
        <v>32</v>
      </c>
      <c r="CE313" s="63" t="n">
        <v>1</v>
      </c>
    </row>
    <row r="314" customFormat="false" ht="12.75" hidden="false" customHeight="false" outlineLevel="0" collapsed="false">
      <c r="A314" s="0" t="str">
        <f aca="true">IF(ISERROR(MATCH(D314,iRefDt,0)),"",MATCH(D314,iRefDt,0))</f>
        <v/>
      </c>
      <c r="B314" s="92" t="n">
        <f aca="false">MATCH(YEAR(D314),iSpreads)</f>
        <v>20</v>
      </c>
      <c r="C314" s="0" t="n">
        <f aca="false">MONTH(D314)</f>
        <v>6</v>
      </c>
      <c r="D314" s="93" t="n">
        <f aca="false">DATE(YEAR(D313),MONTH(D313)+1,1)</f>
        <v>45444</v>
      </c>
      <c r="E314" s="94" t="n">
        <f aca="false">VLOOKUP($D314,tblPriorPrice,2)</f>
        <v>29</v>
      </c>
      <c r="F314" s="190" t="n">
        <f aca="false">G314-E314</f>
        <v>10</v>
      </c>
      <c r="G314" s="190" t="n">
        <f aca="true">G302+OFFSET($CG$4,$B314,$C314)</f>
        <v>39</v>
      </c>
      <c r="H314" s="96" t="n">
        <f aca="true">G314+OFFSET($CU$4,$B314,$C314)</f>
        <v>34</v>
      </c>
      <c r="I314" s="96" t="n">
        <f aca="true">G314+OFFSET($DI$4,$B314,$C314)</f>
        <v>73</v>
      </c>
      <c r="J314" s="94" t="n">
        <f aca="false">VLOOKUP($D314,tblPriorPrice,3)</f>
        <v>29</v>
      </c>
      <c r="K314" s="190" t="n">
        <f aca="false">L314-J314</f>
        <v>10</v>
      </c>
      <c r="L314" s="190" t="n">
        <f aca="true">L302+OFFSET($CG$27,$B314,$C314)</f>
        <v>39</v>
      </c>
      <c r="M314" s="96" t="n">
        <f aca="true">$L314+OFFSET($CU$27,$B314,$C314)</f>
        <v>34</v>
      </c>
      <c r="N314" s="97" t="n">
        <f aca="true">$L314+OFFSET($DI$27,$B314,$C314)</f>
        <v>63</v>
      </c>
      <c r="O314" s="59" t="n">
        <f aca="true">IF($A314="",0,INDEX(tblPosn,$A314,2))</f>
        <v>0</v>
      </c>
      <c r="P314" s="59" t="n">
        <f aca="true">IF($A314="",0,INDEX(tblPosn,$A314,3))</f>
        <v>0</v>
      </c>
      <c r="Q314" s="59" t="n">
        <f aca="true">IF($A314="",0,INDEX(tblPosn,$A314,4))</f>
        <v>0</v>
      </c>
      <c r="R314" s="59" t="n">
        <f aca="true">IF($A314="",0,INDEX(tblPosn,$A314,5))</f>
        <v>0</v>
      </c>
      <c r="V314" s="161" t="n">
        <f aca="false">D314</f>
        <v>45444</v>
      </c>
      <c r="W314" s="94" t="n">
        <f aca="false">VLOOKUP($D314,tblPriorPrice,4)</f>
        <v>29</v>
      </c>
      <c r="X314" s="95" t="n">
        <f aca="false">Y314-W314</f>
        <v>10</v>
      </c>
      <c r="Y314" s="191" t="n">
        <f aca="true">Y302+OFFSET($CG$50,$B314,$C314)</f>
        <v>39</v>
      </c>
      <c r="Z314" s="96" t="n">
        <f aca="true">Y314+OFFSET($CU$51,$B314,$C314)</f>
        <v>39</v>
      </c>
      <c r="AA314" s="177" t="n">
        <f aca="true">Y314+OFFSET($DI$51,$B314,$C314)</f>
        <v>39</v>
      </c>
      <c r="AB314" s="94" t="n">
        <f aca="false">VLOOKUP($D314,tblPriorPrice,5)</f>
        <v>29</v>
      </c>
      <c r="AC314" s="190" t="n">
        <f aca="false">AD314-AB314</f>
        <v>10</v>
      </c>
      <c r="AD314" s="191" t="n">
        <f aca="true">AD302+OFFSET($CG$73,$B314,$C314)</f>
        <v>39</v>
      </c>
      <c r="AE314" s="96" t="n">
        <f aca="true">AD314+OFFSET($CU$74,$B314,$C314)</f>
        <v>39</v>
      </c>
      <c r="AF314" s="177" t="n">
        <f aca="true">AD314+OFFSET($DI$74,$B314,$C314)</f>
        <v>39</v>
      </c>
      <c r="AG314" s="94" t="n">
        <f aca="false">VLOOKUP($D314,tblPriorPrice,6)</f>
        <v>1</v>
      </c>
      <c r="AH314" s="190" t="n">
        <f aca="false">AI314-AG314</f>
        <v>0</v>
      </c>
      <c r="AI314" s="191" t="n">
        <f aca="true">AI302+OFFSET($CG$96,$B314,$C314)</f>
        <v>1</v>
      </c>
      <c r="AJ314" s="96" t="n">
        <f aca="true">AI314+OFFSET($CU$96,$B314,$C314)</f>
        <v>1</v>
      </c>
      <c r="AK314" s="97" t="n">
        <f aca="true">AI314+OFFSET($DI$96,$B314,$C314)</f>
        <v>1</v>
      </c>
      <c r="AL314" s="178" t="n">
        <v>74</v>
      </c>
      <c r="AM314" s="165" t="n">
        <v>0.4</v>
      </c>
      <c r="AN314" s="167" t="n">
        <f aca="false">'[3]Pricing Summary'!$AM292</f>
        <v>0</v>
      </c>
      <c r="AO314" s="167" t="n">
        <f aca="false">0.9*AN314</f>
        <v>0</v>
      </c>
      <c r="AP314" s="166" t="n">
        <f aca="false">1.5*AN314</f>
        <v>0</v>
      </c>
      <c r="AQ314" s="167" t="n">
        <f aca="false">AN314</f>
        <v>0</v>
      </c>
      <c r="AR314" s="166" t="n">
        <f aca="false">0.8*AQ314</f>
        <v>0</v>
      </c>
      <c r="AS314" s="166" t="n">
        <f aca="false">1.2*AQ314</f>
        <v>0</v>
      </c>
      <c r="AT314" s="169" t="n">
        <f aca="false">IF(G314&lt;110,17.94063*(LN(G314/100))+6.727568*(LN(G314/100)^2)+15.06494,(-4.1*G314+2135)/100)*0.5</f>
        <v>2.06836530423771</v>
      </c>
      <c r="AU314" s="169" t="n">
        <f aca="false">(0.75*AT314-AT314)</f>
        <v>-0.517091326059428</v>
      </c>
      <c r="AV314" s="166" t="n">
        <f aca="false">AT314/0.5*1.25-AT314</f>
        <v>3.10254795635657</v>
      </c>
      <c r="AW314" s="168" t="n">
        <f aca="false">IF(L314&lt;15,(15*L314+375)/100,(-4.71*L314+670.65)/100)*0.5</f>
        <v>2.4348</v>
      </c>
      <c r="AX314" s="166" t="n">
        <f aca="false">0.75*AW314-AW314</f>
        <v>-0.6087</v>
      </c>
      <c r="AY314" s="166" t="n">
        <f aca="false">AW314/0.5*1.25-AW314</f>
        <v>3.6522</v>
      </c>
      <c r="AZ314" s="167" t="n">
        <v>0.5</v>
      </c>
      <c r="BA314" s="74"/>
      <c r="BZ314" s="43" t="n">
        <v>45444</v>
      </c>
      <c r="CA314" s="0" t="n">
        <v>39</v>
      </c>
      <c r="CB314" s="63" t="n">
        <v>39</v>
      </c>
      <c r="CC314" s="63" t="n">
        <v>39</v>
      </c>
      <c r="CD314" s="63" t="n">
        <v>39</v>
      </c>
      <c r="CE314" s="63" t="n">
        <v>1</v>
      </c>
    </row>
    <row r="315" customFormat="false" ht="12.75" hidden="false" customHeight="false" outlineLevel="0" collapsed="false">
      <c r="A315" s="0" t="str">
        <f aca="true">IF(ISERROR(MATCH(D315,iRefDt,0)),"",MATCH(D315,iRefDt,0))</f>
        <v/>
      </c>
      <c r="B315" s="92" t="n">
        <f aca="false">MATCH(YEAR(D315),iSpreads)</f>
        <v>20</v>
      </c>
      <c r="C315" s="0" t="n">
        <f aca="false">MONTH(D315)</f>
        <v>7</v>
      </c>
      <c r="D315" s="93" t="n">
        <f aca="false">DATE(YEAR(D314),MONTH(D314)+1,1)</f>
        <v>45474</v>
      </c>
      <c r="E315" s="94" t="n">
        <f aca="false">VLOOKUP($D315,tblPriorPrice,2)</f>
        <v>29</v>
      </c>
      <c r="F315" s="190" t="n">
        <f aca="false">G315-E315</f>
        <v>10</v>
      </c>
      <c r="G315" s="190" t="n">
        <f aca="true">G303+OFFSET($CG$4,$B315,$C315)</f>
        <v>39</v>
      </c>
      <c r="H315" s="96" t="n">
        <f aca="true">G315+OFFSET($CU$4,$B315,$C315)</f>
        <v>34</v>
      </c>
      <c r="I315" s="96" t="n">
        <f aca="true">G315+OFFSET($DI$4,$B315,$C315)</f>
        <v>73</v>
      </c>
      <c r="J315" s="94" t="n">
        <f aca="false">VLOOKUP($D315,tblPriorPrice,3)</f>
        <v>29</v>
      </c>
      <c r="K315" s="190" t="n">
        <f aca="false">L315-J315</f>
        <v>10</v>
      </c>
      <c r="L315" s="190" t="n">
        <f aca="true">L303+OFFSET($CG$27,$B315,$C315)</f>
        <v>39</v>
      </c>
      <c r="M315" s="96" t="n">
        <f aca="true">$L315+OFFSET($CU$27,$B315,$C315)</f>
        <v>34</v>
      </c>
      <c r="N315" s="97" t="n">
        <f aca="true">$L315+OFFSET($DI$27,$B315,$C315)</f>
        <v>63</v>
      </c>
      <c r="O315" s="59" t="n">
        <f aca="true">IF($A315="",0,INDEX(tblPosn,$A315,2))</f>
        <v>0</v>
      </c>
      <c r="P315" s="59" t="n">
        <f aca="true">IF($A315="",0,INDEX(tblPosn,$A315,3))</f>
        <v>0</v>
      </c>
      <c r="Q315" s="59" t="n">
        <f aca="true">IF($A315="",0,INDEX(tblPosn,$A315,4))</f>
        <v>0</v>
      </c>
      <c r="R315" s="59" t="n">
        <f aca="true">IF($A315="",0,INDEX(tblPosn,$A315,5))</f>
        <v>0</v>
      </c>
      <c r="V315" s="161" t="n">
        <f aca="false">D315</f>
        <v>45474</v>
      </c>
      <c r="W315" s="94" t="n">
        <f aca="false">VLOOKUP($D315,tblPriorPrice,4)</f>
        <v>29</v>
      </c>
      <c r="X315" s="95" t="n">
        <f aca="false">Y315-W315</f>
        <v>10</v>
      </c>
      <c r="Y315" s="191" t="n">
        <f aca="true">Y303+OFFSET($CG$50,$B315,$C315)</f>
        <v>39</v>
      </c>
      <c r="Z315" s="96" t="n">
        <f aca="true">Y315+OFFSET($CU$51,$B315,$C315)</f>
        <v>39</v>
      </c>
      <c r="AA315" s="177" t="n">
        <f aca="true">Y315+OFFSET($DI$51,$B315,$C315)</f>
        <v>39</v>
      </c>
      <c r="AB315" s="94" t="n">
        <f aca="false">VLOOKUP($D315,tblPriorPrice,5)</f>
        <v>29</v>
      </c>
      <c r="AC315" s="190" t="n">
        <f aca="false">AD315-AB315</f>
        <v>10</v>
      </c>
      <c r="AD315" s="191" t="n">
        <f aca="true">AD303+OFFSET($CG$73,$B315,$C315)</f>
        <v>39</v>
      </c>
      <c r="AE315" s="96" t="n">
        <f aca="true">AD315+OFFSET($CU$74,$B315,$C315)</f>
        <v>39</v>
      </c>
      <c r="AF315" s="177" t="n">
        <f aca="true">AD315+OFFSET($DI$74,$B315,$C315)</f>
        <v>39</v>
      </c>
      <c r="AG315" s="94" t="n">
        <f aca="false">VLOOKUP($D315,tblPriorPrice,6)</f>
        <v>1</v>
      </c>
      <c r="AH315" s="190" t="n">
        <f aca="false">AI315-AG315</f>
        <v>0</v>
      </c>
      <c r="AI315" s="191" t="n">
        <f aca="true">AI303+OFFSET($CG$96,$B315,$C315)</f>
        <v>1</v>
      </c>
      <c r="AJ315" s="96" t="n">
        <f aca="true">AI315+OFFSET($CU$96,$B315,$C315)</f>
        <v>1</v>
      </c>
      <c r="AK315" s="97" t="n">
        <f aca="true">AI315+OFFSET($DI$96,$B315,$C315)</f>
        <v>1</v>
      </c>
      <c r="AL315" s="178" t="n">
        <v>74</v>
      </c>
      <c r="AM315" s="165" t="n">
        <v>0.4</v>
      </c>
      <c r="AN315" s="167" t="n">
        <f aca="false">'[3]Pricing Summary'!$AM293</f>
        <v>0</v>
      </c>
      <c r="AO315" s="167" t="n">
        <f aca="false">0.9*AN315</f>
        <v>0</v>
      </c>
      <c r="AP315" s="166" t="n">
        <f aca="false">1.5*AN315</f>
        <v>0</v>
      </c>
      <c r="AQ315" s="167" t="n">
        <f aca="false">AN315</f>
        <v>0</v>
      </c>
      <c r="AR315" s="166" t="n">
        <f aca="false">0.8*AQ315</f>
        <v>0</v>
      </c>
      <c r="AS315" s="166" t="n">
        <f aca="false">1.2*AQ315</f>
        <v>0</v>
      </c>
      <c r="AT315" s="169" t="n">
        <f aca="false">IF(G315&lt;110,17.94063*(LN(G315/100))+6.727568*(LN(G315/100)^2)+15.06494,(-4.1*G315+2135)/100)*0.5</f>
        <v>2.06836530423771</v>
      </c>
      <c r="AU315" s="169" t="n">
        <f aca="false">(0.75*AT315-AT315)</f>
        <v>-0.517091326059428</v>
      </c>
      <c r="AV315" s="166" t="n">
        <f aca="false">AT315/0.5*1.25-AT315</f>
        <v>3.10254795635657</v>
      </c>
      <c r="AW315" s="168" t="n">
        <f aca="false">IF(L315&lt;15,(15*L315+375)/100,(-4.71*L315+670.65)/100)*0.5</f>
        <v>2.4348</v>
      </c>
      <c r="AX315" s="166" t="n">
        <f aca="false">0.75*AW315-AW315</f>
        <v>-0.6087</v>
      </c>
      <c r="AY315" s="166" t="n">
        <f aca="false">AW315/0.5*1.25-AW315</f>
        <v>3.6522</v>
      </c>
      <c r="AZ315" s="167" t="n">
        <v>0.5</v>
      </c>
      <c r="BA315" s="74"/>
      <c r="BZ315" s="43" t="n">
        <v>45474</v>
      </c>
      <c r="CA315" s="0" t="n">
        <v>39</v>
      </c>
      <c r="CB315" s="63" t="n">
        <v>39</v>
      </c>
      <c r="CC315" s="63" t="n">
        <v>39</v>
      </c>
      <c r="CD315" s="63" t="n">
        <v>39</v>
      </c>
      <c r="CE315" s="63" t="n">
        <v>1</v>
      </c>
    </row>
    <row r="316" customFormat="false" ht="12.75" hidden="false" customHeight="false" outlineLevel="0" collapsed="false">
      <c r="A316" s="0" t="str">
        <f aca="true">IF(ISERROR(MATCH(D316,iRefDt,0)),"",MATCH(D316,iRefDt,0))</f>
        <v/>
      </c>
      <c r="B316" s="92" t="n">
        <f aca="false">MATCH(YEAR(D316),iSpreads)</f>
        <v>20</v>
      </c>
      <c r="C316" s="0" t="n">
        <f aca="false">MONTH(D316)</f>
        <v>8</v>
      </c>
      <c r="D316" s="93" t="n">
        <f aca="false">DATE(YEAR(D315),MONTH(D315)+1,1)</f>
        <v>45505</v>
      </c>
      <c r="E316" s="94" t="n">
        <f aca="false">VLOOKUP($D316,tblPriorPrice,2)</f>
        <v>29</v>
      </c>
      <c r="F316" s="190" t="n">
        <f aca="false">G316-E316</f>
        <v>12</v>
      </c>
      <c r="G316" s="190" t="n">
        <f aca="true">G304+OFFSET($CG$4,$B316,$C316)</f>
        <v>41</v>
      </c>
      <c r="H316" s="96" t="n">
        <f aca="true">G316+OFFSET($CU$4,$B316,$C316)</f>
        <v>36</v>
      </c>
      <c r="I316" s="96" t="n">
        <f aca="true">G316+OFFSET($DI$4,$B316,$C316)</f>
        <v>75</v>
      </c>
      <c r="J316" s="94" t="n">
        <f aca="false">VLOOKUP($D316,tblPriorPrice,3)</f>
        <v>29</v>
      </c>
      <c r="K316" s="190" t="n">
        <f aca="false">L316-J316</f>
        <v>12</v>
      </c>
      <c r="L316" s="190" t="n">
        <f aca="true">L304+OFFSET($CG$27,$B316,$C316)</f>
        <v>41</v>
      </c>
      <c r="M316" s="96" t="n">
        <f aca="true">$L316+OFFSET($CU$27,$B316,$C316)</f>
        <v>36</v>
      </c>
      <c r="N316" s="97" t="n">
        <f aca="true">$L316+OFFSET($DI$27,$B316,$C316)</f>
        <v>65</v>
      </c>
      <c r="O316" s="59" t="n">
        <f aca="true">IF($A316="",0,INDEX(tblPosn,$A316,2))</f>
        <v>0</v>
      </c>
      <c r="P316" s="59" t="n">
        <f aca="true">IF($A316="",0,INDEX(tblPosn,$A316,3))</f>
        <v>0</v>
      </c>
      <c r="Q316" s="59" t="n">
        <f aca="true">IF($A316="",0,INDEX(tblPosn,$A316,4))</f>
        <v>0</v>
      </c>
      <c r="R316" s="59" t="n">
        <f aca="true">IF($A316="",0,INDEX(tblPosn,$A316,5))</f>
        <v>0</v>
      </c>
      <c r="V316" s="161" t="n">
        <f aca="false">D316</f>
        <v>45505</v>
      </c>
      <c r="W316" s="94" t="n">
        <f aca="false">VLOOKUP($D316,tblPriorPrice,4)</f>
        <v>29</v>
      </c>
      <c r="X316" s="95" t="n">
        <f aca="false">Y316-W316</f>
        <v>12</v>
      </c>
      <c r="Y316" s="191" t="n">
        <f aca="true">Y304+OFFSET($CG$50,$B316,$C316)</f>
        <v>41</v>
      </c>
      <c r="Z316" s="96" t="n">
        <f aca="true">Y316+OFFSET($CU$51,$B316,$C316)</f>
        <v>41</v>
      </c>
      <c r="AA316" s="177" t="n">
        <f aca="true">Y316+OFFSET($DI$51,$B316,$C316)</f>
        <v>41</v>
      </c>
      <c r="AB316" s="94" t="n">
        <f aca="false">VLOOKUP($D316,tblPriorPrice,5)</f>
        <v>29</v>
      </c>
      <c r="AC316" s="190" t="n">
        <f aca="false">AD316-AB316</f>
        <v>12</v>
      </c>
      <c r="AD316" s="191" t="n">
        <f aca="true">AD304+OFFSET($CG$73,$B316,$C316)</f>
        <v>41</v>
      </c>
      <c r="AE316" s="96" t="n">
        <f aca="true">AD316+OFFSET($CU$74,$B316,$C316)</f>
        <v>41</v>
      </c>
      <c r="AF316" s="177" t="n">
        <f aca="true">AD316+OFFSET($DI$74,$B316,$C316)</f>
        <v>41</v>
      </c>
      <c r="AG316" s="94" t="n">
        <f aca="false">VLOOKUP($D316,tblPriorPrice,6)</f>
        <v>1</v>
      </c>
      <c r="AH316" s="190" t="n">
        <f aca="false">AI316-AG316</f>
        <v>0</v>
      </c>
      <c r="AI316" s="191" t="n">
        <f aca="true">AI304+OFFSET($CG$96,$B316,$C316)</f>
        <v>1</v>
      </c>
      <c r="AJ316" s="96" t="n">
        <f aca="true">AI316+OFFSET($CU$96,$B316,$C316)</f>
        <v>1</v>
      </c>
      <c r="AK316" s="97" t="n">
        <f aca="true">AI316+OFFSET($DI$96,$B316,$C316)</f>
        <v>1</v>
      </c>
      <c r="AL316" s="178" t="n">
        <v>74</v>
      </c>
      <c r="AM316" s="165" t="n">
        <v>0.4</v>
      </c>
      <c r="AN316" s="167" t="n">
        <f aca="false">'[3]Pricing Summary'!$AM294</f>
        <v>0</v>
      </c>
      <c r="AO316" s="167" t="n">
        <f aca="false">0.9*AN316</f>
        <v>0</v>
      </c>
      <c r="AP316" s="166" t="n">
        <f aca="false">1.5*AN316</f>
        <v>0</v>
      </c>
      <c r="AQ316" s="167" t="n">
        <f aca="false">AN316</f>
        <v>0</v>
      </c>
      <c r="AR316" s="166" t="n">
        <f aca="false">0.8*AQ316</f>
        <v>0</v>
      </c>
      <c r="AS316" s="166" t="n">
        <f aca="false">1.2*AQ316</f>
        <v>0</v>
      </c>
      <c r="AT316" s="169" t="n">
        <f aca="false">IF(G316&lt;110,17.94063*(LN(G316/100))+6.727568*(LN(G316/100)^2)+15.06494,(-4.1*G316+2135)/100)*0.5</f>
        <v>2.20858471004844</v>
      </c>
      <c r="AU316" s="169" t="n">
        <f aca="false">(0.75*AT316-AT316)</f>
        <v>-0.552146177512111</v>
      </c>
      <c r="AV316" s="166" t="n">
        <f aca="false">AT316/0.5*1.25-AT316</f>
        <v>3.31287706507267</v>
      </c>
      <c r="AW316" s="168" t="n">
        <f aca="false">IF(L316&lt;15,(15*L316+375)/100,(-4.71*L316+670.65)/100)*0.5</f>
        <v>2.3877</v>
      </c>
      <c r="AX316" s="166" t="n">
        <f aca="false">0.75*AW316-AW316</f>
        <v>-0.596925</v>
      </c>
      <c r="AY316" s="166" t="n">
        <f aca="false">AW316/0.5*1.25-AW316</f>
        <v>3.58155</v>
      </c>
      <c r="AZ316" s="167" t="n">
        <v>0.5</v>
      </c>
      <c r="BA316" s="74"/>
      <c r="BZ316" s="43" t="n">
        <v>45505</v>
      </c>
      <c r="CA316" s="0" t="n">
        <v>41</v>
      </c>
      <c r="CB316" s="63" t="n">
        <v>41</v>
      </c>
      <c r="CC316" s="63" t="n">
        <v>41</v>
      </c>
      <c r="CD316" s="63" t="n">
        <v>41</v>
      </c>
      <c r="CE316" s="63" t="n">
        <v>1</v>
      </c>
    </row>
    <row r="317" customFormat="false" ht="12.75" hidden="false" customHeight="false" outlineLevel="0" collapsed="false">
      <c r="A317" s="0" t="str">
        <f aca="true">IF(ISERROR(MATCH(D317,iRefDt,0)),"",MATCH(D317,iRefDt,0))</f>
        <v/>
      </c>
      <c r="B317" s="92" t="n">
        <f aca="false">MATCH(YEAR(D317),iSpreads)</f>
        <v>20</v>
      </c>
      <c r="C317" s="0" t="n">
        <f aca="false">MONTH(D317)</f>
        <v>9</v>
      </c>
      <c r="D317" s="93" t="n">
        <f aca="false">DATE(YEAR(D316),MONTH(D316)+1,1)</f>
        <v>45536</v>
      </c>
      <c r="E317" s="94" t="n">
        <f aca="false">VLOOKUP($D317,tblPriorPrice,2)</f>
        <v>29</v>
      </c>
      <c r="F317" s="190" t="n">
        <f aca="false">G317-E317</f>
        <v>6</v>
      </c>
      <c r="G317" s="190" t="n">
        <f aca="true">G305+OFFSET($CG$4,$B317,$C317)</f>
        <v>35</v>
      </c>
      <c r="H317" s="96" t="n">
        <f aca="true">G317+OFFSET($CU$4,$B317,$C317)</f>
        <v>30</v>
      </c>
      <c r="I317" s="96" t="n">
        <f aca="true">G317+OFFSET($DI$4,$B317,$C317)</f>
        <v>69</v>
      </c>
      <c r="J317" s="94" t="n">
        <f aca="false">VLOOKUP($D317,tblPriorPrice,3)</f>
        <v>29</v>
      </c>
      <c r="K317" s="190" t="n">
        <f aca="false">L317-J317</f>
        <v>6</v>
      </c>
      <c r="L317" s="190" t="n">
        <f aca="true">L305+OFFSET($CG$27,$B317,$C317)</f>
        <v>35</v>
      </c>
      <c r="M317" s="96" t="n">
        <f aca="true">$L317+OFFSET($CU$27,$B317,$C317)</f>
        <v>30</v>
      </c>
      <c r="N317" s="97" t="n">
        <f aca="true">$L317+OFFSET($DI$27,$B317,$C317)</f>
        <v>59</v>
      </c>
      <c r="O317" s="59" t="n">
        <f aca="true">IF($A317="",0,INDEX(tblPosn,$A317,2))</f>
        <v>0</v>
      </c>
      <c r="P317" s="59" t="n">
        <f aca="true">IF($A317="",0,INDEX(tblPosn,$A317,3))</f>
        <v>0</v>
      </c>
      <c r="Q317" s="59" t="n">
        <f aca="true">IF($A317="",0,INDEX(tblPosn,$A317,4))</f>
        <v>0</v>
      </c>
      <c r="R317" s="59" t="n">
        <f aca="true">IF($A317="",0,INDEX(tblPosn,$A317,5))</f>
        <v>0</v>
      </c>
      <c r="V317" s="161" t="n">
        <f aca="false">D317</f>
        <v>45536</v>
      </c>
      <c r="W317" s="94" t="n">
        <f aca="false">VLOOKUP($D317,tblPriorPrice,4)</f>
        <v>29</v>
      </c>
      <c r="X317" s="95" t="n">
        <f aca="false">Y317-W317</f>
        <v>6</v>
      </c>
      <c r="Y317" s="191" t="n">
        <f aca="true">Y305+OFFSET($CG$50,$B317,$C317)</f>
        <v>35</v>
      </c>
      <c r="Z317" s="96" t="n">
        <f aca="true">Y317+OFFSET($CU$51,$B317,$C317)</f>
        <v>35</v>
      </c>
      <c r="AA317" s="177" t="n">
        <f aca="true">Y317+OFFSET($DI$51,$B317,$C317)</f>
        <v>35</v>
      </c>
      <c r="AB317" s="94" t="n">
        <f aca="false">VLOOKUP($D317,tblPriorPrice,5)</f>
        <v>29</v>
      </c>
      <c r="AC317" s="190" t="n">
        <f aca="false">AD317-AB317</f>
        <v>6</v>
      </c>
      <c r="AD317" s="191" t="n">
        <f aca="true">AD305+OFFSET($CG$73,$B317,$C317)</f>
        <v>35</v>
      </c>
      <c r="AE317" s="96" t="n">
        <f aca="true">AD317+OFFSET($CU$74,$B317,$C317)</f>
        <v>35</v>
      </c>
      <c r="AF317" s="177" t="n">
        <f aca="true">AD317+OFFSET($DI$74,$B317,$C317)</f>
        <v>35</v>
      </c>
      <c r="AG317" s="94" t="n">
        <f aca="false">VLOOKUP($D317,tblPriorPrice,6)</f>
        <v>1</v>
      </c>
      <c r="AH317" s="190" t="n">
        <f aca="false">AI317-AG317</f>
        <v>0</v>
      </c>
      <c r="AI317" s="191" t="n">
        <f aca="true">AI305+OFFSET($CG$96,$B317,$C317)</f>
        <v>1</v>
      </c>
      <c r="AJ317" s="96" t="n">
        <f aca="true">AI317+OFFSET($CU$96,$B317,$C317)</f>
        <v>1</v>
      </c>
      <c r="AK317" s="97" t="n">
        <f aca="true">AI317+OFFSET($DI$96,$B317,$C317)</f>
        <v>1</v>
      </c>
      <c r="AL317" s="178" t="n">
        <v>74</v>
      </c>
      <c r="AM317" s="165" t="n">
        <v>0.4</v>
      </c>
      <c r="AN317" s="167" t="n">
        <f aca="false">'[3]Pricing Summary'!$AM295</f>
        <v>0</v>
      </c>
      <c r="AO317" s="167" t="n">
        <f aca="false">0.9*AN317</f>
        <v>0</v>
      </c>
      <c r="AP317" s="166" t="n">
        <f aca="false">1.5*AN317</f>
        <v>0</v>
      </c>
      <c r="AQ317" s="167" t="n">
        <f aca="false">AN317</f>
        <v>0</v>
      </c>
      <c r="AR317" s="166" t="n">
        <f aca="false">0.8*AQ317</f>
        <v>0</v>
      </c>
      <c r="AS317" s="166" t="n">
        <f aca="false">1.2*AQ317</f>
        <v>0</v>
      </c>
      <c r="AT317" s="169" t="n">
        <f aca="false">IF(G317&lt;110,17.94063*(LN(G317/100))+6.727568*(LN(G317/100)^2)+15.06494,(-4.1*G317+2135)/100)*0.5</f>
        <v>1.82255031269953</v>
      </c>
      <c r="AU317" s="169" t="n">
        <f aca="false">(0.75*AT317-AT317)</f>
        <v>-0.455637578174882</v>
      </c>
      <c r="AV317" s="166" t="n">
        <f aca="false">AT317/0.5*1.25-AT317</f>
        <v>2.73382546904929</v>
      </c>
      <c r="AW317" s="168" t="n">
        <f aca="false">IF(L317&lt;15,(15*L317+375)/100,(-4.71*L317+670.65)/100)*0.5</f>
        <v>2.529</v>
      </c>
      <c r="AX317" s="166" t="n">
        <f aca="false">0.75*AW317-AW317</f>
        <v>-0.63225</v>
      </c>
      <c r="AY317" s="166" t="n">
        <f aca="false">AW317/0.5*1.25-AW317</f>
        <v>3.7935</v>
      </c>
      <c r="AZ317" s="167" t="n">
        <v>0.5</v>
      </c>
      <c r="BA317" s="74"/>
      <c r="BZ317" s="43" t="n">
        <v>45536</v>
      </c>
      <c r="CA317" s="0" t="n">
        <v>35</v>
      </c>
      <c r="CB317" s="63" t="n">
        <v>35</v>
      </c>
      <c r="CC317" s="63" t="n">
        <v>35</v>
      </c>
      <c r="CD317" s="63" t="n">
        <v>35</v>
      </c>
      <c r="CE317" s="63" t="n">
        <v>1</v>
      </c>
    </row>
    <row r="318" customFormat="false" ht="12.75" hidden="false" customHeight="false" outlineLevel="0" collapsed="false">
      <c r="A318" s="0" t="str">
        <f aca="true">IF(ISERROR(MATCH(D318,iRefDt,0)),"",MATCH(D318,iRefDt,0))</f>
        <v/>
      </c>
      <c r="B318" s="92" t="n">
        <f aca="false">MATCH(YEAR(D318),iSpreads)</f>
        <v>20</v>
      </c>
      <c r="C318" s="0" t="n">
        <f aca="false">MONTH(D318)</f>
        <v>10</v>
      </c>
      <c r="D318" s="93" t="n">
        <f aca="false">DATE(YEAR(D317),MONTH(D317)+1,1)</f>
        <v>45566</v>
      </c>
      <c r="E318" s="94" t="n">
        <f aca="false">VLOOKUP($D318,tblPriorPrice,2)</f>
        <v>29</v>
      </c>
      <c r="F318" s="190" t="n">
        <f aca="false">G318-E318</f>
        <v>8</v>
      </c>
      <c r="G318" s="190" t="n">
        <f aca="true">G306+OFFSET($CG$4,$B318,$C318)</f>
        <v>37</v>
      </c>
      <c r="H318" s="96" t="n">
        <f aca="true">G318+OFFSET($CU$4,$B318,$C318)</f>
        <v>32</v>
      </c>
      <c r="I318" s="96" t="n">
        <f aca="true">G318+OFFSET($DI$4,$B318,$C318)</f>
        <v>71</v>
      </c>
      <c r="J318" s="94" t="n">
        <f aca="false">VLOOKUP($D318,tblPriorPrice,3)</f>
        <v>29</v>
      </c>
      <c r="K318" s="190" t="n">
        <f aca="false">L318-J318</f>
        <v>8</v>
      </c>
      <c r="L318" s="190" t="n">
        <f aca="true">L306+OFFSET($CG$27,$B318,$C318)</f>
        <v>37</v>
      </c>
      <c r="M318" s="96" t="n">
        <f aca="true">$L318+OFFSET($CU$27,$B318,$C318)</f>
        <v>32</v>
      </c>
      <c r="N318" s="97" t="n">
        <f aca="true">$L318+OFFSET($DI$27,$B318,$C318)</f>
        <v>61</v>
      </c>
      <c r="O318" s="59" t="n">
        <f aca="true">IF($A318="",0,INDEX(tblPosn,$A318,2))</f>
        <v>0</v>
      </c>
      <c r="P318" s="59" t="n">
        <f aca="true">IF($A318="",0,INDEX(tblPosn,$A318,3))</f>
        <v>0</v>
      </c>
      <c r="Q318" s="59" t="n">
        <f aca="true">IF($A318="",0,INDEX(tblPosn,$A318,4))</f>
        <v>0</v>
      </c>
      <c r="R318" s="59" t="n">
        <f aca="true">IF($A318="",0,INDEX(tblPosn,$A318,5))</f>
        <v>0</v>
      </c>
      <c r="V318" s="161" t="n">
        <f aca="false">D318</f>
        <v>45566</v>
      </c>
      <c r="W318" s="94" t="n">
        <f aca="false">VLOOKUP($D318,tblPriorPrice,4)</f>
        <v>29</v>
      </c>
      <c r="X318" s="95" t="n">
        <f aca="false">Y318-W318</f>
        <v>8</v>
      </c>
      <c r="Y318" s="191" t="n">
        <f aca="true">Y306+OFFSET($CG$50,$B318,$C318)</f>
        <v>37</v>
      </c>
      <c r="Z318" s="96" t="n">
        <f aca="true">Y318+OFFSET($CU$51,$B318,$C318)</f>
        <v>37</v>
      </c>
      <c r="AA318" s="177" t="n">
        <f aca="true">Y318+OFFSET($DI$51,$B318,$C318)</f>
        <v>37</v>
      </c>
      <c r="AB318" s="94" t="n">
        <f aca="false">VLOOKUP($D318,tblPriorPrice,5)</f>
        <v>29</v>
      </c>
      <c r="AC318" s="190" t="n">
        <f aca="false">AD318-AB318</f>
        <v>8</v>
      </c>
      <c r="AD318" s="191" t="n">
        <f aca="true">AD306+OFFSET($CG$73,$B318,$C318)</f>
        <v>37</v>
      </c>
      <c r="AE318" s="96" t="n">
        <f aca="true">AD318+OFFSET($CU$74,$B318,$C318)</f>
        <v>37</v>
      </c>
      <c r="AF318" s="177" t="n">
        <f aca="true">AD318+OFFSET($DI$74,$B318,$C318)</f>
        <v>37</v>
      </c>
      <c r="AG318" s="94" t="n">
        <f aca="false">VLOOKUP($D318,tblPriorPrice,6)</f>
        <v>1</v>
      </c>
      <c r="AH318" s="190" t="n">
        <f aca="false">AI318-AG318</f>
        <v>0</v>
      </c>
      <c r="AI318" s="191" t="n">
        <f aca="true">AI306+OFFSET($CG$96,$B318,$C318)</f>
        <v>1</v>
      </c>
      <c r="AJ318" s="96" t="n">
        <f aca="true">AI318+OFFSET($CU$96,$B318,$C318)</f>
        <v>1</v>
      </c>
      <c r="AK318" s="97" t="n">
        <f aca="true">AI318+OFFSET($DI$96,$B318,$C318)</f>
        <v>1</v>
      </c>
      <c r="AL318" s="178" t="n">
        <v>74</v>
      </c>
      <c r="AM318" s="165" t="n">
        <v>0.4</v>
      </c>
      <c r="AN318" s="167" t="n">
        <f aca="false">'[3]Pricing Summary'!$AM296</f>
        <v>0</v>
      </c>
      <c r="AO318" s="167" t="n">
        <f aca="false">0.9*AN318</f>
        <v>0</v>
      </c>
      <c r="AP318" s="166" t="n">
        <f aca="false">1.5*AN318</f>
        <v>0</v>
      </c>
      <c r="AQ318" s="167" t="n">
        <f aca="false">AN318</f>
        <v>0</v>
      </c>
      <c r="AR318" s="166" t="n">
        <f aca="false">0.8*AQ318</f>
        <v>0</v>
      </c>
      <c r="AS318" s="166" t="n">
        <f aca="false">1.2*AQ318</f>
        <v>0</v>
      </c>
      <c r="AT318" s="169" t="n">
        <f aca="false">IF(G318&lt;110,17.94063*(LN(G318/100))+6.727568*(LN(G318/100)^2)+15.06494,(-4.1*G318+2135)/100)*0.5</f>
        <v>1.93894082389981</v>
      </c>
      <c r="AU318" s="169" t="n">
        <f aca="false">(0.75*AT318-AT318)</f>
        <v>-0.484735205974953</v>
      </c>
      <c r="AV318" s="166" t="n">
        <f aca="false">AT318/0.5*1.25-AT318</f>
        <v>2.90841123584972</v>
      </c>
      <c r="AW318" s="168" t="n">
        <f aca="false">IF(L318&lt;15,(15*L318+375)/100,(-4.71*L318+670.65)/100)*0.5</f>
        <v>2.4819</v>
      </c>
      <c r="AX318" s="166" t="n">
        <f aca="false">0.75*AW318-AW318</f>
        <v>-0.620475</v>
      </c>
      <c r="AY318" s="166" t="n">
        <f aca="false">AW318/0.5*1.25-AW318</f>
        <v>3.72285</v>
      </c>
      <c r="AZ318" s="167" t="n">
        <v>0.5</v>
      </c>
      <c r="BA318" s="74"/>
      <c r="BZ318" s="43" t="n">
        <v>45566</v>
      </c>
      <c r="CA318" s="0" t="n">
        <v>37</v>
      </c>
      <c r="CB318" s="63" t="n">
        <v>37</v>
      </c>
      <c r="CC318" s="63" t="n">
        <v>37</v>
      </c>
      <c r="CD318" s="63" t="n">
        <v>37</v>
      </c>
      <c r="CE318" s="63" t="n">
        <v>1</v>
      </c>
    </row>
    <row r="319" customFormat="false" ht="12.75" hidden="false" customHeight="false" outlineLevel="0" collapsed="false">
      <c r="A319" s="0" t="str">
        <f aca="true">IF(ISERROR(MATCH(D319,iRefDt,0)),"",MATCH(D319,iRefDt,0))</f>
        <v/>
      </c>
      <c r="B319" s="92" t="n">
        <f aca="false">MATCH(YEAR(D319),iSpreads)</f>
        <v>20</v>
      </c>
      <c r="C319" s="0" t="n">
        <f aca="false">MONTH(D319)</f>
        <v>11</v>
      </c>
      <c r="D319" s="93" t="n">
        <f aca="false">DATE(YEAR(D318),MONTH(D318)+1,1)</f>
        <v>45597</v>
      </c>
      <c r="E319" s="94" t="n">
        <f aca="false">VLOOKUP($D319,tblPriorPrice,2)</f>
        <v>29</v>
      </c>
      <c r="F319" s="190" t="n">
        <f aca="false">G319-E319</f>
        <v>2</v>
      </c>
      <c r="G319" s="190" t="n">
        <f aca="true">G307+OFFSET($CG$4,$B319,$C319)</f>
        <v>31</v>
      </c>
      <c r="H319" s="96" t="n">
        <f aca="true">G319+OFFSET($CU$4,$B319,$C319)</f>
        <v>26</v>
      </c>
      <c r="I319" s="96" t="n">
        <f aca="true">G319+OFFSET($DI$4,$B319,$C319)</f>
        <v>65</v>
      </c>
      <c r="J319" s="94" t="n">
        <f aca="false">VLOOKUP($D319,tblPriorPrice,3)</f>
        <v>29</v>
      </c>
      <c r="K319" s="190" t="n">
        <f aca="false">L319-J319</f>
        <v>2</v>
      </c>
      <c r="L319" s="190" t="n">
        <f aca="true">L307+OFFSET($CG$27,$B319,$C319)</f>
        <v>31</v>
      </c>
      <c r="M319" s="96" t="n">
        <f aca="true">$L319+OFFSET($CU$27,$B319,$C319)</f>
        <v>26</v>
      </c>
      <c r="N319" s="97" t="n">
        <f aca="true">$L319+OFFSET($DI$27,$B319,$C319)</f>
        <v>55</v>
      </c>
      <c r="O319" s="59" t="n">
        <f aca="true">IF($A319="",0,INDEX(tblPosn,$A319,2))</f>
        <v>0</v>
      </c>
      <c r="P319" s="59" t="n">
        <f aca="true">IF($A319="",0,INDEX(tblPosn,$A319,3))</f>
        <v>0</v>
      </c>
      <c r="Q319" s="59" t="n">
        <f aca="true">IF($A319="",0,INDEX(tblPosn,$A319,4))</f>
        <v>0</v>
      </c>
      <c r="R319" s="59" t="n">
        <f aca="true">IF($A319="",0,INDEX(tblPosn,$A319,5))</f>
        <v>0</v>
      </c>
      <c r="V319" s="161" t="n">
        <f aca="false">D319</f>
        <v>45597</v>
      </c>
      <c r="W319" s="94" t="n">
        <f aca="false">VLOOKUP($D319,tblPriorPrice,4)</f>
        <v>29</v>
      </c>
      <c r="X319" s="95" t="n">
        <f aca="false">Y319-W319</f>
        <v>2</v>
      </c>
      <c r="Y319" s="191" t="n">
        <f aca="true">Y307+OFFSET($CG$50,$B319,$C319)</f>
        <v>31</v>
      </c>
      <c r="Z319" s="96" t="n">
        <f aca="true">Y319+OFFSET($CU$51,$B319,$C319)</f>
        <v>31</v>
      </c>
      <c r="AA319" s="177" t="n">
        <f aca="true">Y319+OFFSET($DI$51,$B319,$C319)</f>
        <v>31</v>
      </c>
      <c r="AB319" s="94" t="n">
        <f aca="false">VLOOKUP($D319,tblPriorPrice,5)</f>
        <v>29</v>
      </c>
      <c r="AC319" s="190" t="n">
        <f aca="false">AD319-AB319</f>
        <v>2</v>
      </c>
      <c r="AD319" s="191" t="n">
        <f aca="true">AD307+OFFSET($CG$73,$B319,$C319)</f>
        <v>31</v>
      </c>
      <c r="AE319" s="96" t="n">
        <f aca="true">AD319+OFFSET($CU$74,$B319,$C319)</f>
        <v>31</v>
      </c>
      <c r="AF319" s="177" t="n">
        <f aca="true">AD319+OFFSET($DI$74,$B319,$C319)</f>
        <v>31</v>
      </c>
      <c r="AG319" s="94" t="n">
        <f aca="false">VLOOKUP($D319,tblPriorPrice,6)</f>
        <v>1</v>
      </c>
      <c r="AH319" s="190" t="n">
        <f aca="false">AI319-AG319</f>
        <v>0</v>
      </c>
      <c r="AI319" s="191" t="n">
        <f aca="true">AI307+OFFSET($CG$96,$B319,$C319)</f>
        <v>1</v>
      </c>
      <c r="AJ319" s="96" t="n">
        <f aca="true">AI319+OFFSET($CU$96,$B319,$C319)</f>
        <v>1</v>
      </c>
      <c r="AK319" s="97" t="n">
        <f aca="true">AI319+OFFSET($DI$96,$B319,$C319)</f>
        <v>1</v>
      </c>
      <c r="AL319" s="178" t="n">
        <v>74</v>
      </c>
      <c r="AM319" s="165" t="n">
        <v>0.4</v>
      </c>
      <c r="AN319" s="167" t="n">
        <f aca="false">'[3]Pricing Summary'!$AM297</f>
        <v>0</v>
      </c>
      <c r="AO319" s="167" t="n">
        <f aca="false">0.9*AN319</f>
        <v>0</v>
      </c>
      <c r="AP319" s="166" t="n">
        <f aca="false">1.5*AN319</f>
        <v>0</v>
      </c>
      <c r="AQ319" s="167" t="n">
        <f aca="false">AN319</f>
        <v>0</v>
      </c>
      <c r="AR319" s="166" t="n">
        <f aca="false">0.8*AQ319</f>
        <v>0</v>
      </c>
      <c r="AS319" s="166" t="n">
        <f aca="false">1.2*AQ319</f>
        <v>0</v>
      </c>
      <c r="AT319" s="169" t="n">
        <f aca="false">IF(G319&lt;110,17.94063*(LN(G319/100))+6.727568*(LN(G319/100)^2)+15.06494,(-4.1*G319+2135)/100)*0.5</f>
        <v>1.64058990686036</v>
      </c>
      <c r="AU319" s="169" t="n">
        <f aca="false">(0.75*AT319-AT319)</f>
        <v>-0.410147476715089</v>
      </c>
      <c r="AV319" s="166" t="n">
        <f aca="false">AT319/0.5*1.25-AT319</f>
        <v>2.46088486029054</v>
      </c>
      <c r="AW319" s="168" t="n">
        <f aca="false">IF(L319&lt;15,(15*L319+375)/100,(-4.71*L319+670.65)/100)*0.5</f>
        <v>2.6232</v>
      </c>
      <c r="AX319" s="166" t="n">
        <f aca="false">0.75*AW319-AW319</f>
        <v>-0.6558</v>
      </c>
      <c r="AY319" s="166" t="n">
        <f aca="false">AW319/0.5*1.25-AW319</f>
        <v>3.9348</v>
      </c>
      <c r="AZ319" s="167" t="n">
        <v>0.5</v>
      </c>
      <c r="BA319" s="74"/>
      <c r="BZ319" s="43" t="n">
        <v>45597</v>
      </c>
      <c r="CA319" s="0" t="n">
        <v>31</v>
      </c>
      <c r="CB319" s="63" t="n">
        <v>31</v>
      </c>
      <c r="CC319" s="63" t="n">
        <v>31</v>
      </c>
      <c r="CD319" s="63" t="n">
        <v>31</v>
      </c>
      <c r="CE319" s="63" t="n">
        <v>1</v>
      </c>
    </row>
    <row r="320" customFormat="false" ht="12.75" hidden="false" customHeight="false" outlineLevel="0" collapsed="false">
      <c r="A320" s="0" t="str">
        <f aca="true">IF(ISERROR(MATCH(D320,iRefDt,0)),"",MATCH(D320,iRefDt,0))</f>
        <v/>
      </c>
      <c r="B320" s="92" t="n">
        <f aca="false">MATCH(YEAR(D320),iSpreads)</f>
        <v>20</v>
      </c>
      <c r="C320" s="0" t="n">
        <f aca="false">MONTH(D320)</f>
        <v>12</v>
      </c>
      <c r="D320" s="93" t="n">
        <f aca="false">DATE(YEAR(D319),MONTH(D319)+1,1)</f>
        <v>45627</v>
      </c>
      <c r="E320" s="94" t="n">
        <f aca="false">VLOOKUP($D320,tblPriorPrice,2)</f>
        <v>29</v>
      </c>
      <c r="F320" s="190" t="n">
        <f aca="false">G320-E320</f>
        <v>3</v>
      </c>
      <c r="G320" s="190" t="n">
        <f aca="true">G308+OFFSET($CG$4,$B320,$C320)</f>
        <v>32</v>
      </c>
      <c r="H320" s="96" t="n">
        <f aca="true">G320+OFFSET($CU$4,$B320,$C320)</f>
        <v>27</v>
      </c>
      <c r="I320" s="96" t="n">
        <f aca="true">G320+OFFSET($DI$4,$B320,$C320)</f>
        <v>66</v>
      </c>
      <c r="J320" s="94" t="n">
        <f aca="false">VLOOKUP($D320,tblPriorPrice,3)</f>
        <v>29</v>
      </c>
      <c r="K320" s="190" t="n">
        <f aca="false">L320-J320</f>
        <v>0</v>
      </c>
      <c r="L320" s="190" t="n">
        <f aca="true">L308+OFFSET($CG$27,$B320,$C320)</f>
        <v>29</v>
      </c>
      <c r="M320" s="96" t="n">
        <f aca="true">$L320+OFFSET($CU$27,$B320,$C320)</f>
        <v>24</v>
      </c>
      <c r="N320" s="97" t="n">
        <f aca="true">$L320+OFFSET($DI$27,$B320,$C320)</f>
        <v>53</v>
      </c>
      <c r="O320" s="59" t="n">
        <f aca="true">IF($A320="",0,INDEX(tblPosn,$A320,2))</f>
        <v>0</v>
      </c>
      <c r="P320" s="59" t="n">
        <f aca="true">IF($A320="",0,INDEX(tblPosn,$A320,3))</f>
        <v>0</v>
      </c>
      <c r="Q320" s="59" t="n">
        <f aca="true">IF($A320="",0,INDEX(tblPosn,$A320,4))</f>
        <v>0</v>
      </c>
      <c r="R320" s="59" t="n">
        <f aca="true">IF($A320="",0,INDEX(tblPosn,$A320,5))</f>
        <v>0</v>
      </c>
      <c r="V320" s="161" t="n">
        <f aca="false">D320</f>
        <v>45627</v>
      </c>
      <c r="W320" s="94" t="n">
        <f aca="false">VLOOKUP($D320,tblPriorPrice,4)</f>
        <v>29</v>
      </c>
      <c r="X320" s="95" t="n">
        <f aca="false">Y320-W320</f>
        <v>0</v>
      </c>
      <c r="Y320" s="191" t="n">
        <f aca="true">Y308+OFFSET($CG$50,$B320,$C320)</f>
        <v>29</v>
      </c>
      <c r="Z320" s="96" t="n">
        <f aca="true">Y320+OFFSET($CU$51,$B320,$C320)</f>
        <v>29</v>
      </c>
      <c r="AA320" s="177" t="n">
        <f aca="true">Y320+OFFSET($DI$51,$B320,$C320)</f>
        <v>29</v>
      </c>
      <c r="AB320" s="94" t="n">
        <f aca="false">VLOOKUP($D320,tblPriorPrice,5)</f>
        <v>29</v>
      </c>
      <c r="AC320" s="190" t="n">
        <f aca="false">AD320-AB320</f>
        <v>0</v>
      </c>
      <c r="AD320" s="191" t="n">
        <f aca="true">AD308+OFFSET($CG$73,$B320,$C320)</f>
        <v>29</v>
      </c>
      <c r="AE320" s="96" t="n">
        <f aca="true">AD320+OFFSET($CU$74,$B320,$C320)</f>
        <v>29</v>
      </c>
      <c r="AF320" s="177" t="n">
        <f aca="true">AD320+OFFSET($DI$74,$B320,$C320)</f>
        <v>29</v>
      </c>
      <c r="AG320" s="94" t="n">
        <f aca="false">VLOOKUP($D320,tblPriorPrice,6)</f>
        <v>1</v>
      </c>
      <c r="AH320" s="190" t="n">
        <f aca="false">AI320-AG320</f>
        <v>0</v>
      </c>
      <c r="AI320" s="191" t="n">
        <f aca="true">AI308+OFFSET($CG$96,$B320,$C320)</f>
        <v>1</v>
      </c>
      <c r="AJ320" s="96" t="n">
        <f aca="true">AI320+OFFSET($CU$96,$B320,$C320)</f>
        <v>1</v>
      </c>
      <c r="AK320" s="97" t="n">
        <f aca="true">AI320+OFFSET($DI$96,$B320,$C320)</f>
        <v>1</v>
      </c>
      <c r="AL320" s="178" t="n">
        <v>74</v>
      </c>
      <c r="AM320" s="165" t="n">
        <v>0.4</v>
      </c>
      <c r="AN320" s="167" t="n">
        <f aca="false">'[3]Pricing Summary'!$AM298</f>
        <v>0</v>
      </c>
      <c r="AO320" s="167" t="n">
        <f aca="false">0.9*AN320</f>
        <v>0</v>
      </c>
      <c r="AP320" s="166" t="n">
        <f aca="false">1.5*AN320</f>
        <v>0</v>
      </c>
      <c r="AQ320" s="167" t="n">
        <f aca="false">AN320</f>
        <v>0</v>
      </c>
      <c r="AR320" s="166" t="n">
        <f aca="false">0.8*AQ320</f>
        <v>0</v>
      </c>
      <c r="AS320" s="166" t="n">
        <f aca="false">1.2*AQ320</f>
        <v>0</v>
      </c>
      <c r="AT320" s="169" t="n">
        <f aca="false">IF(G320&lt;110,17.94063*(LN(G320/100))+6.727568*(LN(G320/100)^2)+15.06494,(-4.1*G320+2135)/100)*0.5</f>
        <v>1.67862159684781</v>
      </c>
      <c r="AU320" s="169" t="n">
        <f aca="false">(0.75*AT320-AT320)</f>
        <v>-0.419655399211954</v>
      </c>
      <c r="AV320" s="166" t="n">
        <f aca="false">AT320/0.5*1.25-AT320</f>
        <v>2.51793239527172</v>
      </c>
      <c r="AW320" s="168" t="n">
        <f aca="false">IF(L320&lt;15,(15*L320+375)/100,(-4.71*L320+670.65)/100)*0.5</f>
        <v>2.6703</v>
      </c>
      <c r="AX320" s="166" t="n">
        <f aca="false">0.75*AW320-AW320</f>
        <v>-0.667575</v>
      </c>
      <c r="AY320" s="166" t="n">
        <f aca="false">AW320/0.5*1.25-AW320</f>
        <v>4.00545</v>
      </c>
      <c r="AZ320" s="167" t="n">
        <v>0.5</v>
      </c>
      <c r="BA320" s="74"/>
      <c r="BZ320" s="43" t="n">
        <v>45627</v>
      </c>
      <c r="CA320" s="0" t="n">
        <v>32</v>
      </c>
      <c r="CB320" s="63" t="n">
        <v>29</v>
      </c>
      <c r="CC320" s="63" t="n">
        <v>29</v>
      </c>
      <c r="CD320" s="63" t="n">
        <v>29</v>
      </c>
      <c r="CE320" s="63" t="n">
        <v>1</v>
      </c>
    </row>
    <row r="321" customFormat="false" ht="12.75" hidden="false" customHeight="false" outlineLevel="0" collapsed="false">
      <c r="A321" s="0" t="str">
        <f aca="true">IF(ISERROR(MATCH(D321,iRefDt,0)),"",MATCH(D321,iRefDt,0))</f>
        <v/>
      </c>
      <c r="B321" s="92" t="n">
        <f aca="false">MATCH(YEAR(D321),iSpreads)</f>
        <v>20</v>
      </c>
      <c r="C321" s="0" t="n">
        <f aca="false">MONTH(D321)</f>
        <v>1</v>
      </c>
      <c r="D321" s="93" t="n">
        <f aca="false">DATE(YEAR(D320),MONTH(D320)+1,1)</f>
        <v>45658</v>
      </c>
      <c r="E321" s="94" t="n">
        <f aca="false">VLOOKUP($D321,tblPriorPrice,2)</f>
        <v>29</v>
      </c>
      <c r="F321" s="190" t="n">
        <f aca="false">G321-E321</f>
        <v>4</v>
      </c>
      <c r="G321" s="190" t="n">
        <f aca="true">G309+OFFSET($CG$4,$B321,$C321)</f>
        <v>33</v>
      </c>
      <c r="H321" s="96" t="n">
        <f aca="true">G321+OFFSET($CU$4,$B321,$C321)</f>
        <v>28</v>
      </c>
      <c r="I321" s="96" t="n">
        <f aca="true">G321+OFFSET($DI$4,$B321,$C321)</f>
        <v>67</v>
      </c>
      <c r="J321" s="94" t="n">
        <f aca="false">VLOOKUP($D321,tblPriorPrice,3)</f>
        <v>29</v>
      </c>
      <c r="K321" s="190" t="n">
        <f aca="false">L321-J321</f>
        <v>2</v>
      </c>
      <c r="L321" s="190" t="n">
        <f aca="true">L309+OFFSET($CG$27,$B321,$C321)</f>
        <v>31</v>
      </c>
      <c r="M321" s="96" t="n">
        <f aca="true">$L321+OFFSET($CU$27,$B321,$C321)</f>
        <v>26</v>
      </c>
      <c r="N321" s="97" t="n">
        <f aca="true">$L321+OFFSET($DI$27,$B321,$C321)</f>
        <v>55</v>
      </c>
      <c r="O321" s="59" t="n">
        <f aca="true">IF($A321="",0,INDEX(tblPosn,$A321,2))</f>
        <v>0</v>
      </c>
      <c r="P321" s="59" t="n">
        <f aca="true">IF($A321="",0,INDEX(tblPosn,$A321,3))</f>
        <v>0</v>
      </c>
      <c r="Q321" s="59" t="n">
        <f aca="true">IF($A321="",0,INDEX(tblPosn,$A321,4))</f>
        <v>0</v>
      </c>
      <c r="R321" s="59" t="n">
        <f aca="true">IF($A321="",0,INDEX(tblPosn,$A321,5))</f>
        <v>0</v>
      </c>
      <c r="V321" s="161" t="n">
        <f aca="false">D321</f>
        <v>45658</v>
      </c>
      <c r="W321" s="94" t="n">
        <f aca="false">VLOOKUP($D321,tblPriorPrice,4)</f>
        <v>29</v>
      </c>
      <c r="X321" s="95" t="n">
        <f aca="false">Y321-W321</f>
        <v>2</v>
      </c>
      <c r="Y321" s="191" t="n">
        <f aca="true">Y309+OFFSET($CG$50,$B321,$C321)</f>
        <v>31</v>
      </c>
      <c r="Z321" s="96" t="n">
        <f aca="true">Y321+OFFSET($CU$51,$B321,$C321)</f>
        <v>31</v>
      </c>
      <c r="AA321" s="177" t="n">
        <f aca="true">Y321+OFFSET($DI$51,$B321,$C321)</f>
        <v>31</v>
      </c>
      <c r="AB321" s="94" t="n">
        <f aca="false">VLOOKUP($D321,tblPriorPrice,5)</f>
        <v>29</v>
      </c>
      <c r="AC321" s="190" t="n">
        <f aca="false">AD321-AB321</f>
        <v>2</v>
      </c>
      <c r="AD321" s="191" t="n">
        <f aca="true">AD309+OFFSET($CG$73,$B321,$C321)</f>
        <v>31</v>
      </c>
      <c r="AE321" s="96" t="n">
        <f aca="true">AD321+OFFSET($CU$74,$B321,$C321)</f>
        <v>31</v>
      </c>
      <c r="AF321" s="177" t="n">
        <f aca="true">AD321+OFFSET($DI$74,$B321,$C321)</f>
        <v>31</v>
      </c>
      <c r="AG321" s="94" t="n">
        <f aca="false">VLOOKUP($D321,tblPriorPrice,6)</f>
        <v>1</v>
      </c>
      <c r="AH321" s="190" t="n">
        <f aca="false">AI321-AG321</f>
        <v>0</v>
      </c>
      <c r="AI321" s="191" t="n">
        <f aca="true">AI309+OFFSET($CG$96,$B321,$C321)</f>
        <v>1</v>
      </c>
      <c r="AJ321" s="96" t="n">
        <f aca="true">AI321+OFFSET($CU$96,$B321,$C321)</f>
        <v>1</v>
      </c>
      <c r="AK321" s="97" t="n">
        <f aca="true">AI321+OFFSET($DI$96,$B321,$C321)</f>
        <v>1</v>
      </c>
      <c r="AL321" s="178" t="n">
        <v>74</v>
      </c>
      <c r="AM321" s="165" t="n">
        <v>0.4</v>
      </c>
      <c r="AN321" s="167" t="n">
        <f aca="false">'[3]Pricing Summary'!$AM299</f>
        <v>0</v>
      </c>
      <c r="AO321" s="167" t="n">
        <f aca="false">0.9*AN321</f>
        <v>0</v>
      </c>
      <c r="AP321" s="166" t="n">
        <f aca="false">1.5*AN321</f>
        <v>0</v>
      </c>
      <c r="AQ321" s="167" t="n">
        <f aca="false">AN321</f>
        <v>0</v>
      </c>
      <c r="AR321" s="166" t="n">
        <f aca="false">0.8*AQ321</f>
        <v>0</v>
      </c>
      <c r="AS321" s="166" t="n">
        <f aca="false">1.2*AQ321</f>
        <v>0</v>
      </c>
      <c r="AT321" s="169" t="n">
        <f aca="false">IF(G321&lt;110,17.94063*(LN(G321/100))+6.727568*(LN(G321/100)^2)+15.06494,(-4.1*G321+2135)/100)*0.5</f>
        <v>1.72195432632388</v>
      </c>
      <c r="AU321" s="169" t="n">
        <f aca="false">(0.75*AT321-AT321)</f>
        <v>-0.43048858158097</v>
      </c>
      <c r="AV321" s="166" t="n">
        <f aca="false">AT321/0.5*1.25-AT321</f>
        <v>2.58293148948582</v>
      </c>
      <c r="AW321" s="168" t="n">
        <f aca="false">IF(L321&lt;15,(15*L321+375)/100,(-4.71*L321+670.65)/100)*0.5</f>
        <v>2.6232</v>
      </c>
      <c r="AX321" s="166" t="n">
        <f aca="false">0.75*AW321-AW321</f>
        <v>-0.6558</v>
      </c>
      <c r="AY321" s="166" t="n">
        <f aca="false">AW321/0.5*1.25-AW321</f>
        <v>3.9348</v>
      </c>
      <c r="AZ321" s="167" t="n">
        <v>0.5</v>
      </c>
      <c r="BA321" s="74"/>
      <c r="BZ321" s="43" t="n">
        <v>45658</v>
      </c>
      <c r="CA321" s="0" t="n">
        <v>33</v>
      </c>
      <c r="CB321" s="63" t="n">
        <v>31</v>
      </c>
      <c r="CC321" s="63" t="n">
        <v>31</v>
      </c>
      <c r="CD321" s="63" t="n">
        <v>31</v>
      </c>
      <c r="CE321" s="63" t="n">
        <v>1</v>
      </c>
    </row>
    <row r="322" customFormat="false" ht="12.75" hidden="false" customHeight="false" outlineLevel="0" collapsed="false">
      <c r="A322" s="0" t="str">
        <f aca="true">IF(ISERROR(MATCH(D322,iRefDt,0)),"",MATCH(D322,iRefDt,0))</f>
        <v/>
      </c>
      <c r="B322" s="92" t="n">
        <f aca="false">MATCH(YEAR(D322),iSpreads)</f>
        <v>20</v>
      </c>
      <c r="C322" s="0" t="n">
        <f aca="false">MONTH(D322)</f>
        <v>2</v>
      </c>
      <c r="D322" s="93" t="n">
        <f aca="false">DATE(YEAR(D321),MONTH(D321)+1,1)</f>
        <v>45689</v>
      </c>
      <c r="E322" s="94" t="n">
        <f aca="false">VLOOKUP($D322,tblPriorPrice,2)</f>
        <v>29</v>
      </c>
      <c r="F322" s="190" t="n">
        <f aca="false">G322-E322</f>
        <v>1</v>
      </c>
      <c r="G322" s="190" t="n">
        <f aca="true">G310+OFFSET($CG$4,$B322,$C322)</f>
        <v>30</v>
      </c>
      <c r="H322" s="96" t="n">
        <f aca="true">G322+OFFSET($CU$4,$B322,$C322)</f>
        <v>25</v>
      </c>
      <c r="I322" s="96" t="n">
        <f aca="true">G322+OFFSET($DI$4,$B322,$C322)</f>
        <v>64</v>
      </c>
      <c r="J322" s="94" t="n">
        <f aca="false">VLOOKUP($D322,tblPriorPrice,3)</f>
        <v>29</v>
      </c>
      <c r="K322" s="190" t="n">
        <f aca="false">L322-J322</f>
        <v>1</v>
      </c>
      <c r="L322" s="190" t="n">
        <f aca="true">L310+OFFSET($CG$27,$B322,$C322)</f>
        <v>30</v>
      </c>
      <c r="M322" s="96" t="n">
        <f aca="true">$L322+OFFSET($CU$27,$B322,$C322)</f>
        <v>25</v>
      </c>
      <c r="N322" s="97" t="n">
        <f aca="true">$L322+OFFSET($DI$27,$B322,$C322)</f>
        <v>54</v>
      </c>
      <c r="O322" s="59" t="n">
        <f aca="true">IF($A322="",0,INDEX(tblPosn,$A322,2))</f>
        <v>0</v>
      </c>
      <c r="P322" s="59" t="n">
        <f aca="true">IF($A322="",0,INDEX(tblPosn,$A322,3))</f>
        <v>0</v>
      </c>
      <c r="Q322" s="59" t="n">
        <f aca="true">IF($A322="",0,INDEX(tblPosn,$A322,4))</f>
        <v>0</v>
      </c>
      <c r="R322" s="59" t="n">
        <f aca="true">IF($A322="",0,INDEX(tblPosn,$A322,5))</f>
        <v>0</v>
      </c>
      <c r="V322" s="161" t="n">
        <f aca="false">D322</f>
        <v>45689</v>
      </c>
      <c r="W322" s="94" t="n">
        <f aca="false">VLOOKUP($D322,tblPriorPrice,4)</f>
        <v>29</v>
      </c>
      <c r="X322" s="95" t="n">
        <f aca="false">Y322-W322</f>
        <v>1</v>
      </c>
      <c r="Y322" s="191" t="n">
        <f aca="true">Y310+OFFSET($CG$50,$B322,$C322)</f>
        <v>30</v>
      </c>
      <c r="Z322" s="96" t="n">
        <f aca="true">Y322+OFFSET($CU$51,$B322,$C322)</f>
        <v>30</v>
      </c>
      <c r="AA322" s="177" t="n">
        <f aca="true">Y322+OFFSET($DI$51,$B322,$C322)</f>
        <v>30</v>
      </c>
      <c r="AB322" s="94" t="n">
        <f aca="false">VLOOKUP($D322,tblPriorPrice,5)</f>
        <v>29</v>
      </c>
      <c r="AC322" s="190" t="n">
        <f aca="false">AD322-AB322</f>
        <v>1</v>
      </c>
      <c r="AD322" s="191" t="n">
        <f aca="true">AD310+OFFSET($CG$73,$B322,$C322)</f>
        <v>30</v>
      </c>
      <c r="AE322" s="96" t="n">
        <f aca="true">AD322+OFFSET($CU$74,$B322,$C322)</f>
        <v>30</v>
      </c>
      <c r="AF322" s="177" t="n">
        <f aca="true">AD322+OFFSET($DI$74,$B322,$C322)</f>
        <v>30</v>
      </c>
      <c r="AG322" s="94" t="n">
        <f aca="false">VLOOKUP($D322,tblPriorPrice,6)</f>
        <v>1</v>
      </c>
      <c r="AH322" s="190" t="n">
        <f aca="false">AI322-AG322</f>
        <v>0</v>
      </c>
      <c r="AI322" s="191" t="n">
        <f aca="true">AI310+OFFSET($CG$96,$B322,$C322)</f>
        <v>1</v>
      </c>
      <c r="AJ322" s="96" t="n">
        <f aca="true">AI322+OFFSET($CU$96,$B322,$C322)</f>
        <v>1</v>
      </c>
      <c r="AK322" s="97" t="n">
        <f aca="true">AI322+OFFSET($DI$96,$B322,$C322)</f>
        <v>1</v>
      </c>
      <c r="AL322" s="178" t="n">
        <v>74</v>
      </c>
      <c r="AM322" s="165" t="n">
        <v>0.4</v>
      </c>
      <c r="AN322" s="167" t="n">
        <f aca="false">'[3]Pricing Summary'!$AM300</f>
        <v>0</v>
      </c>
      <c r="AO322" s="167" t="n">
        <f aca="false">0.9*AN322</f>
        <v>0</v>
      </c>
      <c r="AP322" s="166" t="n">
        <f aca="false">1.5*AN322</f>
        <v>0</v>
      </c>
      <c r="AQ322" s="167" t="n">
        <f aca="false">AN322</f>
        <v>0</v>
      </c>
      <c r="AR322" s="166" t="n">
        <f aca="false">0.8*AQ322</f>
        <v>0</v>
      </c>
      <c r="AS322" s="166" t="n">
        <f aca="false">1.2*AQ322</f>
        <v>0</v>
      </c>
      <c r="AT322" s="169" t="n">
        <f aca="false">IF(G322&lt;110,17.94063*(LN(G322/100))+6.727568*(LN(G322/100)^2)+15.06494,(-4.1*G322+2135)/100)*0.5</f>
        <v>1.60842951845599</v>
      </c>
      <c r="AU322" s="169" t="n">
        <f aca="false">(0.75*AT322-AT322)</f>
        <v>-0.402107379613998</v>
      </c>
      <c r="AV322" s="166" t="n">
        <f aca="false">AT322/0.5*1.25-AT322</f>
        <v>2.41264427768399</v>
      </c>
      <c r="AW322" s="168" t="n">
        <f aca="false">IF(L322&lt;15,(15*L322+375)/100,(-4.71*L322+670.65)/100)*0.5</f>
        <v>2.64675</v>
      </c>
      <c r="AX322" s="166" t="n">
        <f aca="false">0.75*AW322-AW322</f>
        <v>-0.6616875</v>
      </c>
      <c r="AY322" s="166" t="n">
        <f aca="false">AW322/0.5*1.25-AW322</f>
        <v>3.970125</v>
      </c>
      <c r="AZ322" s="167" t="n">
        <v>0.5</v>
      </c>
      <c r="BA322" s="74"/>
      <c r="BZ322" s="43" t="n">
        <v>45689</v>
      </c>
      <c r="CA322" s="0" t="n">
        <v>30</v>
      </c>
      <c r="CB322" s="63" t="n">
        <v>30</v>
      </c>
      <c r="CC322" s="63" t="n">
        <v>30</v>
      </c>
      <c r="CD322" s="63" t="n">
        <v>30</v>
      </c>
      <c r="CE322" s="63" t="n">
        <v>1</v>
      </c>
    </row>
    <row r="323" customFormat="false" ht="12.75" hidden="false" customHeight="false" outlineLevel="0" collapsed="false">
      <c r="D323" s="0"/>
      <c r="E323" s="0"/>
      <c r="F323" s="0"/>
      <c r="G323" s="0"/>
      <c r="H323" s="0"/>
      <c r="I323" s="0"/>
      <c r="J323" s="0"/>
      <c r="X323" s="0"/>
      <c r="Y323" s="0"/>
      <c r="Z323" s="0"/>
      <c r="AA323" s="0"/>
      <c r="AB323" s="0"/>
      <c r="AG323" s="0"/>
    </row>
    <row r="324" customFormat="false" ht="12.75" hidden="false" customHeight="false" outlineLevel="0" collapsed="false">
      <c r="D324" s="0"/>
      <c r="E324" s="0"/>
      <c r="F324" s="0"/>
      <c r="G324" s="0"/>
      <c r="H324" s="0"/>
      <c r="I324" s="0"/>
      <c r="J324" s="0"/>
      <c r="X324" s="0"/>
      <c r="Y324" s="0"/>
      <c r="Z324" s="0"/>
      <c r="AA324" s="0"/>
      <c r="AB324" s="0"/>
      <c r="AG324" s="0"/>
    </row>
    <row r="325" customFormat="false" ht="12.75" hidden="false" customHeight="false" outlineLevel="0" collapsed="false">
      <c r="D325" s="0"/>
      <c r="E325" s="0"/>
      <c r="F325" s="0"/>
      <c r="G325" s="0"/>
      <c r="H325" s="0"/>
      <c r="I325" s="0"/>
      <c r="J325" s="0"/>
      <c r="X325" s="0"/>
      <c r="Y325" s="0"/>
      <c r="Z325" s="0"/>
      <c r="AA325" s="0"/>
      <c r="AB325" s="0"/>
      <c r="AG325" s="0"/>
    </row>
    <row r="326" customFormat="false" ht="12.75" hidden="false" customHeight="false" outlineLevel="0" collapsed="false">
      <c r="D326" s="0"/>
      <c r="E326" s="0"/>
      <c r="F326" s="0"/>
      <c r="G326" s="0"/>
      <c r="H326" s="0"/>
      <c r="I326" s="0"/>
      <c r="J326" s="0"/>
      <c r="X326" s="0"/>
      <c r="Y326" s="0"/>
      <c r="Z326" s="0"/>
      <c r="AA326" s="0"/>
      <c r="AB326" s="0"/>
      <c r="AG326" s="0"/>
    </row>
    <row r="327" customFormat="false" ht="12.75" hidden="false" customHeight="false" outlineLevel="0" collapsed="false">
      <c r="D327" s="0"/>
      <c r="E327" s="0"/>
      <c r="F327" s="0"/>
      <c r="G327" s="0"/>
      <c r="H327" s="0"/>
      <c r="I327" s="0"/>
      <c r="J327" s="0"/>
      <c r="X327" s="0"/>
      <c r="Y327" s="0"/>
      <c r="Z327" s="0"/>
      <c r="AA327" s="0"/>
      <c r="AB327" s="0"/>
      <c r="AG327" s="0"/>
    </row>
    <row r="328" customFormat="false" ht="12.75" hidden="false" customHeight="false" outlineLevel="0" collapsed="false">
      <c r="D328" s="0"/>
      <c r="E328" s="0"/>
      <c r="F328" s="0"/>
      <c r="G328" s="0"/>
      <c r="H328" s="0"/>
      <c r="I328" s="0"/>
      <c r="J328" s="0"/>
      <c r="X328" s="0"/>
      <c r="Y328" s="0"/>
      <c r="Z328" s="0"/>
      <c r="AA328" s="0"/>
      <c r="AB328" s="0"/>
      <c r="AG328" s="0"/>
    </row>
    <row r="329" customFormat="false" ht="12.75" hidden="false" customHeight="false" outlineLevel="0" collapsed="false">
      <c r="D329" s="0"/>
      <c r="E329" s="0"/>
      <c r="F329" s="0"/>
      <c r="G329" s="0"/>
      <c r="H329" s="0"/>
      <c r="I329" s="0"/>
      <c r="J329" s="0"/>
      <c r="X329" s="0"/>
      <c r="Y329" s="0"/>
      <c r="Z329" s="0"/>
      <c r="AA329" s="0"/>
      <c r="AB329" s="0"/>
      <c r="AG329" s="0"/>
    </row>
    <row r="330" customFormat="false" ht="12.75" hidden="false" customHeight="false" outlineLevel="0" collapsed="false">
      <c r="D330" s="0"/>
      <c r="E330" s="0"/>
      <c r="F330" s="0"/>
      <c r="G330" s="0"/>
      <c r="H330" s="0"/>
      <c r="I330" s="0"/>
      <c r="J330" s="0"/>
      <c r="X330" s="0"/>
      <c r="Y330" s="0"/>
      <c r="Z330" s="0"/>
      <c r="AA330" s="0"/>
      <c r="AB330" s="0"/>
      <c r="AG330" s="0"/>
    </row>
    <row r="331" customFormat="false" ht="12.75" hidden="false" customHeight="false" outlineLevel="0" collapsed="false">
      <c r="D331" s="0"/>
      <c r="E331" s="0"/>
      <c r="F331" s="0"/>
      <c r="G331" s="0"/>
      <c r="H331" s="0"/>
      <c r="I331" s="0"/>
      <c r="J331" s="0"/>
      <c r="X331" s="0"/>
      <c r="Y331" s="0"/>
      <c r="Z331" s="0"/>
      <c r="AA331" s="0"/>
      <c r="AB331" s="0"/>
      <c r="AG331" s="0"/>
    </row>
    <row r="332" customFormat="false" ht="12.75" hidden="false" customHeight="false" outlineLevel="0" collapsed="false">
      <c r="D332" s="0"/>
      <c r="E332" s="0"/>
      <c r="F332" s="0"/>
      <c r="G332" s="0"/>
      <c r="H332" s="0"/>
      <c r="I332" s="0"/>
      <c r="J332" s="0"/>
      <c r="X332" s="0"/>
      <c r="Y332" s="0"/>
      <c r="Z332" s="0"/>
      <c r="AA332" s="0"/>
      <c r="AB332" s="0"/>
      <c r="AG332" s="0"/>
    </row>
    <row r="333" customFormat="false" ht="12.75" hidden="false" customHeight="false" outlineLevel="0" collapsed="false">
      <c r="D333" s="0"/>
      <c r="E333" s="0"/>
      <c r="F333" s="0"/>
      <c r="G333" s="0"/>
      <c r="H333" s="0"/>
      <c r="I333" s="0"/>
      <c r="J333" s="0"/>
      <c r="X333" s="0"/>
      <c r="Y333" s="0"/>
      <c r="Z333" s="0"/>
      <c r="AA333" s="0"/>
      <c r="AB333" s="0"/>
      <c r="AG333" s="0"/>
    </row>
    <row r="334" customFormat="false" ht="12.75" hidden="false" customHeight="false" outlineLevel="0" collapsed="false">
      <c r="D334" s="0"/>
      <c r="E334" s="0"/>
      <c r="F334" s="0"/>
      <c r="G334" s="0"/>
      <c r="H334" s="0"/>
      <c r="I334" s="0"/>
      <c r="J334" s="0"/>
      <c r="X334" s="0"/>
      <c r="Y334" s="0"/>
      <c r="Z334" s="0"/>
      <c r="AA334" s="0"/>
      <c r="AB334" s="0"/>
      <c r="AG334" s="0"/>
    </row>
    <row r="335" customFormat="false" ht="12.75" hidden="false" customHeight="false" outlineLevel="0" collapsed="false">
      <c r="D335" s="0"/>
      <c r="E335" s="0"/>
      <c r="F335" s="0"/>
      <c r="G335" s="0"/>
      <c r="H335" s="0"/>
      <c r="I335" s="0"/>
      <c r="J335" s="0"/>
      <c r="X335" s="0"/>
      <c r="Y335" s="0"/>
      <c r="Z335" s="0"/>
      <c r="AA335" s="0"/>
      <c r="AB335" s="0"/>
      <c r="AG335" s="0"/>
    </row>
    <row r="336" customFormat="false" ht="12.75" hidden="false" customHeight="false" outlineLevel="0" collapsed="false">
      <c r="D336" s="0"/>
      <c r="E336" s="0"/>
      <c r="F336" s="0"/>
      <c r="G336" s="0"/>
      <c r="H336" s="0"/>
      <c r="I336" s="0"/>
      <c r="J336" s="0"/>
      <c r="X336" s="0"/>
      <c r="Y336" s="0"/>
      <c r="Z336" s="0"/>
      <c r="AA336" s="0"/>
      <c r="AB336" s="0"/>
      <c r="AG336" s="0"/>
    </row>
    <row r="337" customFormat="false" ht="12.75" hidden="false" customHeight="false" outlineLevel="0" collapsed="false">
      <c r="D337" s="0"/>
      <c r="E337" s="0"/>
      <c r="F337" s="0"/>
      <c r="G337" s="0"/>
      <c r="H337" s="0"/>
      <c r="I337" s="0"/>
      <c r="J337" s="0"/>
      <c r="X337" s="0"/>
      <c r="Y337" s="0"/>
      <c r="Z337" s="0"/>
      <c r="AA337" s="0"/>
      <c r="AB337" s="0"/>
      <c r="AG337" s="0"/>
    </row>
    <row r="338" customFormat="false" ht="12.75" hidden="false" customHeight="false" outlineLevel="0" collapsed="false">
      <c r="D338" s="0"/>
      <c r="E338" s="0"/>
      <c r="F338" s="0"/>
      <c r="G338" s="0"/>
      <c r="H338" s="0"/>
      <c r="I338" s="0"/>
      <c r="J338" s="0"/>
      <c r="X338" s="0"/>
      <c r="Y338" s="0"/>
      <c r="Z338" s="0"/>
      <c r="AA338" s="0"/>
      <c r="AB338" s="0"/>
      <c r="AG338" s="0"/>
    </row>
    <row r="339" customFormat="false" ht="12.75" hidden="false" customHeight="false" outlineLevel="0" collapsed="false">
      <c r="D339" s="0"/>
      <c r="E339" s="0"/>
      <c r="F339" s="0"/>
      <c r="G339" s="0"/>
      <c r="H339" s="0"/>
      <c r="I339" s="0"/>
      <c r="J339" s="0"/>
      <c r="X339" s="0"/>
      <c r="Y339" s="0"/>
      <c r="Z339" s="0"/>
      <c r="AA339" s="0"/>
      <c r="AB339" s="0"/>
      <c r="AG339" s="0"/>
    </row>
    <row r="340" customFormat="false" ht="12.75" hidden="false" customHeight="false" outlineLevel="0" collapsed="false">
      <c r="D340" s="0"/>
      <c r="E340" s="0"/>
      <c r="F340" s="0"/>
      <c r="G340" s="0"/>
      <c r="H340" s="0"/>
      <c r="I340" s="0"/>
      <c r="J340" s="0"/>
      <c r="X340" s="0"/>
      <c r="Y340" s="0"/>
      <c r="Z340" s="0"/>
      <c r="AA340" s="0"/>
      <c r="AB340" s="0"/>
      <c r="AG340" s="0"/>
    </row>
    <row r="341" customFormat="false" ht="12.75" hidden="false" customHeight="false" outlineLevel="0" collapsed="false">
      <c r="D341" s="0"/>
      <c r="E341" s="0"/>
      <c r="F341" s="0"/>
      <c r="G341" s="0"/>
      <c r="H341" s="0"/>
      <c r="I341" s="0"/>
      <c r="J341" s="0"/>
      <c r="X341" s="0"/>
      <c r="Y341" s="0"/>
      <c r="Z341" s="0"/>
      <c r="AA341" s="0"/>
      <c r="AB341" s="0"/>
      <c r="AG341" s="0"/>
    </row>
    <row r="342" customFormat="false" ht="12.75" hidden="false" customHeight="false" outlineLevel="0" collapsed="false">
      <c r="D342" s="0"/>
      <c r="E342" s="0"/>
      <c r="F342" s="0"/>
      <c r="G342" s="0"/>
      <c r="H342" s="0"/>
      <c r="I342" s="0"/>
      <c r="J342" s="0"/>
      <c r="X342" s="0"/>
      <c r="Y342" s="0"/>
      <c r="Z342" s="0"/>
      <c r="AA342" s="0"/>
      <c r="AB342" s="0"/>
      <c r="AG342" s="0"/>
    </row>
    <row r="343" customFormat="false" ht="12.75" hidden="false" customHeight="false" outlineLevel="0" collapsed="false">
      <c r="D343" s="0"/>
      <c r="E343" s="0"/>
      <c r="F343" s="0"/>
      <c r="G343" s="0"/>
      <c r="H343" s="0"/>
      <c r="I343" s="0"/>
      <c r="J343" s="0"/>
      <c r="X343" s="0"/>
      <c r="Y343" s="0"/>
      <c r="Z343" s="0"/>
      <c r="AA343" s="0"/>
      <c r="AB343" s="0"/>
      <c r="AG343" s="0"/>
    </row>
    <row r="344" customFormat="false" ht="12.75" hidden="false" customHeight="false" outlineLevel="0" collapsed="false">
      <c r="D344" s="0"/>
      <c r="E344" s="0"/>
      <c r="F344" s="0"/>
      <c r="G344" s="0"/>
      <c r="H344" s="0"/>
      <c r="I344" s="0"/>
      <c r="J344" s="0"/>
      <c r="X344" s="0"/>
      <c r="Y344" s="0"/>
      <c r="Z344" s="0"/>
      <c r="AA344" s="0"/>
      <c r="AB344" s="0"/>
      <c r="AG344" s="0"/>
    </row>
    <row r="345" customFormat="false" ht="12.75" hidden="false" customHeight="false" outlineLevel="0" collapsed="false">
      <c r="D345" s="0"/>
      <c r="E345" s="0"/>
      <c r="F345" s="0"/>
      <c r="G345" s="0"/>
      <c r="H345" s="0"/>
      <c r="I345" s="0"/>
      <c r="J345" s="0"/>
      <c r="X345" s="0"/>
      <c r="Y345" s="0"/>
      <c r="Z345" s="0"/>
      <c r="AA345" s="0"/>
      <c r="AB345" s="0"/>
      <c r="AG345" s="0"/>
    </row>
    <row r="346" customFormat="false" ht="12.75" hidden="false" customHeight="false" outlineLevel="0" collapsed="false">
      <c r="D346" s="0"/>
      <c r="E346" s="0"/>
      <c r="F346" s="0"/>
      <c r="G346" s="0"/>
      <c r="H346" s="0"/>
      <c r="I346" s="0"/>
      <c r="J346" s="0"/>
      <c r="X346" s="0"/>
      <c r="Y346" s="0"/>
      <c r="Z346" s="0"/>
      <c r="AA346" s="0"/>
      <c r="AB346" s="0"/>
      <c r="AG346" s="0"/>
    </row>
    <row r="347" customFormat="false" ht="12.75" hidden="false" customHeight="false" outlineLevel="0" collapsed="false">
      <c r="D347" s="0"/>
      <c r="E347" s="0"/>
      <c r="F347" s="0"/>
      <c r="G347" s="0"/>
      <c r="H347" s="0"/>
      <c r="I347" s="0"/>
      <c r="J347" s="0"/>
      <c r="X347" s="0"/>
      <c r="Y347" s="0"/>
      <c r="Z347" s="0"/>
      <c r="AA347" s="0"/>
      <c r="AB347" s="0"/>
      <c r="AG347" s="0"/>
    </row>
    <row r="348" customFormat="false" ht="12.75" hidden="false" customHeight="false" outlineLevel="0" collapsed="false">
      <c r="D348" s="0"/>
      <c r="E348" s="0"/>
      <c r="F348" s="0"/>
      <c r="G348" s="0"/>
      <c r="H348" s="0"/>
      <c r="I348" s="0"/>
      <c r="J348" s="0"/>
      <c r="X348" s="0"/>
      <c r="Y348" s="0"/>
      <c r="Z348" s="0"/>
      <c r="AA348" s="0"/>
      <c r="AB348" s="0"/>
      <c r="AG348" s="0"/>
    </row>
    <row r="349" customFormat="false" ht="12.75" hidden="false" customHeight="false" outlineLevel="0" collapsed="false">
      <c r="D349" s="0"/>
      <c r="E349" s="0"/>
      <c r="F349" s="0"/>
      <c r="G349" s="0"/>
      <c r="H349" s="0"/>
      <c r="I349" s="0"/>
      <c r="J349" s="0"/>
      <c r="X349" s="0"/>
      <c r="Y349" s="0"/>
      <c r="Z349" s="0"/>
      <c r="AA349" s="0"/>
      <c r="AB349" s="0"/>
      <c r="AG349" s="0"/>
    </row>
    <row r="350" customFormat="false" ht="12.75" hidden="false" customHeight="false" outlineLevel="0" collapsed="false">
      <c r="D350" s="0"/>
      <c r="E350" s="0"/>
      <c r="F350" s="0"/>
      <c r="G350" s="0"/>
      <c r="H350" s="0"/>
      <c r="I350" s="0"/>
      <c r="J350" s="0"/>
      <c r="X350" s="0"/>
      <c r="Y350" s="0"/>
      <c r="Z350" s="0"/>
      <c r="AA350" s="0"/>
      <c r="AB350" s="0"/>
      <c r="AG350" s="0"/>
    </row>
    <row r="351" customFormat="false" ht="12.75" hidden="false" customHeight="false" outlineLevel="0" collapsed="false">
      <c r="D351" s="0"/>
      <c r="E351" s="0"/>
      <c r="F351" s="0"/>
      <c r="G351" s="0"/>
      <c r="H351" s="0"/>
      <c r="I351" s="0"/>
      <c r="J351" s="0"/>
      <c r="X351" s="0"/>
      <c r="Y351" s="0"/>
      <c r="Z351" s="0"/>
      <c r="AA351" s="0"/>
      <c r="AB351" s="0"/>
      <c r="AG351" s="0"/>
    </row>
    <row r="352" customFormat="false" ht="12.75" hidden="false" customHeight="false" outlineLevel="0" collapsed="false">
      <c r="D352" s="0"/>
      <c r="E352" s="0"/>
      <c r="F352" s="0"/>
      <c r="G352" s="0"/>
      <c r="H352" s="0"/>
      <c r="I352" s="0"/>
      <c r="J352" s="0"/>
      <c r="X352" s="0"/>
      <c r="Y352" s="0"/>
      <c r="Z352" s="0"/>
      <c r="AA352" s="0"/>
      <c r="AB352" s="0"/>
      <c r="AG352" s="0"/>
    </row>
    <row r="353" customFormat="false" ht="12.75" hidden="false" customHeight="false" outlineLevel="0" collapsed="false">
      <c r="D353" s="0"/>
      <c r="E353" s="0"/>
      <c r="F353" s="0"/>
      <c r="G353" s="0"/>
      <c r="H353" s="0"/>
      <c r="I353" s="0"/>
      <c r="J353" s="0"/>
      <c r="X353" s="0"/>
      <c r="Y353" s="0"/>
      <c r="Z353" s="0"/>
      <c r="AA353" s="0"/>
      <c r="AB353" s="0"/>
      <c r="AG353" s="0"/>
    </row>
    <row r="354" customFormat="false" ht="12.75" hidden="false" customHeight="false" outlineLevel="0" collapsed="false">
      <c r="D354" s="0"/>
      <c r="E354" s="0"/>
      <c r="F354" s="0"/>
      <c r="G354" s="0"/>
      <c r="H354" s="0"/>
      <c r="I354" s="0"/>
      <c r="J354" s="0"/>
      <c r="X354" s="0"/>
      <c r="Y354" s="0"/>
      <c r="Z354" s="0"/>
      <c r="AA354" s="0"/>
      <c r="AB354" s="0"/>
      <c r="AG354" s="0"/>
    </row>
    <row r="355" customFormat="false" ht="12.75" hidden="false" customHeight="false" outlineLevel="0" collapsed="false">
      <c r="D355" s="0"/>
      <c r="E355" s="0"/>
      <c r="F355" s="0"/>
      <c r="G355" s="0"/>
      <c r="H355" s="0"/>
      <c r="I355" s="0"/>
      <c r="J355" s="0"/>
      <c r="X355" s="0"/>
      <c r="Y355" s="0"/>
      <c r="Z355" s="0"/>
      <c r="AA355" s="0"/>
      <c r="AB355" s="0"/>
      <c r="AG355" s="0"/>
    </row>
    <row r="356" customFormat="false" ht="12.75" hidden="false" customHeight="false" outlineLevel="0" collapsed="false">
      <c r="D356" s="0"/>
      <c r="E356" s="0"/>
      <c r="F356" s="0"/>
      <c r="G356" s="0"/>
      <c r="H356" s="0"/>
      <c r="I356" s="0"/>
      <c r="J356" s="0"/>
      <c r="X356" s="0"/>
      <c r="Y356" s="0"/>
      <c r="Z356" s="0"/>
      <c r="AA356" s="0"/>
      <c r="AB356" s="0"/>
      <c r="AG356" s="0"/>
    </row>
    <row r="357" customFormat="false" ht="12.75" hidden="false" customHeight="false" outlineLevel="0" collapsed="false">
      <c r="D357" s="0"/>
      <c r="E357" s="0"/>
      <c r="F357" s="0"/>
      <c r="G357" s="0"/>
      <c r="H357" s="0"/>
      <c r="I357" s="0"/>
      <c r="J357" s="0"/>
    </row>
    <row r="358" customFormat="false" ht="12.75" hidden="false" customHeight="false" outlineLevel="0" collapsed="false">
      <c r="D358" s="0"/>
      <c r="E358" s="0"/>
      <c r="F358" s="0"/>
      <c r="G358" s="0"/>
      <c r="H358" s="0"/>
      <c r="I358" s="0"/>
      <c r="J358" s="0"/>
    </row>
    <row r="359" customFormat="false" ht="12.75" hidden="false" customHeight="false" outlineLevel="0" collapsed="false">
      <c r="D359" s="0"/>
      <c r="E359" s="0"/>
      <c r="F359" s="0"/>
      <c r="G359" s="0"/>
      <c r="H359" s="0"/>
      <c r="I359" s="0"/>
      <c r="J359" s="0"/>
    </row>
    <row r="360" customFormat="false" ht="12.75" hidden="false" customHeight="false" outlineLevel="0" collapsed="false">
      <c r="D360" s="0"/>
      <c r="E360" s="0"/>
      <c r="F360" s="0"/>
      <c r="G360" s="0"/>
      <c r="H360" s="0"/>
      <c r="I360" s="0"/>
      <c r="J360" s="0"/>
    </row>
    <row r="361" customFormat="false" ht="12.75" hidden="false" customHeight="false" outlineLevel="0" collapsed="false">
      <c r="D361" s="0"/>
      <c r="E361" s="0"/>
      <c r="F361" s="0"/>
      <c r="G361" s="0"/>
      <c r="H361" s="0"/>
      <c r="I361" s="0"/>
      <c r="J361" s="0"/>
    </row>
    <row r="362" customFormat="false" ht="12.75" hidden="false" customHeight="false" outlineLevel="0" collapsed="false">
      <c r="D362" s="0"/>
      <c r="E362" s="0"/>
      <c r="F362" s="0"/>
      <c r="G362" s="0"/>
      <c r="H362" s="0"/>
      <c r="I362" s="0"/>
      <c r="J362" s="0"/>
    </row>
    <row r="363" customFormat="false" ht="12.75" hidden="false" customHeight="false" outlineLevel="0" collapsed="false">
      <c r="D363" s="0"/>
      <c r="E363" s="0"/>
      <c r="F363" s="0"/>
      <c r="G363" s="0"/>
      <c r="H363" s="0"/>
      <c r="I363" s="0"/>
      <c r="J363" s="0"/>
    </row>
    <row r="364" customFormat="false" ht="12.75" hidden="false" customHeight="false" outlineLevel="0" collapsed="false">
      <c r="D364" s="0"/>
      <c r="E364" s="0"/>
      <c r="F364" s="0"/>
      <c r="G364" s="0"/>
      <c r="H364" s="0"/>
      <c r="I364" s="0"/>
      <c r="J364" s="0"/>
    </row>
    <row r="365" customFormat="false" ht="12.75" hidden="false" customHeight="false" outlineLevel="0" collapsed="false">
      <c r="D365" s="0"/>
      <c r="E365" s="0"/>
      <c r="F365" s="0"/>
      <c r="G365" s="0"/>
      <c r="H365" s="0"/>
      <c r="I365" s="0"/>
      <c r="J365" s="0"/>
    </row>
    <row r="366" customFormat="false" ht="12.75" hidden="false" customHeight="false" outlineLevel="0" collapsed="false">
      <c r="D366" s="0"/>
      <c r="E366" s="0"/>
      <c r="F366" s="0"/>
      <c r="G366" s="0"/>
      <c r="H366" s="0"/>
      <c r="I366" s="0"/>
      <c r="J366" s="0"/>
    </row>
    <row r="367" customFormat="false" ht="12.75" hidden="false" customHeight="false" outlineLevel="0" collapsed="false">
      <c r="D367" s="0"/>
      <c r="E367" s="0"/>
      <c r="F367" s="0"/>
      <c r="G367" s="0"/>
      <c r="H367" s="0"/>
      <c r="I367" s="0"/>
      <c r="J367" s="0"/>
    </row>
    <row r="368" customFormat="false" ht="12.75" hidden="false" customHeight="false" outlineLevel="0" collapsed="false">
      <c r="D368" s="0"/>
      <c r="E368" s="0"/>
      <c r="F368" s="0"/>
      <c r="G368" s="0"/>
      <c r="H368" s="0"/>
      <c r="I368" s="0"/>
      <c r="J368" s="0"/>
    </row>
    <row r="369" customFormat="false" ht="12.75" hidden="false" customHeight="false" outlineLevel="0" collapsed="false">
      <c r="D369" s="0"/>
      <c r="E369" s="0"/>
      <c r="F369" s="0"/>
      <c r="G369" s="0"/>
      <c r="H369" s="0"/>
      <c r="I369" s="0"/>
      <c r="J369" s="0"/>
    </row>
    <row r="370" customFormat="false" ht="12.75" hidden="false" customHeight="false" outlineLevel="0" collapsed="false">
      <c r="D370" s="0"/>
      <c r="E370" s="0"/>
      <c r="F370" s="0"/>
      <c r="G370" s="0"/>
      <c r="H370" s="0"/>
      <c r="I370" s="0"/>
      <c r="J370" s="0"/>
    </row>
    <row r="371" customFormat="false" ht="12.75" hidden="false" customHeight="false" outlineLevel="0" collapsed="false">
      <c r="D371" s="0"/>
      <c r="E371" s="0"/>
      <c r="F371" s="0"/>
      <c r="G371" s="0"/>
      <c r="H371" s="0"/>
      <c r="I371" s="0"/>
      <c r="J371" s="0"/>
    </row>
    <row r="372" customFormat="false" ht="12.75" hidden="false" customHeight="false" outlineLevel="0" collapsed="false">
      <c r="D372" s="0"/>
      <c r="E372" s="0"/>
      <c r="F372" s="0"/>
      <c r="G372" s="0"/>
      <c r="H372" s="0"/>
      <c r="I372" s="0"/>
      <c r="J372" s="0"/>
    </row>
    <row r="373" customFormat="false" ht="12.75" hidden="false" customHeight="false" outlineLevel="0" collapsed="false">
      <c r="D373" s="0"/>
      <c r="E373" s="0"/>
      <c r="F373" s="0"/>
      <c r="G373" s="0"/>
      <c r="H373" s="0"/>
      <c r="I373" s="0"/>
      <c r="J373" s="0"/>
    </row>
    <row r="374" customFormat="false" ht="12.75" hidden="false" customHeight="false" outlineLevel="0" collapsed="false">
      <c r="D374" s="0"/>
      <c r="E374" s="0"/>
      <c r="F374" s="0"/>
      <c r="G374" s="0"/>
      <c r="H374" s="0"/>
      <c r="I374" s="0"/>
      <c r="J374" s="0"/>
    </row>
    <row r="375" customFormat="false" ht="12.75" hidden="false" customHeight="false" outlineLevel="0" collapsed="false">
      <c r="D375" s="0"/>
      <c r="E375" s="0"/>
      <c r="F375" s="0"/>
      <c r="G375" s="0"/>
      <c r="H375" s="0"/>
      <c r="I375" s="0"/>
      <c r="J375" s="0"/>
    </row>
    <row r="376" customFormat="false" ht="12.75" hidden="false" customHeight="false" outlineLevel="0" collapsed="false">
      <c r="D376" s="0"/>
      <c r="E376" s="0"/>
      <c r="F376" s="0"/>
      <c r="G376" s="0"/>
      <c r="H376" s="0"/>
      <c r="I376" s="0"/>
      <c r="J376" s="0"/>
    </row>
    <row r="377" customFormat="false" ht="12.75" hidden="false" customHeight="false" outlineLevel="0" collapsed="false">
      <c r="D377" s="0"/>
      <c r="E377" s="0"/>
      <c r="F377" s="0"/>
      <c r="G377" s="0"/>
      <c r="H377" s="0"/>
      <c r="I377" s="0"/>
      <c r="J377" s="0"/>
    </row>
    <row r="378" customFormat="false" ht="12.75" hidden="false" customHeight="false" outlineLevel="0" collapsed="false">
      <c r="D378" s="0"/>
      <c r="E378" s="0"/>
      <c r="F378" s="0"/>
      <c r="G378" s="0"/>
      <c r="H378" s="0"/>
      <c r="I378" s="0"/>
      <c r="J378" s="0"/>
    </row>
    <row r="379" customFormat="false" ht="12.75" hidden="false" customHeight="false" outlineLevel="0" collapsed="false">
      <c r="D379" s="0"/>
      <c r="E379" s="0"/>
      <c r="F379" s="0"/>
      <c r="G379" s="0"/>
      <c r="H379" s="0"/>
      <c r="I379" s="0"/>
      <c r="J379" s="0"/>
    </row>
    <row r="380" customFormat="false" ht="12.75" hidden="false" customHeight="false" outlineLevel="0" collapsed="false">
      <c r="D380" s="0"/>
      <c r="E380" s="0"/>
      <c r="F380" s="0"/>
      <c r="G380" s="0"/>
      <c r="H380" s="0"/>
      <c r="I380" s="0"/>
      <c r="J380" s="0"/>
    </row>
    <row r="381" customFormat="false" ht="12.75" hidden="false" customHeight="false" outlineLevel="0" collapsed="false">
      <c r="D381" s="0"/>
      <c r="E381" s="0"/>
      <c r="F381" s="0"/>
      <c r="G381" s="0"/>
      <c r="H381" s="0"/>
      <c r="I381" s="0"/>
      <c r="J381" s="0"/>
    </row>
    <row r="382" customFormat="false" ht="12.75" hidden="false" customHeight="false" outlineLevel="0" collapsed="false">
      <c r="D382" s="0"/>
      <c r="E382" s="0"/>
      <c r="F382" s="0"/>
      <c r="G382" s="0"/>
      <c r="H382" s="0"/>
      <c r="I382" s="0"/>
      <c r="J382" s="0"/>
    </row>
    <row r="383" customFormat="false" ht="12.75" hidden="false" customHeight="false" outlineLevel="0" collapsed="false">
      <c r="D383" s="0"/>
      <c r="E383" s="0"/>
      <c r="F383" s="0"/>
      <c r="G383" s="0"/>
      <c r="H383" s="0"/>
      <c r="I383" s="0"/>
      <c r="J383" s="0"/>
    </row>
    <row r="384" customFormat="false" ht="12.75" hidden="false" customHeight="false" outlineLevel="0" collapsed="false">
      <c r="D384" s="0"/>
      <c r="E384" s="0"/>
      <c r="F384" s="0"/>
      <c r="G384" s="0"/>
      <c r="H384" s="0"/>
      <c r="I384" s="0"/>
      <c r="J384" s="0"/>
    </row>
    <row r="385" customFormat="false" ht="12.75" hidden="false" customHeight="false" outlineLevel="0" collapsed="false">
      <c r="D385" s="0"/>
      <c r="E385" s="0"/>
      <c r="F385" s="0"/>
      <c r="G385" s="0"/>
      <c r="H385" s="0"/>
      <c r="I385" s="0"/>
      <c r="J385" s="0"/>
    </row>
    <row r="386" customFormat="false" ht="12.75" hidden="false" customHeight="false" outlineLevel="0" collapsed="false">
      <c r="D386" s="0"/>
      <c r="E386" s="0"/>
      <c r="F386" s="0"/>
      <c r="G386" s="0"/>
      <c r="H386" s="0"/>
      <c r="I386" s="0"/>
      <c r="J386" s="0"/>
    </row>
    <row r="387" customFormat="false" ht="12.75" hidden="false" customHeight="false" outlineLevel="0" collapsed="false">
      <c r="D387" s="0"/>
      <c r="E387" s="0"/>
      <c r="F387" s="0"/>
      <c r="G387" s="0"/>
      <c r="H387" s="0"/>
      <c r="I387" s="0"/>
      <c r="J387" s="0"/>
    </row>
    <row r="388" customFormat="false" ht="12.75" hidden="false" customHeight="false" outlineLevel="0" collapsed="false">
      <c r="D388" s="0"/>
      <c r="E388" s="0"/>
      <c r="F388" s="0"/>
      <c r="G388" s="0"/>
      <c r="H388" s="0"/>
      <c r="I388" s="0"/>
      <c r="J388" s="0"/>
    </row>
    <row r="389" customFormat="false" ht="12.75" hidden="false" customHeight="false" outlineLevel="0" collapsed="false">
      <c r="D389" s="0"/>
      <c r="E389" s="0"/>
      <c r="F389" s="0"/>
      <c r="G389" s="0"/>
      <c r="H389" s="0"/>
      <c r="I389" s="0"/>
      <c r="J389" s="0"/>
    </row>
    <row r="390" customFormat="false" ht="12.75" hidden="false" customHeight="false" outlineLevel="0" collapsed="false">
      <c r="D390" s="0"/>
      <c r="E390" s="0"/>
      <c r="F390" s="0"/>
      <c r="G390" s="0"/>
      <c r="H390" s="0"/>
      <c r="I390" s="0"/>
      <c r="J390" s="0"/>
    </row>
    <row r="391" customFormat="false" ht="12.75" hidden="false" customHeight="false" outlineLevel="0" collapsed="false">
      <c r="D391" s="0"/>
      <c r="E391" s="0"/>
      <c r="F391" s="0"/>
      <c r="G391" s="0"/>
      <c r="H391" s="0"/>
      <c r="I391" s="0"/>
      <c r="J391" s="0"/>
    </row>
    <row r="392" customFormat="false" ht="12.75" hidden="false" customHeight="false" outlineLevel="0" collapsed="false">
      <c r="D392" s="0"/>
      <c r="E392" s="0"/>
      <c r="F392" s="0"/>
      <c r="G392" s="0"/>
      <c r="H392" s="0"/>
      <c r="I392" s="0"/>
      <c r="J392" s="0"/>
    </row>
    <row r="393" customFormat="false" ht="12.75" hidden="false" customHeight="false" outlineLevel="0" collapsed="false">
      <c r="D393" s="0"/>
      <c r="E393" s="0"/>
      <c r="F393" s="0"/>
      <c r="G393" s="0"/>
      <c r="H393" s="0"/>
      <c r="I393" s="0"/>
      <c r="J393" s="0"/>
    </row>
    <row r="394" customFormat="false" ht="12.75" hidden="false" customHeight="false" outlineLevel="0" collapsed="false">
      <c r="D394" s="0"/>
      <c r="E394" s="0"/>
      <c r="F394" s="0"/>
      <c r="G394" s="0"/>
      <c r="H394" s="0"/>
      <c r="I394" s="0"/>
      <c r="J394" s="0"/>
    </row>
    <row r="395" customFormat="false" ht="12.75" hidden="false" customHeight="false" outlineLevel="0" collapsed="false">
      <c r="D395" s="0"/>
      <c r="E395" s="0"/>
      <c r="F395" s="0"/>
      <c r="G395" s="0"/>
      <c r="H395" s="0"/>
      <c r="I395" s="0"/>
      <c r="J395" s="0"/>
    </row>
    <row r="396" customFormat="false" ht="12.75" hidden="false" customHeight="false" outlineLevel="0" collapsed="false">
      <c r="D396" s="0"/>
      <c r="E396" s="0"/>
      <c r="F396" s="0"/>
      <c r="G396" s="0"/>
      <c r="H396" s="0"/>
      <c r="I396" s="0"/>
      <c r="J396" s="0"/>
    </row>
    <row r="397" customFormat="false" ht="12.75" hidden="false" customHeight="false" outlineLevel="0" collapsed="false">
      <c r="D397" s="0"/>
      <c r="E397" s="0"/>
      <c r="F397" s="0"/>
      <c r="G397" s="0"/>
      <c r="H397" s="0"/>
      <c r="I397" s="0"/>
      <c r="J397" s="0"/>
    </row>
    <row r="398" customFormat="false" ht="12.75" hidden="false" customHeight="false" outlineLevel="0" collapsed="false">
      <c r="D398" s="0"/>
      <c r="E398" s="0"/>
      <c r="F398" s="0"/>
      <c r="G398" s="0"/>
      <c r="H398" s="0"/>
      <c r="I398" s="0"/>
      <c r="J398" s="0"/>
    </row>
    <row r="399" customFormat="false" ht="12.75" hidden="false" customHeight="false" outlineLevel="0" collapsed="false">
      <c r="D399" s="0"/>
      <c r="E399" s="0"/>
      <c r="F399" s="0"/>
      <c r="G399" s="0"/>
      <c r="H399" s="0"/>
      <c r="I399" s="0"/>
      <c r="J399" s="0"/>
    </row>
    <row r="400" customFormat="false" ht="12.75" hidden="false" customHeight="false" outlineLevel="0" collapsed="false">
      <c r="D400" s="0"/>
      <c r="E400" s="0"/>
      <c r="F400" s="0"/>
      <c r="G400" s="0"/>
      <c r="H400" s="0"/>
      <c r="I400" s="0"/>
      <c r="J400" s="0"/>
    </row>
    <row r="401" customFormat="false" ht="12.75" hidden="false" customHeight="false" outlineLevel="0" collapsed="false">
      <c r="D401" s="0"/>
      <c r="E401" s="0"/>
      <c r="F401" s="0"/>
      <c r="G401" s="0"/>
      <c r="H401" s="0"/>
      <c r="I401" s="0"/>
      <c r="J401" s="0"/>
    </row>
    <row r="402" customFormat="false" ht="12.75" hidden="false" customHeight="false" outlineLevel="0" collapsed="false">
      <c r="D402" s="0"/>
      <c r="E402" s="0"/>
      <c r="F402" s="0"/>
      <c r="G402" s="0"/>
      <c r="H402" s="0"/>
      <c r="I402" s="0"/>
      <c r="J402" s="0"/>
    </row>
    <row r="403" customFormat="false" ht="12.75" hidden="false" customHeight="false" outlineLevel="0" collapsed="false">
      <c r="D403" s="0"/>
      <c r="E403" s="0"/>
      <c r="F403" s="0"/>
      <c r="G403" s="0"/>
      <c r="H403" s="0"/>
      <c r="I403" s="0"/>
      <c r="J403" s="0"/>
    </row>
    <row r="404" customFormat="false" ht="12.75" hidden="false" customHeight="false" outlineLevel="0" collapsed="false">
      <c r="D404" s="0"/>
      <c r="E404" s="0"/>
      <c r="F404" s="0"/>
      <c r="G404" s="0"/>
      <c r="H404" s="0"/>
      <c r="I404" s="0"/>
      <c r="J404" s="0"/>
    </row>
    <row r="405" customFormat="false" ht="12.75" hidden="false" customHeight="false" outlineLevel="0" collapsed="false">
      <c r="D405" s="0"/>
      <c r="E405" s="0"/>
      <c r="F405" s="0"/>
      <c r="G405" s="0"/>
      <c r="H405" s="0"/>
      <c r="I405" s="0"/>
      <c r="J405" s="0"/>
    </row>
    <row r="406" customFormat="false" ht="12.75" hidden="false" customHeight="false" outlineLevel="0" collapsed="false">
      <c r="D406" s="0"/>
      <c r="E406" s="0"/>
      <c r="F406" s="0"/>
      <c r="G406" s="0"/>
      <c r="H406" s="0"/>
      <c r="I406" s="0"/>
      <c r="J406" s="0"/>
    </row>
    <row r="407" customFormat="false" ht="12.75" hidden="false" customHeight="false" outlineLevel="0" collapsed="false">
      <c r="D407" s="0"/>
      <c r="E407" s="0"/>
      <c r="F407" s="0"/>
      <c r="G407" s="0"/>
      <c r="H407" s="0"/>
      <c r="I407" s="0"/>
      <c r="J407" s="0"/>
    </row>
    <row r="408" customFormat="false" ht="12.75" hidden="false" customHeight="false" outlineLevel="0" collapsed="false">
      <c r="D408" s="0"/>
      <c r="E408" s="0"/>
      <c r="F408" s="0"/>
      <c r="G408" s="0"/>
      <c r="H408" s="0"/>
      <c r="I408" s="0"/>
      <c r="J408" s="0"/>
    </row>
    <row r="409" customFormat="false" ht="12.75" hidden="false" customHeight="false" outlineLevel="0" collapsed="false">
      <c r="D409" s="0"/>
      <c r="E409" s="0"/>
      <c r="F409" s="0"/>
      <c r="G409" s="0"/>
      <c r="H409" s="0"/>
      <c r="I409" s="0"/>
      <c r="J409" s="0"/>
    </row>
    <row r="410" customFormat="false" ht="12.75" hidden="false" customHeight="false" outlineLevel="0" collapsed="false">
      <c r="D410" s="0"/>
      <c r="E410" s="0"/>
      <c r="F410" s="0"/>
      <c r="G410" s="0"/>
      <c r="H410" s="0"/>
      <c r="I410" s="0"/>
      <c r="J410" s="0"/>
    </row>
    <row r="411" customFormat="false" ht="12.75" hidden="false" customHeight="false" outlineLevel="0" collapsed="false">
      <c r="D411" s="0"/>
      <c r="E411" s="0"/>
      <c r="F411" s="0"/>
      <c r="G411" s="0"/>
      <c r="H411" s="0"/>
      <c r="I411" s="0"/>
      <c r="J411" s="0"/>
    </row>
    <row r="412" customFormat="false" ht="12.75" hidden="false" customHeight="false" outlineLevel="0" collapsed="false">
      <c r="D412" s="0"/>
      <c r="E412" s="0"/>
      <c r="F412" s="0"/>
      <c r="G412" s="0"/>
      <c r="H412" s="0"/>
      <c r="I412" s="0"/>
      <c r="J412" s="0"/>
    </row>
    <row r="413" customFormat="false" ht="12.75" hidden="false" customHeight="false" outlineLevel="0" collapsed="false">
      <c r="D413" s="0"/>
      <c r="E413" s="0"/>
      <c r="F413" s="0"/>
      <c r="G413" s="0"/>
      <c r="H413" s="0"/>
      <c r="I413" s="0"/>
      <c r="J413" s="0"/>
    </row>
    <row r="414" customFormat="false" ht="12.75" hidden="false" customHeight="false" outlineLevel="0" collapsed="false">
      <c r="D414" s="0"/>
      <c r="E414" s="0"/>
      <c r="F414" s="0"/>
      <c r="G414" s="0"/>
      <c r="H414" s="0"/>
      <c r="I414" s="0"/>
      <c r="J414" s="0"/>
    </row>
    <row r="415" customFormat="false" ht="12.75" hidden="false" customHeight="false" outlineLevel="0" collapsed="false">
      <c r="D415" s="0"/>
      <c r="E415" s="0"/>
      <c r="F415" s="0"/>
      <c r="G415" s="0"/>
      <c r="H415" s="0"/>
      <c r="I415" s="0"/>
      <c r="J415" s="0"/>
    </row>
    <row r="416" customFormat="false" ht="12.75" hidden="false" customHeight="false" outlineLevel="0" collapsed="false">
      <c r="D416" s="0"/>
      <c r="E416" s="0"/>
      <c r="F416" s="0"/>
      <c r="G416" s="0"/>
      <c r="H416" s="0"/>
      <c r="I416" s="0"/>
      <c r="J416" s="0"/>
    </row>
    <row r="417" customFormat="false" ht="12.75" hidden="false" customHeight="false" outlineLevel="0" collapsed="false">
      <c r="D417" s="0"/>
      <c r="E417" s="0"/>
      <c r="F417" s="0"/>
      <c r="G417" s="0"/>
      <c r="H417" s="0"/>
      <c r="I417" s="0"/>
      <c r="J417" s="0"/>
    </row>
    <row r="418" customFormat="false" ht="12.75" hidden="false" customHeight="false" outlineLevel="0" collapsed="false">
      <c r="D418" s="0"/>
      <c r="E418" s="0"/>
      <c r="F418" s="0"/>
      <c r="G418" s="0"/>
      <c r="H418" s="0"/>
      <c r="I418" s="0"/>
      <c r="J418" s="0"/>
    </row>
    <row r="419" customFormat="false" ht="12.75" hidden="false" customHeight="false" outlineLevel="0" collapsed="false">
      <c r="D419" s="0"/>
      <c r="E419" s="0"/>
      <c r="F419" s="0"/>
      <c r="G419" s="0"/>
      <c r="H419" s="0"/>
      <c r="I419" s="0"/>
      <c r="J419" s="0"/>
    </row>
    <row r="420" customFormat="false" ht="12.75" hidden="false" customHeight="false" outlineLevel="0" collapsed="false">
      <c r="D420" s="0"/>
      <c r="E420" s="0"/>
      <c r="F420" s="0"/>
      <c r="G420" s="0"/>
      <c r="H420" s="0"/>
      <c r="I420" s="0"/>
      <c r="J420" s="0"/>
    </row>
    <row r="421" customFormat="false" ht="12.75" hidden="false" customHeight="false" outlineLevel="0" collapsed="false">
      <c r="D421" s="0"/>
      <c r="E421" s="0"/>
      <c r="F421" s="0"/>
      <c r="G421" s="0"/>
      <c r="H421" s="0"/>
      <c r="I421" s="0"/>
      <c r="J421" s="0"/>
    </row>
    <row r="422" customFormat="false" ht="12.75" hidden="false" customHeight="false" outlineLevel="0" collapsed="false">
      <c r="D422" s="0"/>
      <c r="E422" s="0"/>
      <c r="F422" s="0"/>
      <c r="G422" s="0"/>
      <c r="H422" s="0"/>
      <c r="I422" s="0"/>
      <c r="J422" s="0"/>
    </row>
    <row r="423" customFormat="false" ht="12.75" hidden="false" customHeight="false" outlineLevel="0" collapsed="false">
      <c r="D423" s="0"/>
      <c r="E423" s="0"/>
      <c r="F423" s="0"/>
      <c r="G423" s="0"/>
      <c r="H423" s="0"/>
      <c r="I423" s="0"/>
      <c r="J423" s="0"/>
    </row>
    <row r="424" customFormat="false" ht="12.75" hidden="false" customHeight="false" outlineLevel="0" collapsed="false">
      <c r="D424" s="0"/>
      <c r="E424" s="0"/>
      <c r="F424" s="0"/>
      <c r="G424" s="0"/>
      <c r="H424" s="0"/>
      <c r="I424" s="0"/>
      <c r="J424" s="0"/>
    </row>
    <row r="425" customFormat="false" ht="12.75" hidden="false" customHeight="false" outlineLevel="0" collapsed="false">
      <c r="D425" s="0"/>
      <c r="E425" s="0"/>
      <c r="F425" s="0"/>
      <c r="G425" s="0"/>
      <c r="H425" s="0"/>
      <c r="I425" s="0"/>
      <c r="J425" s="0"/>
    </row>
    <row r="426" customFormat="false" ht="12.75" hidden="false" customHeight="false" outlineLevel="0" collapsed="false">
      <c r="D426" s="0"/>
      <c r="E426" s="0"/>
      <c r="F426" s="0"/>
      <c r="G426" s="0"/>
      <c r="H426" s="0"/>
      <c r="I426" s="0"/>
      <c r="J426" s="0"/>
    </row>
    <row r="427" customFormat="false" ht="12.75" hidden="false" customHeight="false" outlineLevel="0" collapsed="false">
      <c r="D427" s="0"/>
      <c r="E427" s="0"/>
      <c r="F427" s="0"/>
      <c r="G427" s="0"/>
      <c r="H427" s="0"/>
      <c r="I427" s="0"/>
      <c r="J427" s="0"/>
    </row>
    <row r="428" customFormat="false" ht="12.75" hidden="false" customHeight="false" outlineLevel="0" collapsed="false">
      <c r="D428" s="0"/>
      <c r="E428" s="0"/>
      <c r="F428" s="0"/>
      <c r="G428" s="0"/>
      <c r="H428" s="0"/>
      <c r="I428" s="0"/>
      <c r="J428" s="0"/>
    </row>
    <row r="429" customFormat="false" ht="12.75" hidden="false" customHeight="false" outlineLevel="0" collapsed="false">
      <c r="D429" s="0"/>
      <c r="E429" s="0"/>
      <c r="F429" s="0"/>
      <c r="G429" s="0"/>
      <c r="H429" s="0"/>
      <c r="I429" s="0"/>
      <c r="J429" s="0"/>
    </row>
    <row r="430" customFormat="false" ht="12.75" hidden="false" customHeight="false" outlineLevel="0" collapsed="false">
      <c r="D430" s="0"/>
      <c r="E430" s="0"/>
      <c r="F430" s="0"/>
      <c r="G430" s="0"/>
      <c r="H430" s="0"/>
      <c r="I430" s="0"/>
      <c r="J430" s="0"/>
    </row>
    <row r="431" customFormat="false" ht="12.75" hidden="false" customHeight="false" outlineLevel="0" collapsed="false">
      <c r="D431" s="0"/>
      <c r="E431" s="0"/>
      <c r="F431" s="0"/>
      <c r="G431" s="0"/>
      <c r="H431" s="0"/>
      <c r="I431" s="0"/>
      <c r="J431" s="0"/>
    </row>
    <row r="432" customFormat="false" ht="12.75" hidden="false" customHeight="false" outlineLevel="0" collapsed="false">
      <c r="D432" s="0"/>
      <c r="E432" s="0"/>
      <c r="F432" s="0"/>
      <c r="G432" s="0"/>
      <c r="H432" s="0"/>
      <c r="I432" s="0"/>
      <c r="J432" s="0"/>
    </row>
    <row r="433" customFormat="false" ht="12.75" hidden="false" customHeight="false" outlineLevel="0" collapsed="false">
      <c r="D433" s="0"/>
      <c r="E433" s="0"/>
      <c r="F433" s="0"/>
      <c r="G433" s="0"/>
      <c r="H433" s="0"/>
      <c r="I433" s="0"/>
      <c r="J433" s="0"/>
    </row>
    <row r="434" customFormat="false" ht="12.75" hidden="false" customHeight="false" outlineLevel="0" collapsed="false">
      <c r="D434" s="0"/>
      <c r="E434" s="0"/>
      <c r="F434" s="0"/>
      <c r="G434" s="0"/>
      <c r="H434" s="0"/>
      <c r="I434" s="0"/>
      <c r="J434" s="0"/>
    </row>
    <row r="435" customFormat="false" ht="12.75" hidden="false" customHeight="false" outlineLevel="0" collapsed="false">
      <c r="D435" s="0"/>
      <c r="E435" s="0"/>
      <c r="F435" s="0"/>
      <c r="G435" s="0"/>
      <c r="H435" s="0"/>
      <c r="I435" s="0"/>
      <c r="J435" s="0"/>
    </row>
    <row r="436" customFormat="false" ht="12.75" hidden="false" customHeight="false" outlineLevel="0" collapsed="false">
      <c r="D436" s="0"/>
      <c r="E436" s="0"/>
      <c r="F436" s="0"/>
      <c r="G436" s="0"/>
      <c r="H436" s="0"/>
      <c r="I436" s="0"/>
      <c r="J436" s="0"/>
    </row>
    <row r="437" customFormat="false" ht="12.75" hidden="false" customHeight="false" outlineLevel="0" collapsed="false">
      <c r="D437" s="0"/>
      <c r="E437" s="0"/>
      <c r="F437" s="0"/>
      <c r="G437" s="0"/>
      <c r="H437" s="0"/>
      <c r="I437" s="0"/>
      <c r="J437" s="0"/>
    </row>
    <row r="438" customFormat="false" ht="12.75" hidden="false" customHeight="false" outlineLevel="0" collapsed="false">
      <c r="D438" s="0"/>
      <c r="E438" s="0"/>
      <c r="F438" s="0"/>
      <c r="G438" s="0"/>
      <c r="H438" s="0"/>
      <c r="I438" s="0"/>
      <c r="J438" s="0"/>
    </row>
    <row r="439" customFormat="false" ht="12.75" hidden="false" customHeight="false" outlineLevel="0" collapsed="false">
      <c r="D439" s="0"/>
      <c r="E439" s="0"/>
      <c r="F439" s="0"/>
      <c r="G439" s="0"/>
      <c r="H439" s="0"/>
      <c r="I439" s="0"/>
      <c r="J439" s="0"/>
    </row>
    <row r="440" customFormat="false" ht="12.75" hidden="false" customHeight="false" outlineLevel="0" collapsed="false">
      <c r="D440" s="0"/>
      <c r="E440" s="0"/>
      <c r="F440" s="0"/>
      <c r="G440" s="0"/>
      <c r="H440" s="0"/>
      <c r="I440" s="0"/>
      <c r="J440" s="0"/>
    </row>
    <row r="441" customFormat="false" ht="12.75" hidden="false" customHeight="false" outlineLevel="0" collapsed="false">
      <c r="D441" s="0"/>
      <c r="E441" s="0"/>
      <c r="F441" s="0"/>
      <c r="G441" s="0"/>
      <c r="H441" s="0"/>
      <c r="I441" s="0"/>
      <c r="J441" s="0"/>
    </row>
    <row r="442" customFormat="false" ht="12.75" hidden="false" customHeight="false" outlineLevel="0" collapsed="false">
      <c r="D442" s="0"/>
      <c r="E442" s="0"/>
      <c r="F442" s="0"/>
      <c r="G442" s="0"/>
      <c r="H442" s="0"/>
      <c r="I442" s="0"/>
      <c r="J442" s="0"/>
    </row>
    <row r="443" customFormat="false" ht="12.75" hidden="false" customHeight="false" outlineLevel="0" collapsed="false">
      <c r="D443" s="0"/>
      <c r="E443" s="0"/>
      <c r="F443" s="0"/>
      <c r="G443" s="0"/>
      <c r="H443" s="0"/>
      <c r="I443" s="0"/>
      <c r="J443" s="0"/>
    </row>
    <row r="444" customFormat="false" ht="12.75" hidden="false" customHeight="false" outlineLevel="0" collapsed="false">
      <c r="D444" s="0"/>
      <c r="E444" s="0"/>
      <c r="F444" s="0"/>
      <c r="G444" s="0"/>
      <c r="H444" s="0"/>
      <c r="I444" s="0"/>
      <c r="J444" s="0"/>
    </row>
    <row r="445" customFormat="false" ht="12.75" hidden="false" customHeight="false" outlineLevel="0" collapsed="false">
      <c r="D445" s="0"/>
      <c r="E445" s="0"/>
      <c r="F445" s="0"/>
      <c r="G445" s="0"/>
      <c r="H445" s="0"/>
      <c r="I445" s="0"/>
      <c r="J445" s="0"/>
    </row>
    <row r="446" customFormat="false" ht="12.75" hidden="false" customHeight="false" outlineLevel="0" collapsed="false">
      <c r="D446" s="0"/>
      <c r="E446" s="0"/>
      <c r="F446" s="0"/>
      <c r="G446" s="0"/>
      <c r="H446" s="0"/>
      <c r="I446" s="0"/>
      <c r="J446" s="0"/>
    </row>
    <row r="447" customFormat="false" ht="12.75" hidden="false" customHeight="false" outlineLevel="0" collapsed="false">
      <c r="D447" s="0"/>
      <c r="E447" s="0"/>
      <c r="F447" s="0"/>
      <c r="G447" s="0"/>
      <c r="H447" s="0"/>
      <c r="I447" s="0"/>
      <c r="J447" s="0"/>
    </row>
    <row r="448" customFormat="false" ht="12.75" hidden="false" customHeight="false" outlineLevel="0" collapsed="false">
      <c r="D448" s="0"/>
      <c r="E448" s="0"/>
      <c r="F448" s="0"/>
      <c r="G448" s="0"/>
      <c r="H448" s="0"/>
      <c r="I448" s="0"/>
      <c r="J448" s="0"/>
    </row>
    <row r="449" customFormat="false" ht="12.75" hidden="false" customHeight="false" outlineLevel="0" collapsed="false">
      <c r="D449" s="0"/>
      <c r="E449" s="0"/>
      <c r="F449" s="0"/>
      <c r="G449" s="0"/>
      <c r="H449" s="0"/>
      <c r="I449" s="0"/>
      <c r="J449" s="0"/>
    </row>
    <row r="450" customFormat="false" ht="12.75" hidden="false" customHeight="false" outlineLevel="0" collapsed="false">
      <c r="D450" s="0"/>
      <c r="E450" s="0"/>
      <c r="F450" s="0"/>
      <c r="G450" s="0"/>
      <c r="H450" s="0"/>
      <c r="I450" s="0"/>
      <c r="J450" s="0"/>
    </row>
    <row r="451" customFormat="false" ht="12.75" hidden="false" customHeight="false" outlineLevel="0" collapsed="false">
      <c r="D451" s="0"/>
      <c r="E451" s="0"/>
      <c r="F451" s="0"/>
      <c r="G451" s="0"/>
      <c r="H451" s="0"/>
      <c r="I451" s="0"/>
      <c r="J451" s="0"/>
    </row>
    <row r="452" customFormat="false" ht="12.75" hidden="false" customHeight="false" outlineLevel="0" collapsed="false">
      <c r="D452" s="0"/>
      <c r="E452" s="0"/>
      <c r="F452" s="0"/>
      <c r="G452" s="0"/>
      <c r="H452" s="0"/>
      <c r="I452" s="0"/>
      <c r="J452" s="0"/>
    </row>
    <row r="453" customFormat="false" ht="12.75" hidden="false" customHeight="false" outlineLevel="0" collapsed="false">
      <c r="D453" s="0"/>
      <c r="E453" s="0"/>
      <c r="F453" s="0"/>
      <c r="G453" s="0"/>
      <c r="H453" s="0"/>
      <c r="I453" s="0"/>
      <c r="J453" s="0"/>
    </row>
    <row r="454" customFormat="false" ht="12.75" hidden="false" customHeight="false" outlineLevel="0" collapsed="false">
      <c r="D454" s="0"/>
      <c r="E454" s="0"/>
      <c r="F454" s="0"/>
      <c r="G454" s="0"/>
      <c r="H454" s="0"/>
      <c r="I454" s="0"/>
      <c r="J454" s="0"/>
    </row>
    <row r="455" customFormat="false" ht="12.75" hidden="false" customHeight="false" outlineLevel="0" collapsed="false">
      <c r="D455" s="0"/>
      <c r="E455" s="0"/>
      <c r="F455" s="0"/>
      <c r="G455" s="0"/>
      <c r="H455" s="0"/>
      <c r="I455" s="0"/>
      <c r="J455" s="0"/>
    </row>
    <row r="456" customFormat="false" ht="12.75" hidden="false" customHeight="false" outlineLevel="0" collapsed="false">
      <c r="D456" s="0"/>
      <c r="E456" s="0"/>
      <c r="F456" s="0"/>
      <c r="G456" s="0"/>
      <c r="H456" s="0"/>
      <c r="I456" s="0"/>
      <c r="J456" s="0"/>
    </row>
    <row r="457" customFormat="false" ht="12.75" hidden="false" customHeight="false" outlineLevel="0" collapsed="false">
      <c r="D457" s="0"/>
      <c r="E457" s="0"/>
      <c r="F457" s="0"/>
      <c r="G457" s="0"/>
      <c r="H457" s="0"/>
      <c r="I457" s="0"/>
      <c r="J457" s="0"/>
    </row>
    <row r="458" customFormat="false" ht="12.75" hidden="false" customHeight="false" outlineLevel="0" collapsed="false">
      <c r="D458" s="0"/>
      <c r="E458" s="0"/>
      <c r="F458" s="0"/>
      <c r="G458" s="0"/>
      <c r="H458" s="0"/>
      <c r="I458" s="0"/>
      <c r="J458" s="0"/>
    </row>
    <row r="459" customFormat="false" ht="12.75" hidden="false" customHeight="false" outlineLevel="0" collapsed="false">
      <c r="D459" s="0"/>
      <c r="E459" s="0"/>
      <c r="F459" s="0"/>
      <c r="G459" s="0"/>
      <c r="H459" s="0"/>
      <c r="I459" s="0"/>
      <c r="J459" s="0"/>
    </row>
    <row r="460" customFormat="false" ht="12.75" hidden="false" customHeight="false" outlineLevel="0" collapsed="false">
      <c r="D460" s="0"/>
      <c r="E460" s="0"/>
      <c r="F460" s="0"/>
      <c r="G460" s="0"/>
      <c r="H460" s="0"/>
      <c r="I460" s="0"/>
      <c r="J460" s="0"/>
    </row>
    <row r="461" customFormat="false" ht="12.75" hidden="false" customHeight="false" outlineLevel="0" collapsed="false">
      <c r="D461" s="0"/>
      <c r="E461" s="0"/>
      <c r="F461" s="0"/>
      <c r="G461" s="0"/>
      <c r="H461" s="0"/>
      <c r="I461" s="0"/>
      <c r="J461" s="0"/>
    </row>
    <row r="462" customFormat="false" ht="12.75" hidden="false" customHeight="false" outlineLevel="0" collapsed="false">
      <c r="D462" s="0"/>
      <c r="E462" s="0"/>
      <c r="F462" s="0"/>
      <c r="G462" s="0"/>
      <c r="H462" s="0"/>
      <c r="I462" s="0"/>
      <c r="J462" s="0"/>
    </row>
    <row r="463" customFormat="false" ht="12.75" hidden="false" customHeight="false" outlineLevel="0" collapsed="false">
      <c r="D463" s="0"/>
      <c r="E463" s="0"/>
      <c r="F463" s="0"/>
      <c r="G463" s="0"/>
      <c r="H463" s="0"/>
      <c r="I463" s="0"/>
      <c r="J463" s="0"/>
    </row>
    <row r="464" customFormat="false" ht="12.75" hidden="false" customHeight="false" outlineLevel="0" collapsed="false">
      <c r="D464" s="0"/>
      <c r="E464" s="0"/>
      <c r="F464" s="0"/>
      <c r="G464" s="0"/>
      <c r="H464" s="0"/>
      <c r="I464" s="0"/>
      <c r="J464" s="0"/>
    </row>
    <row r="465" customFormat="false" ht="12.75" hidden="false" customHeight="false" outlineLevel="0" collapsed="false">
      <c r="D465" s="0"/>
      <c r="E465" s="0"/>
      <c r="F465" s="0"/>
      <c r="G465" s="0"/>
      <c r="H465" s="0"/>
      <c r="I465" s="0"/>
      <c r="J465" s="0"/>
    </row>
    <row r="466" customFormat="false" ht="12.75" hidden="false" customHeight="false" outlineLevel="0" collapsed="false">
      <c r="D466" s="0"/>
      <c r="E466" s="0"/>
      <c r="F466" s="0"/>
      <c r="G466" s="0"/>
      <c r="H466" s="0"/>
      <c r="I466" s="0"/>
      <c r="J466" s="0"/>
    </row>
    <row r="467" customFormat="false" ht="12.75" hidden="false" customHeight="false" outlineLevel="0" collapsed="false">
      <c r="D467" s="0"/>
      <c r="E467" s="0"/>
      <c r="F467" s="0"/>
      <c r="G467" s="0"/>
      <c r="H467" s="0"/>
      <c r="I467" s="0"/>
      <c r="J467" s="0"/>
    </row>
    <row r="468" customFormat="false" ht="12.75" hidden="false" customHeight="false" outlineLevel="0" collapsed="false">
      <c r="D468" s="0"/>
      <c r="E468" s="0"/>
      <c r="F468" s="0"/>
      <c r="G468" s="0"/>
      <c r="H468" s="0"/>
      <c r="I468" s="0"/>
      <c r="J468" s="0"/>
    </row>
    <row r="469" customFormat="false" ht="12.75" hidden="false" customHeight="false" outlineLevel="0" collapsed="false">
      <c r="D469" s="0"/>
      <c r="E469" s="0"/>
      <c r="F469" s="0"/>
      <c r="G469" s="0"/>
      <c r="H469" s="0"/>
      <c r="I469" s="0"/>
      <c r="J469" s="0"/>
    </row>
    <row r="470" customFormat="false" ht="12.75" hidden="false" customHeight="false" outlineLevel="0" collapsed="false">
      <c r="D470" s="0"/>
      <c r="E470" s="0"/>
      <c r="F470" s="0"/>
      <c r="G470" s="0"/>
      <c r="H470" s="0"/>
      <c r="I470" s="0"/>
      <c r="J470" s="0"/>
    </row>
    <row r="471" customFormat="false" ht="12.75" hidden="false" customHeight="false" outlineLevel="0" collapsed="false">
      <c r="D471" s="0"/>
      <c r="E471" s="0"/>
      <c r="F471" s="0"/>
      <c r="G471" s="0"/>
      <c r="H471" s="0"/>
      <c r="I471" s="0"/>
      <c r="J471" s="0"/>
    </row>
    <row r="472" customFormat="false" ht="12.75" hidden="false" customHeight="false" outlineLevel="0" collapsed="false">
      <c r="D472" s="0"/>
      <c r="E472" s="0"/>
      <c r="F472" s="0"/>
      <c r="G472" s="0"/>
      <c r="H472" s="0"/>
      <c r="I472" s="0"/>
      <c r="J472" s="0"/>
    </row>
    <row r="473" customFormat="false" ht="12.75" hidden="false" customHeight="false" outlineLevel="0" collapsed="false">
      <c r="D473" s="0"/>
      <c r="E473" s="0"/>
      <c r="F473" s="0"/>
      <c r="G473" s="0"/>
      <c r="H473" s="0"/>
      <c r="I473" s="0"/>
      <c r="J473" s="0"/>
    </row>
    <row r="474" customFormat="false" ht="12.75" hidden="false" customHeight="false" outlineLevel="0" collapsed="false">
      <c r="D474" s="0"/>
      <c r="E474" s="0"/>
      <c r="F474" s="0"/>
      <c r="G474" s="0"/>
      <c r="H474" s="0"/>
      <c r="I474" s="0"/>
      <c r="J474" s="0"/>
    </row>
    <row r="475" customFormat="false" ht="12.75" hidden="false" customHeight="false" outlineLevel="0" collapsed="false">
      <c r="D475" s="0"/>
      <c r="E475" s="0"/>
      <c r="F475" s="0"/>
      <c r="G475" s="0"/>
      <c r="H475" s="0"/>
      <c r="I475" s="0"/>
      <c r="J475" s="0"/>
    </row>
    <row r="476" customFormat="false" ht="12.75" hidden="false" customHeight="false" outlineLevel="0" collapsed="false">
      <c r="D476" s="0"/>
      <c r="E476" s="0"/>
      <c r="F476" s="0"/>
      <c r="G476" s="0"/>
      <c r="H476" s="0"/>
      <c r="I476" s="0"/>
      <c r="J476" s="0"/>
    </row>
    <row r="477" customFormat="false" ht="12.75" hidden="false" customHeight="false" outlineLevel="0" collapsed="false">
      <c r="D477" s="0"/>
      <c r="E477" s="0"/>
      <c r="F477" s="0"/>
      <c r="G477" s="0"/>
      <c r="H477" s="0"/>
      <c r="I477" s="0"/>
      <c r="J477" s="0"/>
    </row>
    <row r="478" customFormat="false" ht="12.75" hidden="false" customHeight="false" outlineLevel="0" collapsed="false">
      <c r="D478" s="0"/>
      <c r="E478" s="0"/>
      <c r="F478" s="0"/>
      <c r="G478" s="0"/>
      <c r="H478" s="0"/>
      <c r="I478" s="0"/>
      <c r="J478" s="0"/>
    </row>
    <row r="479" customFormat="false" ht="12.75" hidden="false" customHeight="false" outlineLevel="0" collapsed="false">
      <c r="D479" s="0"/>
      <c r="E479" s="0"/>
      <c r="F479" s="0"/>
      <c r="G479" s="0"/>
      <c r="H479" s="0"/>
      <c r="I479" s="0"/>
      <c r="J479" s="0"/>
    </row>
    <row r="480" customFormat="false" ht="12.75" hidden="false" customHeight="false" outlineLevel="0" collapsed="false">
      <c r="D480" s="0"/>
      <c r="E480" s="0"/>
      <c r="F480" s="0"/>
      <c r="G480" s="0"/>
      <c r="H480" s="0"/>
      <c r="I480" s="0"/>
      <c r="J480" s="0"/>
    </row>
    <row r="481" customFormat="false" ht="12.75" hidden="false" customHeight="false" outlineLevel="0" collapsed="false">
      <c r="D481" s="0"/>
      <c r="E481" s="0"/>
      <c r="F481" s="0"/>
      <c r="G481" s="0"/>
      <c r="H481" s="0"/>
      <c r="I481" s="0"/>
      <c r="J481" s="0"/>
    </row>
    <row r="482" customFormat="false" ht="12.75" hidden="false" customHeight="false" outlineLevel="0" collapsed="false">
      <c r="D482" s="0"/>
      <c r="E482" s="0"/>
      <c r="F482" s="0"/>
      <c r="G482" s="0"/>
      <c r="H482" s="0"/>
      <c r="I482" s="0"/>
      <c r="J482" s="0"/>
    </row>
    <row r="483" customFormat="false" ht="12.75" hidden="false" customHeight="false" outlineLevel="0" collapsed="false">
      <c r="D483" s="0"/>
      <c r="E483" s="0"/>
      <c r="F483" s="0"/>
      <c r="G483" s="0"/>
      <c r="H483" s="0"/>
      <c r="I483" s="0"/>
      <c r="J483" s="0"/>
    </row>
    <row r="484" customFormat="false" ht="12.75" hidden="false" customHeight="false" outlineLevel="0" collapsed="false">
      <c r="D484" s="0"/>
      <c r="E484" s="0"/>
      <c r="F484" s="0"/>
      <c r="G484" s="0"/>
      <c r="H484" s="0"/>
      <c r="I484" s="0"/>
      <c r="J484" s="0"/>
    </row>
    <row r="485" customFormat="false" ht="12.75" hidden="false" customHeight="false" outlineLevel="0" collapsed="false">
      <c r="D485" s="0"/>
      <c r="E485" s="0"/>
      <c r="F485" s="0"/>
      <c r="G485" s="0"/>
      <c r="H485" s="0"/>
      <c r="I485" s="0"/>
      <c r="J485" s="0"/>
    </row>
    <row r="486" customFormat="false" ht="12.75" hidden="false" customHeight="false" outlineLevel="0" collapsed="false">
      <c r="D486" s="0"/>
      <c r="E486" s="0"/>
      <c r="F486" s="0"/>
      <c r="G486" s="0"/>
      <c r="H486" s="0"/>
      <c r="I486" s="0"/>
      <c r="J486" s="0"/>
    </row>
    <row r="487" customFormat="false" ht="12.75" hidden="false" customHeight="false" outlineLevel="0" collapsed="false">
      <c r="D487" s="0"/>
      <c r="E487" s="0"/>
      <c r="F487" s="0"/>
      <c r="G487" s="0"/>
      <c r="H487" s="0"/>
      <c r="I487" s="0"/>
      <c r="J487" s="0"/>
    </row>
    <row r="488" customFormat="false" ht="12.75" hidden="false" customHeight="false" outlineLevel="0" collapsed="false">
      <c r="D488" s="0"/>
      <c r="E488" s="0"/>
      <c r="F488" s="0"/>
      <c r="G488" s="0"/>
      <c r="H488" s="0"/>
      <c r="I488" s="0"/>
      <c r="J488" s="0"/>
    </row>
    <row r="489" customFormat="false" ht="12.75" hidden="false" customHeight="false" outlineLevel="0" collapsed="false">
      <c r="D489" s="0"/>
      <c r="E489" s="0"/>
      <c r="F489" s="0"/>
      <c r="G489" s="0"/>
      <c r="H489" s="0"/>
      <c r="I489" s="0"/>
      <c r="J489" s="0"/>
    </row>
    <row r="490" customFormat="false" ht="12.75" hidden="false" customHeight="false" outlineLevel="0" collapsed="false">
      <c r="D490" s="0"/>
      <c r="E490" s="0"/>
      <c r="F490" s="0"/>
      <c r="G490" s="0"/>
      <c r="H490" s="0"/>
      <c r="I490" s="0"/>
      <c r="J490" s="0"/>
    </row>
    <row r="491" customFormat="false" ht="12.75" hidden="false" customHeight="false" outlineLevel="0" collapsed="false">
      <c r="D491" s="0"/>
      <c r="E491" s="0"/>
      <c r="F491" s="0"/>
      <c r="G491" s="0"/>
      <c r="H491" s="0"/>
      <c r="I491" s="0"/>
      <c r="J491" s="0"/>
    </row>
    <row r="492" customFormat="false" ht="12.75" hidden="false" customHeight="false" outlineLevel="0" collapsed="false">
      <c r="D492" s="0"/>
      <c r="E492" s="0"/>
      <c r="F492" s="0"/>
      <c r="G492" s="0"/>
      <c r="H492" s="0"/>
      <c r="I492" s="0"/>
      <c r="J492" s="0"/>
    </row>
    <row r="493" customFormat="false" ht="12.75" hidden="false" customHeight="false" outlineLevel="0" collapsed="false">
      <c r="D493" s="0"/>
      <c r="E493" s="0"/>
      <c r="F493" s="0"/>
      <c r="G493" s="0"/>
      <c r="H493" s="0"/>
      <c r="I493" s="0"/>
      <c r="J493" s="0"/>
    </row>
    <row r="494" customFormat="false" ht="12.75" hidden="false" customHeight="false" outlineLevel="0" collapsed="false">
      <c r="D494" s="0"/>
      <c r="E494" s="0"/>
      <c r="F494" s="0"/>
      <c r="G494" s="0"/>
      <c r="H494" s="0"/>
      <c r="I494" s="0"/>
      <c r="J494" s="0"/>
    </row>
    <row r="495" customFormat="false" ht="12.75" hidden="false" customHeight="false" outlineLevel="0" collapsed="false">
      <c r="D495" s="0"/>
      <c r="E495" s="0"/>
      <c r="F495" s="0"/>
      <c r="G495" s="0"/>
      <c r="H495" s="0"/>
      <c r="I495" s="0"/>
      <c r="J495" s="0"/>
    </row>
    <row r="496" customFormat="false" ht="12.75" hidden="false" customHeight="false" outlineLevel="0" collapsed="false">
      <c r="D496" s="0"/>
      <c r="E496" s="0"/>
      <c r="F496" s="0"/>
      <c r="G496" s="0"/>
      <c r="H496" s="0"/>
      <c r="I496" s="0"/>
      <c r="J496" s="0"/>
    </row>
    <row r="497" customFormat="false" ht="12.75" hidden="false" customHeight="false" outlineLevel="0" collapsed="false">
      <c r="D497" s="0"/>
      <c r="E497" s="0"/>
      <c r="F497" s="0"/>
      <c r="G497" s="0"/>
      <c r="H497" s="0"/>
      <c r="I497" s="0"/>
      <c r="J497" s="0"/>
    </row>
    <row r="498" customFormat="false" ht="12.75" hidden="false" customHeight="false" outlineLevel="0" collapsed="false">
      <c r="D498" s="0"/>
      <c r="E498" s="0"/>
      <c r="F498" s="0"/>
      <c r="G498" s="0"/>
      <c r="H498" s="0"/>
      <c r="I498" s="0"/>
      <c r="J498" s="0"/>
    </row>
    <row r="499" customFormat="false" ht="12.75" hidden="false" customHeight="false" outlineLevel="0" collapsed="false">
      <c r="D499" s="0"/>
      <c r="E499" s="0"/>
      <c r="F499" s="0"/>
      <c r="G499" s="0"/>
      <c r="H499" s="0"/>
      <c r="I499" s="0"/>
      <c r="J499" s="0"/>
    </row>
    <row r="500" customFormat="false" ht="12.75" hidden="false" customHeight="false" outlineLevel="0" collapsed="false">
      <c r="D500" s="0"/>
      <c r="E500" s="0"/>
      <c r="F500" s="0"/>
      <c r="G500" s="0"/>
      <c r="H500" s="0"/>
      <c r="I500" s="0"/>
      <c r="J500" s="0"/>
    </row>
    <row r="501" customFormat="false" ht="12.75" hidden="false" customHeight="false" outlineLevel="0" collapsed="false">
      <c r="D501" s="0"/>
      <c r="E501" s="0"/>
      <c r="F501" s="0"/>
      <c r="G501" s="0"/>
      <c r="H501" s="0"/>
      <c r="I501" s="0"/>
      <c r="J501" s="0"/>
    </row>
    <row r="502" customFormat="false" ht="12.75" hidden="false" customHeight="false" outlineLevel="0" collapsed="false">
      <c r="D502" s="0"/>
      <c r="E502" s="0"/>
      <c r="F502" s="0"/>
      <c r="G502" s="0"/>
      <c r="H502" s="0"/>
      <c r="I502" s="0"/>
      <c r="J502" s="0"/>
    </row>
    <row r="503" customFormat="false" ht="12.75" hidden="false" customHeight="false" outlineLevel="0" collapsed="false">
      <c r="D503" s="0"/>
      <c r="E503" s="0"/>
      <c r="F503" s="0"/>
      <c r="G503" s="0"/>
      <c r="H503" s="0"/>
      <c r="I503" s="0"/>
      <c r="J503" s="0"/>
    </row>
    <row r="504" customFormat="false" ht="12.75" hidden="false" customHeight="false" outlineLevel="0" collapsed="false">
      <c r="D504" s="0"/>
      <c r="E504" s="0"/>
      <c r="F504" s="0"/>
      <c r="G504" s="0"/>
      <c r="H504" s="0"/>
      <c r="I504" s="0"/>
      <c r="J504" s="0"/>
    </row>
    <row r="505" customFormat="false" ht="12.75" hidden="false" customHeight="false" outlineLevel="0" collapsed="false">
      <c r="D505" s="0"/>
      <c r="E505" s="0"/>
      <c r="F505" s="0"/>
      <c r="G505" s="0"/>
      <c r="H505" s="0"/>
      <c r="I505" s="0"/>
      <c r="J505" s="0"/>
    </row>
    <row r="506" customFormat="false" ht="12.75" hidden="false" customHeight="false" outlineLevel="0" collapsed="false">
      <c r="D506" s="0"/>
      <c r="E506" s="0"/>
      <c r="F506" s="0"/>
      <c r="G506" s="0"/>
      <c r="H506" s="0"/>
      <c r="I506" s="0"/>
      <c r="J506" s="0"/>
    </row>
    <row r="507" customFormat="false" ht="12.75" hidden="false" customHeight="false" outlineLevel="0" collapsed="false">
      <c r="D507" s="0"/>
      <c r="E507" s="0"/>
      <c r="F507" s="0"/>
      <c r="G507" s="0"/>
      <c r="H507" s="0"/>
      <c r="I507" s="0"/>
      <c r="J507" s="0"/>
    </row>
    <row r="508" customFormat="false" ht="12.75" hidden="false" customHeight="false" outlineLevel="0" collapsed="false">
      <c r="D508" s="0"/>
      <c r="E508" s="0"/>
      <c r="F508" s="0"/>
      <c r="G508" s="0"/>
      <c r="H508" s="0"/>
      <c r="I508" s="0"/>
      <c r="J508" s="0"/>
    </row>
    <row r="509" customFormat="false" ht="12.75" hidden="false" customHeight="false" outlineLevel="0" collapsed="false">
      <c r="D509" s="0"/>
      <c r="E509" s="0"/>
      <c r="F509" s="0"/>
      <c r="G509" s="0"/>
      <c r="H509" s="0"/>
      <c r="I509" s="0"/>
      <c r="J509" s="0"/>
    </row>
    <row r="510" customFormat="false" ht="12.75" hidden="false" customHeight="false" outlineLevel="0" collapsed="false">
      <c r="D510" s="0"/>
      <c r="E510" s="0"/>
      <c r="F510" s="0"/>
      <c r="G510" s="0"/>
      <c r="H510" s="0"/>
      <c r="I510" s="0"/>
      <c r="J510" s="0"/>
    </row>
    <row r="511" customFormat="false" ht="12.75" hidden="false" customHeight="false" outlineLevel="0" collapsed="false">
      <c r="D511" s="0"/>
      <c r="E511" s="0"/>
      <c r="F511" s="0"/>
      <c r="G511" s="0"/>
      <c r="H511" s="0"/>
      <c r="I511" s="0"/>
      <c r="J511" s="0"/>
    </row>
    <row r="512" customFormat="false" ht="12.75" hidden="false" customHeight="false" outlineLevel="0" collapsed="false">
      <c r="D512" s="0"/>
      <c r="E512" s="0"/>
      <c r="F512" s="0"/>
      <c r="G512" s="0"/>
      <c r="H512" s="0"/>
      <c r="I512" s="0"/>
      <c r="J512" s="0"/>
    </row>
    <row r="513" customFormat="false" ht="12.75" hidden="false" customHeight="false" outlineLevel="0" collapsed="false">
      <c r="D513" s="0"/>
      <c r="E513" s="0"/>
      <c r="F513" s="0"/>
      <c r="G513" s="0"/>
      <c r="H513" s="0"/>
      <c r="I513" s="0"/>
      <c r="J513" s="0"/>
    </row>
    <row r="514" customFormat="false" ht="12.75" hidden="false" customHeight="false" outlineLevel="0" collapsed="false">
      <c r="D514" s="0"/>
      <c r="E514" s="0"/>
      <c r="F514" s="0"/>
      <c r="G514" s="0"/>
      <c r="H514" s="0"/>
      <c r="I514" s="0"/>
      <c r="J514" s="0"/>
    </row>
    <row r="515" customFormat="false" ht="12.75" hidden="false" customHeight="false" outlineLevel="0" collapsed="false">
      <c r="D515" s="0"/>
      <c r="E515" s="0"/>
      <c r="F515" s="0"/>
      <c r="G515" s="0"/>
      <c r="H515" s="0"/>
      <c r="I515" s="0"/>
      <c r="J515" s="0"/>
    </row>
    <row r="516" customFormat="false" ht="12.75" hidden="false" customHeight="false" outlineLevel="0" collapsed="false">
      <c r="D516" s="0"/>
      <c r="E516" s="0"/>
      <c r="F516" s="0"/>
      <c r="G516" s="0"/>
      <c r="H516" s="0"/>
      <c r="I516" s="0"/>
      <c r="J516" s="0"/>
    </row>
    <row r="517" customFormat="false" ht="12.75" hidden="false" customHeight="false" outlineLevel="0" collapsed="false">
      <c r="D517" s="0"/>
      <c r="E517" s="0"/>
      <c r="F517" s="0"/>
      <c r="G517" s="0"/>
      <c r="H517" s="0"/>
      <c r="I517" s="0"/>
      <c r="J517" s="0"/>
    </row>
    <row r="518" customFormat="false" ht="12.75" hidden="false" customHeight="false" outlineLevel="0" collapsed="false">
      <c r="D518" s="0"/>
      <c r="E518" s="0"/>
      <c r="F518" s="0"/>
      <c r="G518" s="0"/>
      <c r="H518" s="0"/>
      <c r="I518" s="0"/>
      <c r="J518" s="0"/>
    </row>
    <row r="519" customFormat="false" ht="12.75" hidden="false" customHeight="false" outlineLevel="0" collapsed="false">
      <c r="D519" s="0"/>
      <c r="E519" s="0"/>
      <c r="F519" s="0"/>
      <c r="G519" s="0"/>
      <c r="H519" s="0"/>
      <c r="I519" s="0"/>
      <c r="J519" s="0"/>
    </row>
    <row r="520" customFormat="false" ht="12.75" hidden="false" customHeight="false" outlineLevel="0" collapsed="false">
      <c r="D520" s="0"/>
      <c r="E520" s="0"/>
      <c r="F520" s="0"/>
      <c r="G520" s="0"/>
      <c r="H520" s="0"/>
      <c r="I520" s="0"/>
      <c r="J520" s="0"/>
    </row>
    <row r="521" customFormat="false" ht="12.75" hidden="false" customHeight="false" outlineLevel="0" collapsed="false">
      <c r="D521" s="0"/>
      <c r="E521" s="0"/>
      <c r="F521" s="0"/>
      <c r="G521" s="0"/>
      <c r="H521" s="0"/>
      <c r="I521" s="0"/>
      <c r="J521" s="0"/>
    </row>
    <row r="522" customFormat="false" ht="12.75" hidden="false" customHeight="false" outlineLevel="0" collapsed="false">
      <c r="D522" s="0"/>
      <c r="E522" s="0"/>
      <c r="F522" s="0"/>
      <c r="G522" s="0"/>
      <c r="H522" s="0"/>
      <c r="I522" s="0"/>
      <c r="J522" s="0"/>
    </row>
    <row r="523" customFormat="false" ht="12.75" hidden="false" customHeight="false" outlineLevel="0" collapsed="false">
      <c r="D523" s="0"/>
      <c r="E523" s="0"/>
      <c r="F523" s="0"/>
      <c r="G523" s="0"/>
      <c r="H523" s="0"/>
      <c r="I523" s="0"/>
      <c r="J523" s="0"/>
    </row>
    <row r="524" customFormat="false" ht="12.75" hidden="false" customHeight="false" outlineLevel="0" collapsed="false">
      <c r="D524" s="0"/>
      <c r="E524" s="0"/>
      <c r="F524" s="0"/>
      <c r="G524" s="0"/>
      <c r="H524" s="0"/>
      <c r="I524" s="0"/>
      <c r="J524" s="0"/>
    </row>
    <row r="525" customFormat="false" ht="12.75" hidden="false" customHeight="false" outlineLevel="0" collapsed="false">
      <c r="D525" s="0"/>
      <c r="E525" s="0"/>
      <c r="F525" s="0"/>
      <c r="G525" s="0"/>
      <c r="H525" s="0"/>
      <c r="I525" s="0"/>
      <c r="J525" s="0"/>
    </row>
    <row r="526" customFormat="false" ht="12.75" hidden="false" customHeight="false" outlineLevel="0" collapsed="false">
      <c r="D526" s="0"/>
      <c r="E526" s="0"/>
      <c r="F526" s="0"/>
      <c r="G526" s="0"/>
      <c r="H526" s="0"/>
      <c r="I526" s="0"/>
      <c r="J526" s="0"/>
    </row>
    <row r="527" customFormat="false" ht="12.75" hidden="false" customHeight="false" outlineLevel="0" collapsed="false">
      <c r="D527" s="0"/>
      <c r="E527" s="0"/>
      <c r="F527" s="0"/>
      <c r="G527" s="0"/>
      <c r="H527" s="0"/>
      <c r="I527" s="0"/>
      <c r="J527" s="0"/>
    </row>
    <row r="528" customFormat="false" ht="12.75" hidden="false" customHeight="false" outlineLevel="0" collapsed="false">
      <c r="D528" s="0"/>
      <c r="E528" s="0"/>
      <c r="F528" s="0"/>
      <c r="G528" s="0"/>
      <c r="H528" s="0"/>
      <c r="I528" s="0"/>
      <c r="J528" s="0"/>
    </row>
    <row r="529" customFormat="false" ht="12.75" hidden="false" customHeight="false" outlineLevel="0" collapsed="false">
      <c r="D529" s="0"/>
      <c r="E529" s="0"/>
      <c r="F529" s="0"/>
      <c r="G529" s="0"/>
      <c r="H529" s="0"/>
      <c r="I529" s="0"/>
      <c r="J529" s="0"/>
    </row>
    <row r="530" customFormat="false" ht="12.75" hidden="false" customHeight="false" outlineLevel="0" collapsed="false">
      <c r="D530" s="0"/>
      <c r="E530" s="0"/>
      <c r="F530" s="0"/>
      <c r="G530" s="0"/>
      <c r="H530" s="0"/>
      <c r="I530" s="0"/>
      <c r="J530" s="0"/>
    </row>
    <row r="531" customFormat="false" ht="12.75" hidden="false" customHeight="false" outlineLevel="0" collapsed="false">
      <c r="D531" s="0"/>
      <c r="E531" s="0"/>
      <c r="F531" s="0"/>
      <c r="G531" s="0"/>
      <c r="H531" s="0"/>
      <c r="I531" s="0"/>
      <c r="J531" s="0"/>
    </row>
    <row r="532" customFormat="false" ht="12.75" hidden="false" customHeight="false" outlineLevel="0" collapsed="false">
      <c r="D532" s="0"/>
      <c r="E532" s="0"/>
      <c r="F532" s="0"/>
      <c r="G532" s="0"/>
      <c r="H532" s="0"/>
      <c r="I532" s="0"/>
      <c r="J532" s="0"/>
    </row>
    <row r="533" customFormat="false" ht="12.75" hidden="false" customHeight="false" outlineLevel="0" collapsed="false">
      <c r="D533" s="0"/>
      <c r="E533" s="0"/>
      <c r="F533" s="0"/>
      <c r="G533" s="0"/>
      <c r="H533" s="0"/>
      <c r="I533" s="0"/>
      <c r="J533" s="0"/>
    </row>
    <row r="534" customFormat="false" ht="12.75" hidden="false" customHeight="false" outlineLevel="0" collapsed="false">
      <c r="D534" s="0"/>
      <c r="E534" s="0"/>
      <c r="F534" s="0"/>
      <c r="G534" s="0"/>
      <c r="H534" s="0"/>
      <c r="I534" s="0"/>
      <c r="J534" s="0"/>
    </row>
    <row r="535" customFormat="false" ht="12.75" hidden="false" customHeight="false" outlineLevel="0" collapsed="false">
      <c r="D535" s="0"/>
      <c r="E535" s="0"/>
      <c r="F535" s="0"/>
      <c r="G535" s="0"/>
      <c r="H535" s="0"/>
      <c r="I535" s="0"/>
      <c r="J535" s="0"/>
    </row>
    <row r="536" customFormat="false" ht="12.75" hidden="false" customHeight="false" outlineLevel="0" collapsed="false">
      <c r="D536" s="0"/>
      <c r="E536" s="0"/>
      <c r="F536" s="0"/>
      <c r="G536" s="0"/>
      <c r="H536" s="0"/>
      <c r="I536" s="0"/>
      <c r="J536" s="0"/>
    </row>
    <row r="537" customFormat="false" ht="12.75" hidden="false" customHeight="false" outlineLevel="0" collapsed="false">
      <c r="D537" s="0"/>
      <c r="E537" s="0"/>
      <c r="F537" s="0"/>
      <c r="G537" s="0"/>
      <c r="H537" s="0"/>
      <c r="I537" s="0"/>
      <c r="J537" s="0"/>
    </row>
    <row r="538" customFormat="false" ht="12.75" hidden="false" customHeight="false" outlineLevel="0" collapsed="false">
      <c r="D538" s="0"/>
      <c r="E538" s="0"/>
      <c r="F538" s="0"/>
      <c r="G538" s="0"/>
      <c r="H538" s="0"/>
      <c r="I538" s="0"/>
      <c r="J538" s="0"/>
    </row>
    <row r="539" customFormat="false" ht="12.75" hidden="false" customHeight="false" outlineLevel="0" collapsed="false">
      <c r="D539" s="0"/>
      <c r="E539" s="0"/>
      <c r="F539" s="0"/>
      <c r="G539" s="0"/>
      <c r="H539" s="0"/>
      <c r="I539" s="0"/>
      <c r="J539" s="0"/>
    </row>
    <row r="540" customFormat="false" ht="12.75" hidden="false" customHeight="false" outlineLevel="0" collapsed="false">
      <c r="D540" s="0"/>
      <c r="E540" s="0"/>
      <c r="F540" s="0"/>
      <c r="G540" s="0"/>
      <c r="H540" s="0"/>
      <c r="I540" s="0"/>
      <c r="J540" s="0"/>
    </row>
    <row r="541" customFormat="false" ht="12.75" hidden="false" customHeight="false" outlineLevel="0" collapsed="false">
      <c r="D541" s="0"/>
      <c r="E541" s="0"/>
      <c r="F541" s="0"/>
      <c r="G541" s="0"/>
      <c r="H541" s="0"/>
      <c r="I541" s="0"/>
      <c r="J541" s="0"/>
    </row>
    <row r="542" customFormat="false" ht="12.75" hidden="false" customHeight="false" outlineLevel="0" collapsed="false">
      <c r="D542" s="0"/>
      <c r="E542" s="0"/>
      <c r="F542" s="0"/>
      <c r="G542" s="0"/>
      <c r="H542" s="0"/>
      <c r="I542" s="0"/>
      <c r="J542" s="0"/>
    </row>
    <row r="543" customFormat="false" ht="12.75" hidden="false" customHeight="false" outlineLevel="0" collapsed="false">
      <c r="D543" s="0"/>
      <c r="E543" s="0"/>
      <c r="F543" s="0"/>
      <c r="G543" s="0"/>
      <c r="H543" s="0"/>
      <c r="I543" s="0"/>
      <c r="J543" s="0"/>
    </row>
    <row r="544" customFormat="false" ht="12.75" hidden="false" customHeight="false" outlineLevel="0" collapsed="false">
      <c r="D544" s="0"/>
      <c r="E544" s="0"/>
      <c r="F544" s="0"/>
      <c r="G544" s="0"/>
      <c r="H544" s="0"/>
      <c r="I544" s="0"/>
      <c r="J544" s="0"/>
    </row>
    <row r="545" customFormat="false" ht="12.75" hidden="false" customHeight="false" outlineLevel="0" collapsed="false">
      <c r="D545" s="0"/>
      <c r="E545" s="0"/>
      <c r="F545" s="0"/>
      <c r="G545" s="0"/>
      <c r="H545" s="0"/>
      <c r="I545" s="0"/>
      <c r="J545" s="0"/>
    </row>
    <row r="546" customFormat="false" ht="12.75" hidden="false" customHeight="false" outlineLevel="0" collapsed="false">
      <c r="D546" s="0"/>
      <c r="E546" s="0"/>
      <c r="F546" s="0"/>
      <c r="G546" s="0"/>
      <c r="H546" s="0"/>
      <c r="I546" s="0"/>
      <c r="J546" s="0"/>
    </row>
    <row r="547" customFormat="false" ht="12.75" hidden="false" customHeight="false" outlineLevel="0" collapsed="false">
      <c r="D547" s="0"/>
      <c r="E547" s="0"/>
      <c r="F547" s="0"/>
      <c r="G547" s="0"/>
      <c r="H547" s="0"/>
      <c r="I547" s="0"/>
      <c r="J547" s="0"/>
    </row>
    <row r="548" customFormat="false" ht="12.75" hidden="false" customHeight="false" outlineLevel="0" collapsed="false">
      <c r="D548" s="0"/>
      <c r="E548" s="0"/>
      <c r="F548" s="0"/>
      <c r="G548" s="0"/>
      <c r="H548" s="0"/>
      <c r="I548" s="0"/>
      <c r="J548" s="0"/>
    </row>
    <row r="549" customFormat="false" ht="12.75" hidden="false" customHeight="false" outlineLevel="0" collapsed="false">
      <c r="D549" s="0"/>
      <c r="E549" s="0"/>
      <c r="F549" s="0"/>
      <c r="G549" s="0"/>
      <c r="H549" s="0"/>
      <c r="I549" s="0"/>
      <c r="J549" s="0"/>
    </row>
    <row r="550" customFormat="false" ht="12.75" hidden="false" customHeight="false" outlineLevel="0" collapsed="false">
      <c r="D550" s="0"/>
      <c r="E550" s="0"/>
      <c r="F550" s="0"/>
      <c r="G550" s="0"/>
      <c r="H550" s="0"/>
      <c r="I550" s="0"/>
      <c r="J550" s="0"/>
    </row>
    <row r="551" customFormat="false" ht="12.75" hidden="false" customHeight="false" outlineLevel="0" collapsed="false">
      <c r="D551" s="0"/>
      <c r="E551" s="0"/>
      <c r="F551" s="0"/>
      <c r="G551" s="0"/>
      <c r="H551" s="0"/>
      <c r="I551" s="0"/>
      <c r="J551" s="0"/>
    </row>
    <row r="552" customFormat="false" ht="12.75" hidden="false" customHeight="false" outlineLevel="0" collapsed="false">
      <c r="D552" s="0"/>
      <c r="E552" s="0"/>
      <c r="F552" s="0"/>
      <c r="G552" s="0"/>
      <c r="H552" s="0"/>
      <c r="I552" s="0"/>
      <c r="J552" s="0"/>
    </row>
    <row r="553" customFormat="false" ht="12.75" hidden="false" customHeight="false" outlineLevel="0" collapsed="false">
      <c r="D553" s="0"/>
      <c r="E553" s="0"/>
      <c r="F553" s="0"/>
      <c r="G553" s="0"/>
      <c r="H553" s="0"/>
      <c r="I553" s="0"/>
      <c r="J553" s="0"/>
    </row>
    <row r="554" customFormat="false" ht="12.75" hidden="false" customHeight="false" outlineLevel="0" collapsed="false">
      <c r="D554" s="0"/>
      <c r="E554" s="0"/>
      <c r="F554" s="0"/>
      <c r="G554" s="0"/>
      <c r="H554" s="0"/>
      <c r="I554" s="0"/>
      <c r="J554" s="0"/>
    </row>
    <row r="555" customFormat="false" ht="12.75" hidden="false" customHeight="false" outlineLevel="0" collapsed="false">
      <c r="D555" s="0"/>
      <c r="E555" s="0"/>
      <c r="F555" s="0"/>
      <c r="G555" s="0"/>
      <c r="H555" s="0"/>
      <c r="I555" s="0"/>
      <c r="J555" s="0"/>
    </row>
    <row r="556" customFormat="false" ht="12.75" hidden="false" customHeight="false" outlineLevel="0" collapsed="false">
      <c r="D556" s="0"/>
      <c r="E556" s="0"/>
      <c r="F556" s="0"/>
      <c r="G556" s="0"/>
      <c r="H556" s="0"/>
      <c r="I556" s="0"/>
      <c r="J556" s="0"/>
    </row>
    <row r="557" customFormat="false" ht="12.75" hidden="false" customHeight="false" outlineLevel="0" collapsed="false">
      <c r="D557" s="0"/>
      <c r="E557" s="0"/>
      <c r="F557" s="0"/>
      <c r="G557" s="0"/>
      <c r="H557" s="0"/>
      <c r="I557" s="0"/>
      <c r="J557" s="0"/>
    </row>
    <row r="558" customFormat="false" ht="12.75" hidden="false" customHeight="false" outlineLevel="0" collapsed="false">
      <c r="D558" s="0"/>
      <c r="E558" s="0"/>
      <c r="F558" s="0"/>
      <c r="G558" s="0"/>
      <c r="H558" s="0"/>
      <c r="I558" s="0"/>
      <c r="J558" s="0"/>
    </row>
    <row r="559" customFormat="false" ht="12.75" hidden="false" customHeight="false" outlineLevel="0" collapsed="false">
      <c r="D559" s="0"/>
      <c r="E559" s="0"/>
      <c r="F559" s="0"/>
      <c r="G559" s="0"/>
      <c r="H559" s="0"/>
      <c r="I559" s="0"/>
      <c r="J559" s="0"/>
    </row>
    <row r="560" customFormat="false" ht="12.75" hidden="false" customHeight="false" outlineLevel="0" collapsed="false">
      <c r="D560" s="0"/>
      <c r="E560" s="0"/>
      <c r="F560" s="0"/>
      <c r="G560" s="0"/>
      <c r="H560" s="0"/>
      <c r="I560" s="0"/>
      <c r="J560" s="0"/>
    </row>
    <row r="561" customFormat="false" ht="12.75" hidden="false" customHeight="false" outlineLevel="0" collapsed="false">
      <c r="D561" s="0"/>
      <c r="E561" s="0"/>
      <c r="F561" s="0"/>
      <c r="G561" s="0"/>
      <c r="H561" s="0"/>
      <c r="I561" s="0"/>
      <c r="J561" s="0"/>
    </row>
    <row r="562" customFormat="false" ht="12.75" hidden="false" customHeight="false" outlineLevel="0" collapsed="false">
      <c r="D562" s="0"/>
      <c r="E562" s="0"/>
      <c r="F562" s="0"/>
      <c r="G562" s="0"/>
      <c r="H562" s="0"/>
      <c r="I562" s="0"/>
      <c r="J562" s="0"/>
    </row>
    <row r="563" customFormat="false" ht="12.75" hidden="false" customHeight="false" outlineLevel="0" collapsed="false">
      <c r="D563" s="0"/>
      <c r="E563" s="0"/>
      <c r="F563" s="0"/>
      <c r="G563" s="0"/>
      <c r="H563" s="0"/>
      <c r="I563" s="0"/>
      <c r="J563" s="0"/>
    </row>
    <row r="564" customFormat="false" ht="12.75" hidden="false" customHeight="false" outlineLevel="0" collapsed="false">
      <c r="D564" s="0"/>
      <c r="E564" s="0"/>
      <c r="F564" s="0"/>
      <c r="G564" s="0"/>
      <c r="H564" s="0"/>
      <c r="I564" s="0"/>
      <c r="J564" s="0"/>
    </row>
    <row r="565" customFormat="false" ht="12.75" hidden="false" customHeight="false" outlineLevel="0" collapsed="false">
      <c r="D565" s="0"/>
      <c r="E565" s="0"/>
      <c r="F565" s="0"/>
      <c r="G565" s="0"/>
      <c r="H565" s="0"/>
      <c r="I565" s="0"/>
      <c r="J565" s="0"/>
    </row>
    <row r="566" customFormat="false" ht="12.75" hidden="false" customHeight="false" outlineLevel="0" collapsed="false">
      <c r="D566" s="0"/>
      <c r="E566" s="0"/>
      <c r="F566" s="0"/>
      <c r="G566" s="0"/>
      <c r="H566" s="0"/>
      <c r="I566" s="0"/>
      <c r="J566" s="0"/>
    </row>
    <row r="567" customFormat="false" ht="12.75" hidden="false" customHeight="false" outlineLevel="0" collapsed="false">
      <c r="D567" s="0"/>
      <c r="E567" s="0"/>
      <c r="F567" s="0"/>
      <c r="G567" s="0"/>
      <c r="H567" s="0"/>
      <c r="I567" s="0"/>
      <c r="J567" s="0"/>
    </row>
    <row r="568" customFormat="false" ht="12.75" hidden="false" customHeight="false" outlineLevel="0" collapsed="false">
      <c r="D568" s="0"/>
      <c r="E568" s="0"/>
      <c r="F568" s="0"/>
      <c r="G568" s="0"/>
      <c r="H568" s="0"/>
      <c r="I568" s="0"/>
      <c r="J568" s="0"/>
    </row>
    <row r="569" customFormat="false" ht="12.75" hidden="false" customHeight="false" outlineLevel="0" collapsed="false">
      <c r="D569" s="0"/>
      <c r="E569" s="0"/>
      <c r="F569" s="0"/>
      <c r="G569" s="0"/>
      <c r="H569" s="0"/>
      <c r="I569" s="0"/>
      <c r="J569" s="0"/>
    </row>
    <row r="570" customFormat="false" ht="12.75" hidden="false" customHeight="false" outlineLevel="0" collapsed="false">
      <c r="D570" s="0"/>
      <c r="E570" s="0"/>
      <c r="F570" s="0"/>
      <c r="G570" s="0"/>
      <c r="H570" s="0"/>
      <c r="I570" s="0"/>
      <c r="J570" s="0"/>
    </row>
    <row r="571" customFormat="false" ht="12.75" hidden="false" customHeight="false" outlineLevel="0" collapsed="false">
      <c r="D571" s="0"/>
      <c r="E571" s="0"/>
      <c r="F571" s="0"/>
      <c r="G571" s="0"/>
      <c r="H571" s="0"/>
      <c r="I571" s="0"/>
      <c r="J571" s="0"/>
    </row>
    <row r="572" customFormat="false" ht="12.75" hidden="false" customHeight="false" outlineLevel="0" collapsed="false">
      <c r="D572" s="0"/>
      <c r="E572" s="0"/>
      <c r="F572" s="0"/>
      <c r="G572" s="0"/>
      <c r="H572" s="0"/>
      <c r="I572" s="0"/>
      <c r="J572" s="0"/>
    </row>
    <row r="573" customFormat="false" ht="12.75" hidden="false" customHeight="false" outlineLevel="0" collapsed="false">
      <c r="D573" s="0"/>
      <c r="E573" s="0"/>
      <c r="F573" s="0"/>
      <c r="G573" s="0"/>
      <c r="H573" s="0"/>
      <c r="I573" s="0"/>
      <c r="J573" s="0"/>
    </row>
    <row r="574" customFormat="false" ht="12.75" hidden="false" customHeight="false" outlineLevel="0" collapsed="false">
      <c r="D574" s="0"/>
      <c r="E574" s="0"/>
      <c r="F574" s="0"/>
      <c r="G574" s="0"/>
      <c r="H574" s="0"/>
      <c r="I574" s="0"/>
      <c r="J574" s="0"/>
    </row>
    <row r="575" customFormat="false" ht="12.75" hidden="false" customHeight="false" outlineLevel="0" collapsed="false">
      <c r="D575" s="0"/>
      <c r="E575" s="0"/>
      <c r="F575" s="0"/>
      <c r="G575" s="0"/>
      <c r="H575" s="0"/>
      <c r="I575" s="0"/>
      <c r="J575" s="0"/>
    </row>
    <row r="576" customFormat="false" ht="12.75" hidden="false" customHeight="false" outlineLevel="0" collapsed="false">
      <c r="D576" s="0"/>
      <c r="E576" s="0"/>
      <c r="F576" s="0"/>
      <c r="G576" s="0"/>
      <c r="H576" s="0"/>
      <c r="I576" s="0"/>
      <c r="J576" s="0"/>
    </row>
    <row r="577" customFormat="false" ht="12.75" hidden="false" customHeight="false" outlineLevel="0" collapsed="false">
      <c r="D577" s="0"/>
      <c r="E577" s="0"/>
      <c r="F577" s="0"/>
      <c r="G577" s="0"/>
      <c r="H577" s="0"/>
      <c r="I577" s="0"/>
      <c r="J577" s="0"/>
    </row>
    <row r="578" customFormat="false" ht="12.75" hidden="false" customHeight="false" outlineLevel="0" collapsed="false">
      <c r="D578" s="0"/>
      <c r="E578" s="0"/>
      <c r="F578" s="0"/>
      <c r="G578" s="0"/>
      <c r="H578" s="0"/>
      <c r="I578" s="0"/>
      <c r="J578" s="0"/>
    </row>
    <row r="579" customFormat="false" ht="12.75" hidden="false" customHeight="false" outlineLevel="0" collapsed="false">
      <c r="D579" s="0"/>
      <c r="E579" s="0"/>
      <c r="F579" s="0"/>
      <c r="G579" s="0"/>
      <c r="H579" s="0"/>
      <c r="I579" s="0"/>
      <c r="J579" s="0"/>
    </row>
    <row r="580" customFormat="false" ht="12.75" hidden="false" customHeight="false" outlineLevel="0" collapsed="false">
      <c r="D580" s="0"/>
      <c r="E580" s="0"/>
      <c r="F580" s="0"/>
      <c r="G580" s="0"/>
      <c r="H580" s="0"/>
      <c r="I580" s="0"/>
      <c r="J580" s="0"/>
    </row>
    <row r="581" customFormat="false" ht="12.75" hidden="false" customHeight="false" outlineLevel="0" collapsed="false">
      <c r="D581" s="0"/>
      <c r="E581" s="0"/>
      <c r="F581" s="0"/>
      <c r="G581" s="0"/>
      <c r="H581" s="0"/>
      <c r="I581" s="0"/>
      <c r="J581" s="0"/>
    </row>
    <row r="582" customFormat="false" ht="12.75" hidden="false" customHeight="false" outlineLevel="0" collapsed="false">
      <c r="D582" s="0"/>
      <c r="E582" s="0"/>
      <c r="F582" s="0"/>
      <c r="G582" s="0"/>
      <c r="H582" s="0"/>
      <c r="I582" s="0"/>
      <c r="J582" s="0"/>
    </row>
    <row r="583" customFormat="false" ht="12.75" hidden="false" customHeight="false" outlineLevel="0" collapsed="false">
      <c r="D583" s="0"/>
      <c r="E583" s="0"/>
      <c r="F583" s="0"/>
      <c r="G583" s="0"/>
      <c r="H583" s="0"/>
      <c r="I583" s="0"/>
      <c r="J583" s="0"/>
    </row>
    <row r="584" customFormat="false" ht="12.75" hidden="false" customHeight="false" outlineLevel="0" collapsed="false">
      <c r="D584" s="0"/>
      <c r="E584" s="0"/>
      <c r="F584" s="0"/>
      <c r="G584" s="0"/>
      <c r="H584" s="0"/>
      <c r="I584" s="0"/>
      <c r="J584" s="0"/>
    </row>
    <row r="585" customFormat="false" ht="12.75" hidden="false" customHeight="false" outlineLevel="0" collapsed="false">
      <c r="D585" s="0"/>
      <c r="E585" s="0"/>
      <c r="F585" s="0"/>
      <c r="G585" s="0"/>
      <c r="H585" s="0"/>
      <c r="I585" s="0"/>
      <c r="J585" s="0"/>
    </row>
    <row r="586" customFormat="false" ht="12.75" hidden="false" customHeight="false" outlineLevel="0" collapsed="false">
      <c r="D586" s="0"/>
      <c r="E586" s="0"/>
      <c r="F586" s="0"/>
      <c r="G586" s="0"/>
      <c r="H586" s="0"/>
      <c r="I586" s="0"/>
      <c r="J586" s="0"/>
    </row>
    <row r="587" customFormat="false" ht="12.75" hidden="false" customHeight="false" outlineLevel="0" collapsed="false">
      <c r="D587" s="0"/>
      <c r="E587" s="0"/>
      <c r="F587" s="0"/>
      <c r="G587" s="0"/>
      <c r="H587" s="0"/>
      <c r="I587" s="0"/>
      <c r="J587" s="0"/>
    </row>
    <row r="588" customFormat="false" ht="12.75" hidden="false" customHeight="false" outlineLevel="0" collapsed="false">
      <c r="D588" s="0"/>
      <c r="E588" s="0"/>
      <c r="F588" s="0"/>
      <c r="G588" s="0"/>
      <c r="H588" s="0"/>
      <c r="I588" s="0"/>
      <c r="J588" s="0"/>
    </row>
    <row r="589" customFormat="false" ht="12.75" hidden="false" customHeight="false" outlineLevel="0" collapsed="false">
      <c r="D589" s="0"/>
      <c r="E589" s="0"/>
      <c r="F589" s="0"/>
      <c r="G589" s="0"/>
      <c r="H589" s="0"/>
      <c r="I589" s="0"/>
      <c r="J589" s="0"/>
    </row>
    <row r="590" customFormat="false" ht="12.75" hidden="false" customHeight="false" outlineLevel="0" collapsed="false">
      <c r="D590" s="0"/>
      <c r="E590" s="0"/>
      <c r="F590" s="0"/>
      <c r="G590" s="0"/>
      <c r="H590" s="0"/>
      <c r="I590" s="0"/>
      <c r="J590" s="0"/>
    </row>
    <row r="591" customFormat="false" ht="12.75" hidden="false" customHeight="false" outlineLevel="0" collapsed="false">
      <c r="D591" s="0"/>
      <c r="E591" s="0"/>
      <c r="F591" s="0"/>
      <c r="G591" s="0"/>
      <c r="H591" s="0"/>
      <c r="I591" s="0"/>
      <c r="J591" s="0"/>
    </row>
    <row r="592" customFormat="false" ht="12.75" hidden="false" customHeight="false" outlineLevel="0" collapsed="false">
      <c r="D592" s="0"/>
      <c r="E592" s="0"/>
      <c r="F592" s="0"/>
      <c r="G592" s="0"/>
      <c r="H592" s="0"/>
      <c r="I592" s="0"/>
      <c r="J592" s="0"/>
    </row>
    <row r="593" customFormat="false" ht="12.75" hidden="false" customHeight="false" outlineLevel="0" collapsed="false">
      <c r="D593" s="0"/>
      <c r="E593" s="0"/>
      <c r="F593" s="0"/>
      <c r="G593" s="0"/>
      <c r="H593" s="0"/>
      <c r="I593" s="0"/>
      <c r="J593" s="0"/>
    </row>
    <row r="594" customFormat="false" ht="12.75" hidden="false" customHeight="false" outlineLevel="0" collapsed="false">
      <c r="D594" s="0"/>
      <c r="E594" s="0"/>
      <c r="F594" s="0"/>
      <c r="G594" s="0"/>
      <c r="H594" s="0"/>
      <c r="I594" s="0"/>
      <c r="J594" s="0"/>
    </row>
    <row r="595" customFormat="false" ht="12.75" hidden="false" customHeight="false" outlineLevel="0" collapsed="false">
      <c r="D595" s="0"/>
      <c r="E595" s="0"/>
      <c r="F595" s="0"/>
      <c r="G595" s="0"/>
      <c r="H595" s="0"/>
      <c r="I595" s="0"/>
      <c r="J595" s="0"/>
    </row>
    <row r="596" customFormat="false" ht="12.75" hidden="false" customHeight="false" outlineLevel="0" collapsed="false">
      <c r="D596" s="0"/>
      <c r="E596" s="0"/>
      <c r="F596" s="0"/>
      <c r="G596" s="0"/>
      <c r="H596" s="0"/>
      <c r="I596" s="0"/>
      <c r="J596" s="0"/>
    </row>
    <row r="597" customFormat="false" ht="12.75" hidden="false" customHeight="false" outlineLevel="0" collapsed="false">
      <c r="D597" s="0"/>
      <c r="E597" s="0"/>
      <c r="F597" s="0"/>
      <c r="G597" s="0"/>
      <c r="H597" s="0"/>
      <c r="I597" s="0"/>
      <c r="J597" s="0"/>
    </row>
    <row r="598" customFormat="false" ht="12.75" hidden="false" customHeight="false" outlineLevel="0" collapsed="false">
      <c r="D598" s="0"/>
      <c r="E598" s="0"/>
      <c r="F598" s="0"/>
      <c r="G598" s="0"/>
      <c r="H598" s="0"/>
      <c r="I598" s="0"/>
      <c r="J598" s="0"/>
    </row>
    <row r="599" customFormat="false" ht="12.75" hidden="false" customHeight="false" outlineLevel="0" collapsed="false">
      <c r="D599" s="0"/>
      <c r="E599" s="0"/>
      <c r="F599" s="0"/>
      <c r="G599" s="0"/>
      <c r="H599" s="0"/>
      <c r="I599" s="0"/>
      <c r="J599" s="0"/>
    </row>
    <row r="600" customFormat="false" ht="12.75" hidden="false" customHeight="false" outlineLevel="0" collapsed="false">
      <c r="D600" s="0"/>
      <c r="E600" s="0"/>
      <c r="F600" s="0"/>
      <c r="G600" s="0"/>
      <c r="H600" s="0"/>
      <c r="I600" s="0"/>
      <c r="J600" s="0"/>
    </row>
    <row r="601" customFormat="false" ht="12.75" hidden="false" customHeight="false" outlineLevel="0" collapsed="false">
      <c r="D601" s="0"/>
      <c r="E601" s="0"/>
      <c r="F601" s="0"/>
      <c r="G601" s="0"/>
      <c r="H601" s="0"/>
      <c r="I601" s="0"/>
      <c r="J601" s="0"/>
    </row>
    <row r="602" customFormat="false" ht="12.75" hidden="false" customHeight="false" outlineLevel="0" collapsed="false">
      <c r="D602" s="0"/>
      <c r="E602" s="0"/>
      <c r="F602" s="0"/>
      <c r="G602" s="0"/>
      <c r="H602" s="0"/>
      <c r="I602" s="0"/>
      <c r="J602" s="0"/>
    </row>
    <row r="603" customFormat="false" ht="12.75" hidden="false" customHeight="false" outlineLevel="0" collapsed="false">
      <c r="D603" s="0"/>
      <c r="E603" s="0"/>
      <c r="F603" s="0"/>
      <c r="G603" s="0"/>
      <c r="H603" s="0"/>
      <c r="I603" s="0"/>
      <c r="J603" s="0"/>
    </row>
    <row r="604" customFormat="false" ht="12.75" hidden="false" customHeight="false" outlineLevel="0" collapsed="false">
      <c r="D604" s="0"/>
      <c r="E604" s="0"/>
      <c r="F604" s="0"/>
      <c r="G604" s="0"/>
      <c r="H604" s="0"/>
      <c r="I604" s="0"/>
      <c r="J604" s="0"/>
    </row>
    <row r="605" customFormat="false" ht="12.75" hidden="false" customHeight="false" outlineLevel="0" collapsed="false">
      <c r="D605" s="0"/>
      <c r="E605" s="0"/>
      <c r="F605" s="0"/>
      <c r="G605" s="0"/>
      <c r="H605" s="0"/>
      <c r="I605" s="0"/>
      <c r="J605" s="0"/>
    </row>
    <row r="606" customFormat="false" ht="12.75" hidden="false" customHeight="false" outlineLevel="0" collapsed="false">
      <c r="D606" s="0"/>
      <c r="E606" s="0"/>
      <c r="F606" s="0"/>
      <c r="G606" s="0"/>
      <c r="H606" s="0"/>
      <c r="I606" s="0"/>
      <c r="J606" s="0"/>
    </row>
    <row r="607" customFormat="false" ht="12.75" hidden="false" customHeight="false" outlineLevel="0" collapsed="false">
      <c r="D607" s="0"/>
      <c r="E607" s="0"/>
      <c r="F607" s="0"/>
      <c r="G607" s="0"/>
      <c r="H607" s="0"/>
      <c r="I607" s="0"/>
      <c r="J607" s="0"/>
    </row>
    <row r="608" customFormat="false" ht="12.75" hidden="false" customHeight="false" outlineLevel="0" collapsed="false">
      <c r="D608" s="0"/>
      <c r="E608" s="0"/>
      <c r="F608" s="0"/>
      <c r="G608" s="0"/>
      <c r="H608" s="0"/>
      <c r="I608" s="0"/>
      <c r="J608" s="0"/>
    </row>
    <row r="609" customFormat="false" ht="12.75" hidden="false" customHeight="false" outlineLevel="0" collapsed="false">
      <c r="D609" s="0"/>
      <c r="E609" s="0"/>
      <c r="F609" s="0"/>
      <c r="G609" s="0"/>
      <c r="H609" s="0"/>
      <c r="I609" s="0"/>
      <c r="J609" s="0"/>
    </row>
    <row r="610" customFormat="false" ht="12.75" hidden="false" customHeight="false" outlineLevel="0" collapsed="false">
      <c r="D610" s="0"/>
      <c r="E610" s="0"/>
      <c r="F610" s="0"/>
      <c r="G610" s="0"/>
      <c r="H610" s="0"/>
      <c r="I610" s="0"/>
      <c r="J610" s="0"/>
    </row>
    <row r="611" customFormat="false" ht="12.75" hidden="false" customHeight="false" outlineLevel="0" collapsed="false">
      <c r="D611" s="0"/>
      <c r="E611" s="0"/>
      <c r="F611" s="0"/>
      <c r="G611" s="0"/>
      <c r="H611" s="0"/>
      <c r="I611" s="0"/>
      <c r="J611" s="0"/>
    </row>
    <row r="612" customFormat="false" ht="12.75" hidden="false" customHeight="false" outlineLevel="0" collapsed="false">
      <c r="D612" s="0"/>
      <c r="E612" s="0"/>
      <c r="F612" s="0"/>
      <c r="G612" s="0"/>
      <c r="H612" s="0"/>
      <c r="I612" s="0"/>
      <c r="J612" s="0"/>
    </row>
    <row r="613" customFormat="false" ht="12.75" hidden="false" customHeight="false" outlineLevel="0" collapsed="false">
      <c r="D613" s="0"/>
      <c r="E613" s="0"/>
      <c r="F613" s="0"/>
      <c r="G613" s="0"/>
      <c r="H613" s="0"/>
      <c r="I613" s="0"/>
      <c r="J613" s="0"/>
    </row>
    <row r="614" customFormat="false" ht="12.75" hidden="false" customHeight="false" outlineLevel="0" collapsed="false">
      <c r="D614" s="0"/>
      <c r="E614" s="0"/>
      <c r="F614" s="0"/>
      <c r="G614" s="0"/>
      <c r="H614" s="0"/>
      <c r="I614" s="0"/>
      <c r="J614" s="0"/>
    </row>
    <row r="615" customFormat="false" ht="12.75" hidden="false" customHeight="false" outlineLevel="0" collapsed="false">
      <c r="D615" s="0"/>
      <c r="E615" s="0"/>
      <c r="F615" s="0"/>
      <c r="G615" s="0"/>
      <c r="H615" s="0"/>
      <c r="I615" s="0"/>
      <c r="J615" s="0"/>
    </row>
    <row r="616" customFormat="false" ht="12.75" hidden="false" customHeight="false" outlineLevel="0" collapsed="false">
      <c r="D616" s="0"/>
      <c r="E616" s="0"/>
      <c r="F616" s="0"/>
      <c r="G616" s="0"/>
      <c r="H616" s="0"/>
      <c r="I616" s="0"/>
      <c r="J616" s="0"/>
    </row>
    <row r="617" customFormat="false" ht="12.75" hidden="false" customHeight="false" outlineLevel="0" collapsed="false">
      <c r="D617" s="0"/>
      <c r="E617" s="0"/>
      <c r="F617" s="0"/>
      <c r="G617" s="0"/>
      <c r="H617" s="0"/>
      <c r="I617" s="0"/>
      <c r="J617" s="0"/>
    </row>
    <row r="618" customFormat="false" ht="12.75" hidden="false" customHeight="false" outlineLevel="0" collapsed="false">
      <c r="D618" s="0"/>
      <c r="E618" s="0"/>
      <c r="F618" s="0"/>
      <c r="G618" s="0"/>
      <c r="H618" s="0"/>
      <c r="I618" s="0"/>
      <c r="J618" s="0"/>
    </row>
    <row r="619" customFormat="false" ht="12.75" hidden="false" customHeight="false" outlineLevel="0" collapsed="false">
      <c r="D619" s="0"/>
      <c r="E619" s="0"/>
      <c r="F619" s="0"/>
      <c r="G619" s="0"/>
      <c r="H619" s="0"/>
      <c r="I619" s="0"/>
      <c r="J619" s="0"/>
    </row>
    <row r="620" customFormat="false" ht="12.75" hidden="false" customHeight="false" outlineLevel="0" collapsed="false">
      <c r="D620" s="0"/>
      <c r="E620" s="0"/>
      <c r="F620" s="0"/>
      <c r="G620" s="0"/>
      <c r="H620" s="0"/>
      <c r="I620" s="0"/>
      <c r="J620" s="0"/>
    </row>
    <row r="621" customFormat="false" ht="12.75" hidden="false" customHeight="false" outlineLevel="0" collapsed="false">
      <c r="D621" s="0"/>
      <c r="E621" s="0"/>
      <c r="F621" s="0"/>
      <c r="G621" s="0"/>
      <c r="H621" s="0"/>
      <c r="I621" s="0"/>
      <c r="J621" s="0"/>
    </row>
    <row r="622" customFormat="false" ht="12.75" hidden="false" customHeight="false" outlineLevel="0" collapsed="false">
      <c r="D622" s="0"/>
      <c r="E622" s="0"/>
      <c r="F622" s="0"/>
      <c r="G622" s="0"/>
      <c r="H622" s="0"/>
      <c r="I622" s="0"/>
      <c r="J622" s="0"/>
    </row>
    <row r="623" customFormat="false" ht="12.75" hidden="false" customHeight="false" outlineLevel="0" collapsed="false">
      <c r="D623" s="0"/>
      <c r="E623" s="0"/>
      <c r="F623" s="0"/>
      <c r="G623" s="0"/>
      <c r="H623" s="0"/>
      <c r="I623" s="0"/>
      <c r="J623" s="0"/>
    </row>
    <row r="624" customFormat="false" ht="12.75" hidden="false" customHeight="false" outlineLevel="0" collapsed="false">
      <c r="D624" s="0"/>
      <c r="E624" s="0"/>
      <c r="F624" s="0"/>
      <c r="G624" s="0"/>
      <c r="H624" s="0"/>
      <c r="I624" s="0"/>
      <c r="J624" s="0"/>
    </row>
    <row r="625" customFormat="false" ht="12.75" hidden="false" customHeight="false" outlineLevel="0" collapsed="false">
      <c r="D625" s="0"/>
      <c r="E625" s="0"/>
      <c r="F625" s="0"/>
      <c r="G625" s="0"/>
      <c r="H625" s="0"/>
      <c r="I625" s="0"/>
      <c r="J625" s="0"/>
    </row>
    <row r="626" customFormat="false" ht="12.75" hidden="false" customHeight="false" outlineLevel="0" collapsed="false">
      <c r="D626" s="0"/>
      <c r="E626" s="0"/>
      <c r="F626" s="0"/>
      <c r="G626" s="0"/>
      <c r="H626" s="0"/>
      <c r="I626" s="0"/>
      <c r="J626" s="0"/>
    </row>
    <row r="627" customFormat="false" ht="12.75" hidden="false" customHeight="false" outlineLevel="0" collapsed="false">
      <c r="D627" s="0"/>
      <c r="E627" s="0"/>
      <c r="F627" s="0"/>
      <c r="G627" s="0"/>
      <c r="H627" s="0"/>
      <c r="I627" s="0"/>
      <c r="J627" s="0"/>
    </row>
    <row r="628" customFormat="false" ht="12.75" hidden="false" customHeight="false" outlineLevel="0" collapsed="false">
      <c r="D628" s="0"/>
      <c r="E628" s="0"/>
      <c r="F628" s="0"/>
      <c r="G628" s="0"/>
      <c r="H628" s="0"/>
      <c r="I628" s="0"/>
      <c r="J628" s="0"/>
    </row>
    <row r="629" customFormat="false" ht="12.75" hidden="false" customHeight="false" outlineLevel="0" collapsed="false">
      <c r="D629" s="0"/>
      <c r="E629" s="0"/>
      <c r="F629" s="0"/>
      <c r="G629" s="0"/>
      <c r="H629" s="0"/>
      <c r="I629" s="0"/>
      <c r="J629" s="0"/>
    </row>
    <row r="630" customFormat="false" ht="12.75" hidden="false" customHeight="false" outlineLevel="0" collapsed="false">
      <c r="D630" s="0"/>
      <c r="E630" s="0"/>
      <c r="F630" s="0"/>
      <c r="G630" s="0"/>
      <c r="H630" s="0"/>
      <c r="I630" s="0"/>
      <c r="J630" s="0"/>
    </row>
    <row r="631" customFormat="false" ht="12.75" hidden="false" customHeight="false" outlineLevel="0" collapsed="false">
      <c r="D631" s="0"/>
      <c r="E631" s="0"/>
      <c r="F631" s="0"/>
      <c r="G631" s="0"/>
      <c r="H631" s="0"/>
      <c r="I631" s="0"/>
      <c r="J631" s="0"/>
    </row>
    <row r="632" customFormat="false" ht="12.75" hidden="false" customHeight="false" outlineLevel="0" collapsed="false">
      <c r="D632" s="0"/>
      <c r="E632" s="0"/>
      <c r="F632" s="0"/>
      <c r="G632" s="0"/>
      <c r="H632" s="0"/>
      <c r="I632" s="0"/>
      <c r="J632" s="0"/>
    </row>
    <row r="633" customFormat="false" ht="12.75" hidden="false" customHeight="false" outlineLevel="0" collapsed="false">
      <c r="D633" s="0"/>
      <c r="E633" s="0"/>
      <c r="F633" s="0"/>
      <c r="G633" s="0"/>
      <c r="H633" s="0"/>
      <c r="I633" s="0"/>
      <c r="J633" s="0"/>
    </row>
    <row r="634" customFormat="false" ht="12.75" hidden="false" customHeight="false" outlineLevel="0" collapsed="false">
      <c r="D634" s="0"/>
      <c r="E634" s="0"/>
      <c r="F634" s="0"/>
      <c r="G634" s="0"/>
      <c r="H634" s="0"/>
      <c r="I634" s="0"/>
      <c r="J634" s="0"/>
    </row>
    <row r="635" customFormat="false" ht="12.75" hidden="false" customHeight="false" outlineLevel="0" collapsed="false">
      <c r="D635" s="0"/>
      <c r="E635" s="0"/>
      <c r="F635" s="0"/>
      <c r="G635" s="0"/>
      <c r="H635" s="0"/>
      <c r="I635" s="0"/>
      <c r="J635" s="0"/>
    </row>
    <row r="636" customFormat="false" ht="12.75" hidden="false" customHeight="false" outlineLevel="0" collapsed="false">
      <c r="D636" s="0"/>
      <c r="E636" s="0"/>
      <c r="F636" s="0"/>
      <c r="G636" s="0"/>
      <c r="H636" s="0"/>
      <c r="I636" s="0"/>
      <c r="J636" s="0"/>
    </row>
    <row r="637" customFormat="false" ht="12.75" hidden="false" customHeight="false" outlineLevel="0" collapsed="false">
      <c r="D637" s="0"/>
      <c r="E637" s="0"/>
      <c r="F637" s="0"/>
      <c r="G637" s="0"/>
      <c r="H637" s="0"/>
      <c r="I637" s="0"/>
      <c r="J637" s="0"/>
    </row>
    <row r="638" customFormat="false" ht="12.75" hidden="false" customHeight="false" outlineLevel="0" collapsed="false">
      <c r="D638" s="0"/>
      <c r="E638" s="0"/>
      <c r="F638" s="0"/>
      <c r="G638" s="0"/>
      <c r="H638" s="0"/>
      <c r="I638" s="0"/>
      <c r="J638" s="0"/>
    </row>
    <row r="639" customFormat="false" ht="12.75" hidden="false" customHeight="false" outlineLevel="0" collapsed="false">
      <c r="D639" s="0"/>
      <c r="E639" s="0"/>
      <c r="F639" s="0"/>
      <c r="G639" s="0"/>
      <c r="H639" s="0"/>
      <c r="I639" s="0"/>
      <c r="J639" s="0"/>
    </row>
    <row r="640" customFormat="false" ht="12.75" hidden="false" customHeight="false" outlineLevel="0" collapsed="false">
      <c r="D640" s="0"/>
      <c r="E640" s="0"/>
      <c r="F640" s="0"/>
      <c r="G640" s="0"/>
      <c r="H640" s="0"/>
      <c r="I640" s="0"/>
      <c r="J640" s="0"/>
    </row>
    <row r="641" customFormat="false" ht="12.75" hidden="false" customHeight="false" outlineLevel="0" collapsed="false">
      <c r="D641" s="0"/>
      <c r="E641" s="0"/>
      <c r="F641" s="0"/>
      <c r="G641" s="0"/>
      <c r="H641" s="0"/>
      <c r="I641" s="0"/>
      <c r="J641" s="0"/>
    </row>
    <row r="642" customFormat="false" ht="12.75" hidden="false" customHeight="false" outlineLevel="0" collapsed="false">
      <c r="D642" s="0"/>
      <c r="E642" s="0"/>
      <c r="F642" s="0"/>
      <c r="G642" s="0"/>
      <c r="H642" s="0"/>
      <c r="I642" s="0"/>
      <c r="J642" s="0"/>
    </row>
    <row r="643" customFormat="false" ht="12.75" hidden="false" customHeight="false" outlineLevel="0" collapsed="false">
      <c r="D643" s="0"/>
      <c r="E643" s="0"/>
      <c r="F643" s="0"/>
      <c r="G643" s="0"/>
      <c r="H643" s="0"/>
      <c r="I643" s="0"/>
      <c r="J643" s="0"/>
    </row>
    <row r="644" customFormat="false" ht="12.75" hidden="false" customHeight="false" outlineLevel="0" collapsed="false">
      <c r="D644" s="0"/>
      <c r="E644" s="0"/>
      <c r="F644" s="0"/>
      <c r="G644" s="0"/>
      <c r="H644" s="0"/>
      <c r="I644" s="0"/>
      <c r="J644" s="0"/>
    </row>
    <row r="645" customFormat="false" ht="12.75" hidden="false" customHeight="false" outlineLevel="0" collapsed="false">
      <c r="D645" s="0"/>
      <c r="E645" s="0"/>
      <c r="F645" s="0"/>
      <c r="G645" s="0"/>
      <c r="H645" s="0"/>
      <c r="I645" s="0"/>
      <c r="J645" s="0"/>
    </row>
    <row r="646" customFormat="false" ht="12.75" hidden="false" customHeight="false" outlineLevel="0" collapsed="false">
      <c r="D646" s="0"/>
      <c r="E646" s="0"/>
      <c r="F646" s="0"/>
      <c r="G646" s="0"/>
      <c r="H646" s="0"/>
      <c r="I646" s="0"/>
      <c r="J646" s="0"/>
    </row>
    <row r="647" customFormat="false" ht="12.75" hidden="false" customHeight="false" outlineLevel="0" collapsed="false">
      <c r="D647" s="0"/>
      <c r="E647" s="0"/>
      <c r="F647" s="0"/>
      <c r="G647" s="0"/>
      <c r="H647" s="0"/>
      <c r="I647" s="0"/>
      <c r="J647" s="0"/>
    </row>
    <row r="648" customFormat="false" ht="12.75" hidden="false" customHeight="false" outlineLevel="0" collapsed="false">
      <c r="D648" s="0"/>
      <c r="E648" s="0"/>
      <c r="F648" s="0"/>
      <c r="G648" s="0"/>
      <c r="H648" s="0"/>
      <c r="I648" s="0"/>
      <c r="J648" s="0"/>
    </row>
    <row r="649" customFormat="false" ht="12.75" hidden="false" customHeight="false" outlineLevel="0" collapsed="false">
      <c r="D649" s="0"/>
      <c r="E649" s="0"/>
      <c r="F649" s="0"/>
      <c r="G649" s="0"/>
      <c r="H649" s="0"/>
      <c r="I649" s="0"/>
      <c r="J649" s="0"/>
    </row>
    <row r="650" customFormat="false" ht="12.75" hidden="false" customHeight="false" outlineLevel="0" collapsed="false">
      <c r="D650" s="0"/>
      <c r="E650" s="0"/>
      <c r="F650" s="0"/>
      <c r="G650" s="0"/>
      <c r="H650" s="0"/>
      <c r="I650" s="0"/>
      <c r="J650" s="0"/>
    </row>
    <row r="651" customFormat="false" ht="12.75" hidden="false" customHeight="false" outlineLevel="0" collapsed="false">
      <c r="D651" s="0"/>
      <c r="E651" s="0"/>
      <c r="F651" s="0"/>
      <c r="G651" s="0"/>
      <c r="H651" s="0"/>
      <c r="I651" s="0"/>
      <c r="J651" s="0"/>
    </row>
    <row r="652" customFormat="false" ht="12.75" hidden="false" customHeight="false" outlineLevel="0" collapsed="false">
      <c r="D652" s="0"/>
      <c r="E652" s="0"/>
      <c r="F652" s="0"/>
      <c r="G652" s="0"/>
      <c r="H652" s="0"/>
      <c r="I652" s="0"/>
      <c r="J652" s="0"/>
    </row>
    <row r="653" customFormat="false" ht="12.75" hidden="false" customHeight="false" outlineLevel="0" collapsed="false">
      <c r="D653" s="0"/>
      <c r="E653" s="0"/>
      <c r="F653" s="0"/>
      <c r="G653" s="0"/>
      <c r="H653" s="0"/>
      <c r="I653" s="0"/>
      <c r="J653" s="0"/>
    </row>
    <row r="654" customFormat="false" ht="12.75" hidden="false" customHeight="false" outlineLevel="0" collapsed="false">
      <c r="D654" s="0"/>
      <c r="E654" s="0"/>
      <c r="F654" s="0"/>
      <c r="G654" s="0"/>
      <c r="H654" s="0"/>
      <c r="I654" s="0"/>
      <c r="J654" s="0"/>
    </row>
    <row r="655" customFormat="false" ht="12.75" hidden="false" customHeight="false" outlineLevel="0" collapsed="false">
      <c r="D655" s="0"/>
      <c r="E655" s="0"/>
      <c r="F655" s="0"/>
      <c r="G655" s="0"/>
      <c r="H655" s="0"/>
      <c r="I655" s="0"/>
      <c r="J655" s="0"/>
    </row>
    <row r="656" customFormat="false" ht="12.75" hidden="false" customHeight="false" outlineLevel="0" collapsed="false">
      <c r="D656" s="0"/>
      <c r="E656" s="0"/>
      <c r="F656" s="0"/>
      <c r="G656" s="0"/>
      <c r="H656" s="0"/>
      <c r="I656" s="0"/>
      <c r="J656" s="0"/>
    </row>
    <row r="657" customFormat="false" ht="12.75" hidden="false" customHeight="false" outlineLevel="0" collapsed="false">
      <c r="D657" s="0"/>
      <c r="E657" s="0"/>
      <c r="F657" s="0"/>
      <c r="G657" s="0"/>
      <c r="H657" s="0"/>
      <c r="I657" s="0"/>
      <c r="J657" s="0"/>
    </row>
    <row r="658" customFormat="false" ht="12.75" hidden="false" customHeight="false" outlineLevel="0" collapsed="false">
      <c r="D658" s="0"/>
      <c r="E658" s="0"/>
      <c r="F658" s="0"/>
      <c r="G658" s="0"/>
      <c r="H658" s="0"/>
      <c r="I658" s="0"/>
      <c r="J658" s="0"/>
    </row>
    <row r="659" customFormat="false" ht="12.75" hidden="false" customHeight="false" outlineLevel="0" collapsed="false">
      <c r="D659" s="0"/>
      <c r="E659" s="0"/>
      <c r="F659" s="0"/>
      <c r="G659" s="0"/>
      <c r="H659" s="0"/>
      <c r="I659" s="0"/>
      <c r="J659" s="0"/>
    </row>
    <row r="660" customFormat="false" ht="12.75" hidden="false" customHeight="false" outlineLevel="0" collapsed="false">
      <c r="D660" s="0"/>
      <c r="E660" s="0"/>
      <c r="F660" s="0"/>
      <c r="G660" s="0"/>
      <c r="H660" s="0"/>
      <c r="I660" s="0"/>
      <c r="J660" s="0"/>
    </row>
    <row r="661" customFormat="false" ht="12.75" hidden="false" customHeight="false" outlineLevel="0" collapsed="false">
      <c r="D661" s="0"/>
      <c r="E661" s="0"/>
      <c r="F661" s="0"/>
      <c r="G661" s="0"/>
      <c r="H661" s="0"/>
      <c r="I661" s="0"/>
      <c r="J661" s="0"/>
    </row>
    <row r="662" customFormat="false" ht="12.75" hidden="false" customHeight="false" outlineLevel="0" collapsed="false">
      <c r="D662" s="0"/>
      <c r="E662" s="0"/>
      <c r="F662" s="0"/>
      <c r="G662" s="0"/>
      <c r="H662" s="0"/>
      <c r="I662" s="0"/>
      <c r="J662" s="0"/>
    </row>
    <row r="663" customFormat="false" ht="12.75" hidden="false" customHeight="false" outlineLevel="0" collapsed="false">
      <c r="D663" s="0"/>
      <c r="E663" s="0"/>
      <c r="F663" s="0"/>
      <c r="G663" s="0"/>
      <c r="H663" s="0"/>
      <c r="I663" s="0"/>
      <c r="J663" s="0"/>
    </row>
    <row r="664" customFormat="false" ht="12.75" hidden="false" customHeight="false" outlineLevel="0" collapsed="false">
      <c r="D664" s="0"/>
      <c r="E664" s="0"/>
      <c r="F664" s="0"/>
      <c r="G664" s="0"/>
      <c r="H664" s="0"/>
      <c r="I664" s="0"/>
      <c r="J664" s="0"/>
    </row>
    <row r="665" customFormat="false" ht="12.75" hidden="false" customHeight="false" outlineLevel="0" collapsed="false">
      <c r="D665" s="0"/>
      <c r="E665" s="0"/>
      <c r="F665" s="0"/>
      <c r="G665" s="0"/>
      <c r="H665" s="0"/>
      <c r="I665" s="0"/>
      <c r="J665" s="0"/>
    </row>
    <row r="666" customFormat="false" ht="12.75" hidden="false" customHeight="false" outlineLevel="0" collapsed="false">
      <c r="D666" s="0"/>
      <c r="E666" s="0"/>
      <c r="F666" s="0"/>
      <c r="G666" s="0"/>
      <c r="H666" s="0"/>
      <c r="I666" s="0"/>
      <c r="J666" s="0"/>
    </row>
    <row r="667" customFormat="false" ht="12.75" hidden="false" customHeight="false" outlineLevel="0" collapsed="false">
      <c r="D667" s="0"/>
      <c r="E667" s="0"/>
      <c r="F667" s="0"/>
      <c r="G667" s="0"/>
      <c r="H667" s="0"/>
      <c r="I667" s="0"/>
      <c r="J667" s="0"/>
    </row>
    <row r="668" customFormat="false" ht="12.75" hidden="false" customHeight="false" outlineLevel="0" collapsed="false">
      <c r="D668" s="0"/>
      <c r="E668" s="0"/>
      <c r="F668" s="0"/>
      <c r="G668" s="0"/>
      <c r="H668" s="0"/>
      <c r="I668" s="0"/>
      <c r="J668" s="0"/>
    </row>
    <row r="669" customFormat="false" ht="12.75" hidden="false" customHeight="false" outlineLevel="0" collapsed="false">
      <c r="D669" s="0"/>
      <c r="E669" s="0"/>
      <c r="F669" s="0"/>
      <c r="G669" s="0"/>
      <c r="H669" s="0"/>
      <c r="I669" s="0"/>
      <c r="J669" s="0"/>
    </row>
    <row r="670" customFormat="false" ht="12.75" hidden="false" customHeight="false" outlineLevel="0" collapsed="false">
      <c r="D670" s="0"/>
      <c r="E670" s="0"/>
      <c r="F670" s="0"/>
      <c r="G670" s="0"/>
      <c r="H670" s="0"/>
      <c r="I670" s="0"/>
      <c r="J670" s="0"/>
    </row>
    <row r="671" customFormat="false" ht="12.75" hidden="false" customHeight="false" outlineLevel="0" collapsed="false">
      <c r="D671" s="0"/>
      <c r="E671" s="0"/>
      <c r="F671" s="0"/>
      <c r="G671" s="0"/>
      <c r="H671" s="0"/>
      <c r="I671" s="0"/>
      <c r="J671" s="0"/>
    </row>
    <row r="672" customFormat="false" ht="12.75" hidden="false" customHeight="false" outlineLevel="0" collapsed="false">
      <c r="D672" s="0"/>
      <c r="E672" s="0"/>
      <c r="F672" s="0"/>
      <c r="G672" s="0"/>
      <c r="H672" s="0"/>
      <c r="I672" s="0"/>
      <c r="J672" s="0"/>
    </row>
    <row r="673" customFormat="false" ht="12.75" hidden="false" customHeight="false" outlineLevel="0" collapsed="false">
      <c r="D673" s="0"/>
      <c r="E673" s="0"/>
      <c r="F673" s="0"/>
      <c r="G673" s="0"/>
      <c r="H673" s="0"/>
      <c r="I673" s="0"/>
      <c r="J673" s="0"/>
    </row>
    <row r="674" customFormat="false" ht="12.75" hidden="false" customHeight="false" outlineLevel="0" collapsed="false">
      <c r="D674" s="0"/>
      <c r="E674" s="0"/>
      <c r="F674" s="0"/>
      <c r="G674" s="0"/>
      <c r="H674" s="0"/>
      <c r="I674" s="0"/>
      <c r="J674" s="0"/>
    </row>
    <row r="675" customFormat="false" ht="12.75" hidden="false" customHeight="false" outlineLevel="0" collapsed="false">
      <c r="D675" s="0"/>
      <c r="E675" s="0"/>
      <c r="F675" s="0"/>
      <c r="G675" s="0"/>
      <c r="H675" s="0"/>
      <c r="I675" s="0"/>
      <c r="J675" s="0"/>
    </row>
    <row r="676" customFormat="false" ht="12.75" hidden="false" customHeight="false" outlineLevel="0" collapsed="false">
      <c r="D676" s="0"/>
      <c r="E676" s="0"/>
      <c r="F676" s="0"/>
      <c r="G676" s="0"/>
      <c r="H676" s="0"/>
      <c r="I676" s="0"/>
      <c r="J676" s="0"/>
    </row>
    <row r="677" customFormat="false" ht="12.75" hidden="false" customHeight="false" outlineLevel="0" collapsed="false">
      <c r="D677" s="0"/>
      <c r="E677" s="0"/>
      <c r="F677" s="0"/>
      <c r="G677" s="0"/>
      <c r="H677" s="0"/>
      <c r="I677" s="0"/>
      <c r="J677" s="0"/>
    </row>
    <row r="678" customFormat="false" ht="12.75" hidden="false" customHeight="false" outlineLevel="0" collapsed="false">
      <c r="D678" s="0"/>
      <c r="E678" s="0"/>
      <c r="F678" s="0"/>
      <c r="G678" s="0"/>
      <c r="H678" s="0"/>
      <c r="I678" s="0"/>
      <c r="J678" s="0"/>
    </row>
    <row r="679" customFormat="false" ht="12.75" hidden="false" customHeight="false" outlineLevel="0" collapsed="false">
      <c r="D679" s="0"/>
      <c r="E679" s="0"/>
      <c r="F679" s="0"/>
      <c r="G679" s="0"/>
      <c r="H679" s="0"/>
      <c r="I679" s="0"/>
      <c r="J679" s="0"/>
    </row>
    <row r="680" customFormat="false" ht="12.75" hidden="false" customHeight="false" outlineLevel="0" collapsed="false">
      <c r="D680" s="0"/>
      <c r="E680" s="0"/>
      <c r="F680" s="0"/>
      <c r="G680" s="0"/>
      <c r="H680" s="0"/>
      <c r="I680" s="0"/>
      <c r="J680" s="0"/>
    </row>
    <row r="681" customFormat="false" ht="12.75" hidden="false" customHeight="false" outlineLevel="0" collapsed="false">
      <c r="D681" s="0"/>
      <c r="E681" s="0"/>
      <c r="F681" s="0"/>
      <c r="G681" s="0"/>
      <c r="H681" s="0"/>
      <c r="I681" s="0"/>
      <c r="J681" s="0"/>
    </row>
    <row r="682" customFormat="false" ht="12.75" hidden="false" customHeight="false" outlineLevel="0" collapsed="false">
      <c r="D682" s="0"/>
      <c r="E682" s="0"/>
      <c r="F682" s="0"/>
      <c r="G682" s="0"/>
      <c r="H682" s="0"/>
      <c r="I682" s="0"/>
      <c r="J682" s="0"/>
    </row>
    <row r="683" customFormat="false" ht="12.75" hidden="false" customHeight="false" outlineLevel="0" collapsed="false">
      <c r="D683" s="0"/>
      <c r="E683" s="0"/>
      <c r="F683" s="0"/>
      <c r="G683" s="0"/>
      <c r="H683" s="0"/>
      <c r="I683" s="0"/>
      <c r="J683" s="0"/>
    </row>
    <row r="684" customFormat="false" ht="12.75" hidden="false" customHeight="false" outlineLevel="0" collapsed="false">
      <c r="D684" s="0"/>
      <c r="E684" s="0"/>
      <c r="F684" s="0"/>
      <c r="G684" s="0"/>
      <c r="H684" s="0"/>
      <c r="I684" s="0"/>
      <c r="J684" s="0"/>
    </row>
    <row r="685" customFormat="false" ht="12.75" hidden="false" customHeight="false" outlineLevel="0" collapsed="false">
      <c r="D685" s="0"/>
      <c r="E685" s="0"/>
      <c r="F685" s="0"/>
      <c r="G685" s="0"/>
      <c r="H685" s="0"/>
      <c r="I685" s="0"/>
      <c r="J685" s="0"/>
    </row>
    <row r="686" customFormat="false" ht="12.75" hidden="false" customHeight="false" outlineLevel="0" collapsed="false">
      <c r="D686" s="0"/>
      <c r="E686" s="0"/>
      <c r="F686" s="0"/>
      <c r="G686" s="0"/>
      <c r="H686" s="0"/>
      <c r="I686" s="0"/>
      <c r="J686" s="0"/>
    </row>
    <row r="687" customFormat="false" ht="12.75" hidden="false" customHeight="false" outlineLevel="0" collapsed="false">
      <c r="D687" s="0"/>
      <c r="E687" s="0"/>
      <c r="F687" s="0"/>
      <c r="G687" s="0"/>
      <c r="H687" s="0"/>
      <c r="I687" s="0"/>
      <c r="J687" s="0"/>
    </row>
    <row r="688" customFormat="false" ht="12.75" hidden="false" customHeight="false" outlineLevel="0" collapsed="false">
      <c r="D688" s="0"/>
      <c r="E688" s="0"/>
      <c r="F688" s="0"/>
      <c r="G688" s="0"/>
      <c r="H688" s="0"/>
      <c r="I688" s="0"/>
      <c r="J688" s="0"/>
    </row>
    <row r="689" customFormat="false" ht="12.75" hidden="false" customHeight="false" outlineLevel="0" collapsed="false">
      <c r="D689" s="0"/>
      <c r="E689" s="0"/>
      <c r="F689" s="0"/>
      <c r="G689" s="0"/>
      <c r="H689" s="0"/>
      <c r="I689" s="0"/>
      <c r="J689" s="0"/>
    </row>
    <row r="690" customFormat="false" ht="12.75" hidden="false" customHeight="false" outlineLevel="0" collapsed="false">
      <c r="D690" s="0"/>
      <c r="E690" s="0"/>
      <c r="F690" s="0"/>
      <c r="G690" s="0"/>
      <c r="H690" s="0"/>
      <c r="I690" s="0"/>
      <c r="J690" s="0"/>
    </row>
    <row r="691" customFormat="false" ht="12.75" hidden="false" customHeight="false" outlineLevel="0" collapsed="false">
      <c r="D691" s="0"/>
      <c r="E691" s="0"/>
      <c r="F691" s="0"/>
      <c r="G691" s="0"/>
      <c r="H691" s="0"/>
      <c r="I691" s="0"/>
      <c r="J691" s="0"/>
    </row>
    <row r="692" customFormat="false" ht="12.75" hidden="false" customHeight="false" outlineLevel="0" collapsed="false">
      <c r="D692" s="0"/>
      <c r="E692" s="0"/>
      <c r="F692" s="0"/>
      <c r="G692" s="0"/>
      <c r="H692" s="0"/>
      <c r="I692" s="0"/>
      <c r="J692" s="0"/>
    </row>
    <row r="693" customFormat="false" ht="12.75" hidden="false" customHeight="false" outlineLevel="0" collapsed="false">
      <c r="D693" s="0"/>
      <c r="E693" s="0"/>
      <c r="F693" s="0"/>
      <c r="G693" s="0"/>
      <c r="H693" s="0"/>
      <c r="I693" s="0"/>
      <c r="J693" s="0"/>
    </row>
    <row r="694" customFormat="false" ht="12.75" hidden="false" customHeight="false" outlineLevel="0" collapsed="false">
      <c r="D694" s="0"/>
      <c r="E694" s="0"/>
      <c r="F694" s="0"/>
      <c r="G694" s="0"/>
      <c r="H694" s="0"/>
      <c r="I694" s="0"/>
      <c r="J694" s="0"/>
    </row>
    <row r="695" customFormat="false" ht="12.75" hidden="false" customHeight="false" outlineLevel="0" collapsed="false">
      <c r="D695" s="0"/>
      <c r="E695" s="0"/>
      <c r="F695" s="0"/>
      <c r="G695" s="0"/>
      <c r="H695" s="0"/>
      <c r="I695" s="0"/>
      <c r="J695" s="0"/>
    </row>
    <row r="696" customFormat="false" ht="12.75" hidden="false" customHeight="false" outlineLevel="0" collapsed="false">
      <c r="D696" s="0"/>
      <c r="E696" s="0"/>
      <c r="F696" s="0"/>
      <c r="G696" s="0"/>
      <c r="H696" s="0"/>
      <c r="I696" s="0"/>
      <c r="J696" s="0"/>
    </row>
    <row r="697" customFormat="false" ht="12.75" hidden="false" customHeight="false" outlineLevel="0" collapsed="false">
      <c r="D697" s="0"/>
      <c r="E697" s="0"/>
      <c r="F697" s="0"/>
      <c r="G697" s="0"/>
      <c r="H697" s="0"/>
      <c r="I697" s="0"/>
      <c r="J697" s="0"/>
    </row>
    <row r="698" customFormat="false" ht="12.75" hidden="false" customHeight="false" outlineLevel="0" collapsed="false">
      <c r="D698" s="0"/>
      <c r="E698" s="0"/>
      <c r="F698" s="0"/>
      <c r="G698" s="0"/>
      <c r="H698" s="0"/>
      <c r="I698" s="0"/>
      <c r="J698" s="0"/>
    </row>
    <row r="699" customFormat="false" ht="12.75" hidden="false" customHeight="false" outlineLevel="0" collapsed="false">
      <c r="D699" s="0"/>
      <c r="E699" s="0"/>
      <c r="F699" s="0"/>
      <c r="G699" s="0"/>
      <c r="H699" s="0"/>
      <c r="I699" s="0"/>
      <c r="J699" s="0"/>
    </row>
    <row r="700" customFormat="false" ht="12.75" hidden="false" customHeight="false" outlineLevel="0" collapsed="false">
      <c r="D700" s="0"/>
      <c r="E700" s="0"/>
      <c r="F700" s="0"/>
      <c r="G700" s="0"/>
      <c r="H700" s="0"/>
      <c r="I700" s="0"/>
      <c r="J700" s="0"/>
    </row>
    <row r="701" customFormat="false" ht="12.75" hidden="false" customHeight="false" outlineLevel="0" collapsed="false">
      <c r="D701" s="0"/>
      <c r="E701" s="0"/>
      <c r="F701" s="0"/>
      <c r="G701" s="0"/>
      <c r="H701" s="0"/>
      <c r="I701" s="0"/>
      <c r="J701" s="0"/>
    </row>
    <row r="702" customFormat="false" ht="12.75" hidden="false" customHeight="false" outlineLevel="0" collapsed="false">
      <c r="D702" s="0"/>
      <c r="E702" s="0"/>
      <c r="F702" s="0"/>
      <c r="G702" s="0"/>
      <c r="H702" s="0"/>
      <c r="I702" s="0"/>
      <c r="J702" s="0"/>
    </row>
    <row r="703" customFormat="false" ht="12.75" hidden="false" customHeight="false" outlineLevel="0" collapsed="false">
      <c r="D703" s="0"/>
      <c r="E703" s="0"/>
      <c r="F703" s="0"/>
      <c r="G703" s="0"/>
      <c r="H703" s="0"/>
      <c r="I703" s="0"/>
      <c r="J703" s="0"/>
    </row>
    <row r="704" customFormat="false" ht="12.75" hidden="false" customHeight="false" outlineLevel="0" collapsed="false">
      <c r="D704" s="0"/>
      <c r="E704" s="0"/>
      <c r="F704" s="0"/>
      <c r="G704" s="0"/>
      <c r="H704" s="0"/>
      <c r="I704" s="0"/>
      <c r="J704" s="0"/>
    </row>
    <row r="705" customFormat="false" ht="12.75" hidden="false" customHeight="false" outlineLevel="0" collapsed="false">
      <c r="D705" s="0"/>
      <c r="E705" s="0"/>
      <c r="F705" s="0"/>
      <c r="G705" s="0"/>
      <c r="H705" s="0"/>
      <c r="I705" s="0"/>
      <c r="J705" s="0"/>
    </row>
    <row r="706" customFormat="false" ht="12.75" hidden="false" customHeight="false" outlineLevel="0" collapsed="false">
      <c r="D706" s="0"/>
      <c r="E706" s="0"/>
      <c r="F706" s="0"/>
      <c r="G706" s="0"/>
      <c r="H706" s="0"/>
      <c r="I706" s="0"/>
      <c r="J706" s="0"/>
    </row>
    <row r="707" customFormat="false" ht="12.75" hidden="false" customHeight="false" outlineLevel="0" collapsed="false">
      <c r="D707" s="0"/>
      <c r="E707" s="0"/>
      <c r="F707" s="0"/>
      <c r="G707" s="0"/>
      <c r="H707" s="0"/>
      <c r="I707" s="0"/>
      <c r="J707" s="0"/>
    </row>
    <row r="708" customFormat="false" ht="12.75" hidden="false" customHeight="false" outlineLevel="0" collapsed="false">
      <c r="D708" s="0"/>
      <c r="E708" s="0"/>
      <c r="F708" s="0"/>
      <c r="G708" s="0"/>
      <c r="H708" s="0"/>
      <c r="I708" s="0"/>
      <c r="J708" s="0"/>
    </row>
    <row r="709" customFormat="false" ht="12.75" hidden="false" customHeight="false" outlineLevel="0" collapsed="false">
      <c r="D709" s="0"/>
      <c r="E709" s="0"/>
      <c r="F709" s="0"/>
      <c r="G709" s="0"/>
      <c r="H709" s="0"/>
      <c r="I709" s="0"/>
      <c r="J709" s="0"/>
    </row>
    <row r="710" customFormat="false" ht="12.75" hidden="false" customHeight="false" outlineLevel="0" collapsed="false">
      <c r="D710" s="0"/>
      <c r="E710" s="0"/>
      <c r="F710" s="0"/>
      <c r="G710" s="0"/>
      <c r="H710" s="0"/>
      <c r="I710" s="0"/>
      <c r="J710" s="0"/>
    </row>
    <row r="711" customFormat="false" ht="12.75" hidden="false" customHeight="false" outlineLevel="0" collapsed="false">
      <c r="D711" s="0"/>
      <c r="E711" s="0"/>
      <c r="F711" s="0"/>
      <c r="G711" s="0"/>
      <c r="H711" s="0"/>
      <c r="I711" s="0"/>
      <c r="J711" s="0"/>
    </row>
    <row r="712" customFormat="false" ht="12.75" hidden="false" customHeight="false" outlineLevel="0" collapsed="false">
      <c r="D712" s="0"/>
      <c r="E712" s="0"/>
      <c r="F712" s="0"/>
      <c r="G712" s="0"/>
      <c r="H712" s="0"/>
      <c r="I712" s="0"/>
      <c r="J712" s="0"/>
    </row>
    <row r="713" customFormat="false" ht="12.75" hidden="false" customHeight="false" outlineLevel="0" collapsed="false">
      <c r="D713" s="0"/>
      <c r="E713" s="0"/>
      <c r="F713" s="0"/>
      <c r="G713" s="0"/>
      <c r="H713" s="0"/>
      <c r="I713" s="0"/>
      <c r="J713" s="0"/>
    </row>
    <row r="714" customFormat="false" ht="12.75" hidden="false" customHeight="false" outlineLevel="0" collapsed="false">
      <c r="D714" s="0"/>
      <c r="E714" s="0"/>
      <c r="F714" s="0"/>
      <c r="G714" s="0"/>
      <c r="H714" s="0"/>
      <c r="I714" s="0"/>
      <c r="J714" s="0"/>
    </row>
    <row r="715" customFormat="false" ht="12.75" hidden="false" customHeight="false" outlineLevel="0" collapsed="false">
      <c r="D715" s="0"/>
      <c r="E715" s="0"/>
      <c r="F715" s="0"/>
      <c r="G715" s="0"/>
      <c r="H715" s="0"/>
      <c r="I715" s="0"/>
      <c r="J715" s="0"/>
    </row>
    <row r="716" customFormat="false" ht="12.75" hidden="false" customHeight="false" outlineLevel="0" collapsed="false">
      <c r="D716" s="0"/>
      <c r="E716" s="0"/>
      <c r="F716" s="0"/>
      <c r="G716" s="0"/>
      <c r="H716" s="0"/>
      <c r="I716" s="0"/>
      <c r="J716" s="0"/>
    </row>
    <row r="717" customFormat="false" ht="12.75" hidden="false" customHeight="false" outlineLevel="0" collapsed="false">
      <c r="D717" s="0"/>
      <c r="E717" s="0"/>
      <c r="F717" s="0"/>
      <c r="G717" s="0"/>
      <c r="H717" s="0"/>
      <c r="I717" s="0"/>
      <c r="J717" s="0"/>
    </row>
    <row r="718" customFormat="false" ht="12.75" hidden="false" customHeight="false" outlineLevel="0" collapsed="false">
      <c r="D718" s="0"/>
      <c r="E718" s="0"/>
      <c r="F718" s="0"/>
      <c r="G718" s="0"/>
      <c r="H718" s="0"/>
      <c r="I718" s="0"/>
      <c r="J718" s="0"/>
    </row>
    <row r="719" customFormat="false" ht="12.75" hidden="false" customHeight="false" outlineLevel="0" collapsed="false">
      <c r="D719" s="0"/>
      <c r="E719" s="0"/>
      <c r="F719" s="0"/>
      <c r="G719" s="0"/>
      <c r="H719" s="0"/>
      <c r="I719" s="0"/>
      <c r="J719" s="0"/>
    </row>
    <row r="720" customFormat="false" ht="12.75" hidden="false" customHeight="false" outlineLevel="0" collapsed="false">
      <c r="D720" s="0"/>
      <c r="E720" s="0"/>
      <c r="F720" s="0"/>
      <c r="G720" s="0"/>
      <c r="H720" s="0"/>
      <c r="I720" s="0"/>
      <c r="J720" s="0"/>
    </row>
    <row r="721" customFormat="false" ht="12.75" hidden="false" customHeight="false" outlineLevel="0" collapsed="false">
      <c r="D721" s="0"/>
      <c r="E721" s="0"/>
      <c r="F721" s="0"/>
      <c r="G721" s="0"/>
      <c r="H721" s="0"/>
      <c r="I721" s="0"/>
      <c r="J721" s="0"/>
    </row>
    <row r="722" customFormat="false" ht="12.75" hidden="false" customHeight="false" outlineLevel="0" collapsed="false">
      <c r="D722" s="0"/>
      <c r="E722" s="0"/>
      <c r="F722" s="0"/>
      <c r="G722" s="0"/>
      <c r="H722" s="0"/>
      <c r="I722" s="0"/>
      <c r="J722" s="0"/>
    </row>
    <row r="723" customFormat="false" ht="12.75" hidden="false" customHeight="false" outlineLevel="0" collapsed="false">
      <c r="D723" s="0"/>
      <c r="E723" s="0"/>
      <c r="F723" s="0"/>
      <c r="G723" s="0"/>
      <c r="H723" s="0"/>
      <c r="I723" s="0"/>
      <c r="J723" s="0"/>
    </row>
    <row r="724" customFormat="false" ht="12.75" hidden="false" customHeight="false" outlineLevel="0" collapsed="false">
      <c r="D724" s="0"/>
      <c r="E724" s="0"/>
      <c r="F724" s="0"/>
      <c r="G724" s="0"/>
      <c r="H724" s="0"/>
      <c r="I724" s="0"/>
      <c r="J724" s="0"/>
    </row>
    <row r="725" customFormat="false" ht="12.75" hidden="false" customHeight="false" outlineLevel="0" collapsed="false">
      <c r="D725" s="0"/>
      <c r="E725" s="0"/>
      <c r="F725" s="0"/>
      <c r="G725" s="0"/>
      <c r="H725" s="0"/>
      <c r="I725" s="0"/>
      <c r="J725" s="0"/>
    </row>
    <row r="726" customFormat="false" ht="12.75" hidden="false" customHeight="false" outlineLevel="0" collapsed="false">
      <c r="D726" s="0"/>
      <c r="E726" s="0"/>
      <c r="F726" s="0"/>
      <c r="G726" s="0"/>
      <c r="H726" s="0"/>
      <c r="I726" s="0"/>
      <c r="J726" s="0"/>
    </row>
    <row r="727" customFormat="false" ht="12.75" hidden="false" customHeight="false" outlineLevel="0" collapsed="false">
      <c r="D727" s="0"/>
      <c r="E727" s="0"/>
      <c r="F727" s="0"/>
      <c r="G727" s="0"/>
      <c r="H727" s="0"/>
      <c r="I727" s="0"/>
      <c r="J727" s="0"/>
    </row>
    <row r="728" customFormat="false" ht="12.75" hidden="false" customHeight="false" outlineLevel="0" collapsed="false">
      <c r="D728" s="0"/>
      <c r="E728" s="0"/>
      <c r="F728" s="0"/>
      <c r="G728" s="0"/>
      <c r="H728" s="0"/>
      <c r="I728" s="0"/>
      <c r="J728" s="0"/>
    </row>
    <row r="729" customFormat="false" ht="12.75" hidden="false" customHeight="false" outlineLevel="0" collapsed="false">
      <c r="D729" s="0"/>
      <c r="E729" s="0"/>
      <c r="F729" s="0"/>
      <c r="G729" s="0"/>
      <c r="H729" s="0"/>
      <c r="I729" s="0"/>
      <c r="J729" s="0"/>
    </row>
    <row r="730" customFormat="false" ht="12.75" hidden="false" customHeight="false" outlineLevel="0" collapsed="false">
      <c r="D730" s="0"/>
      <c r="E730" s="0"/>
      <c r="F730" s="0"/>
      <c r="G730" s="0"/>
      <c r="H730" s="0"/>
      <c r="I730" s="0"/>
      <c r="J730" s="0"/>
    </row>
    <row r="731" customFormat="false" ht="12.75" hidden="false" customHeight="false" outlineLevel="0" collapsed="false">
      <c r="D731" s="0"/>
      <c r="E731" s="0"/>
      <c r="F731" s="0"/>
      <c r="G731" s="0"/>
      <c r="H731" s="0"/>
      <c r="I731" s="0"/>
      <c r="J731" s="0"/>
    </row>
    <row r="732" customFormat="false" ht="12.75" hidden="false" customHeight="false" outlineLevel="0" collapsed="false">
      <c r="D732" s="0"/>
      <c r="E732" s="0"/>
      <c r="F732" s="0"/>
      <c r="G732" s="0"/>
      <c r="H732" s="0"/>
      <c r="I732" s="0"/>
      <c r="J732" s="0"/>
    </row>
    <row r="733" customFormat="false" ht="12.75" hidden="false" customHeight="false" outlineLevel="0" collapsed="false">
      <c r="D733" s="0"/>
      <c r="E733" s="0"/>
      <c r="F733" s="0"/>
      <c r="G733" s="0"/>
      <c r="H733" s="0"/>
      <c r="I733" s="0"/>
      <c r="J733" s="0"/>
    </row>
    <row r="734" customFormat="false" ht="12.75" hidden="false" customHeight="false" outlineLevel="0" collapsed="false">
      <c r="D734" s="0"/>
      <c r="E734" s="0"/>
      <c r="F734" s="0"/>
      <c r="G734" s="0"/>
      <c r="H734" s="0"/>
      <c r="I734" s="0"/>
      <c r="J734" s="0"/>
    </row>
    <row r="735" customFormat="false" ht="12.75" hidden="false" customHeight="false" outlineLevel="0" collapsed="false">
      <c r="D735" s="0"/>
      <c r="E735" s="0"/>
      <c r="F735" s="0"/>
      <c r="G735" s="0"/>
      <c r="H735" s="0"/>
      <c r="I735" s="0"/>
      <c r="J735" s="0"/>
    </row>
    <row r="736" customFormat="false" ht="12.75" hidden="false" customHeight="false" outlineLevel="0" collapsed="false">
      <c r="D736" s="0"/>
      <c r="E736" s="0"/>
      <c r="F736" s="0"/>
      <c r="G736" s="0"/>
      <c r="H736" s="0"/>
      <c r="I736" s="0"/>
      <c r="J736" s="0"/>
    </row>
    <row r="737" customFormat="false" ht="12.75" hidden="false" customHeight="false" outlineLevel="0" collapsed="false">
      <c r="D737" s="0"/>
      <c r="E737" s="0"/>
      <c r="F737" s="0"/>
      <c r="G737" s="0"/>
      <c r="H737" s="0"/>
      <c r="I737" s="0"/>
      <c r="J737" s="0"/>
    </row>
    <row r="738" customFormat="false" ht="12.75" hidden="false" customHeight="false" outlineLevel="0" collapsed="false">
      <c r="D738" s="0"/>
      <c r="E738" s="0"/>
      <c r="F738" s="0"/>
      <c r="G738" s="0"/>
      <c r="H738" s="0"/>
      <c r="I738" s="0"/>
      <c r="J738" s="0"/>
    </row>
    <row r="739" customFormat="false" ht="12.75" hidden="false" customHeight="false" outlineLevel="0" collapsed="false">
      <c r="D739" s="0"/>
      <c r="E739" s="0"/>
      <c r="F739" s="0"/>
      <c r="G739" s="0"/>
      <c r="H739" s="0"/>
      <c r="I739" s="0"/>
      <c r="J739" s="0"/>
    </row>
    <row r="740" customFormat="false" ht="12.75" hidden="false" customHeight="false" outlineLevel="0" collapsed="false">
      <c r="D740" s="0"/>
      <c r="E740" s="0"/>
      <c r="F740" s="0"/>
      <c r="G740" s="0"/>
      <c r="H740" s="0"/>
      <c r="I740" s="0"/>
      <c r="J740" s="0"/>
    </row>
    <row r="741" customFormat="false" ht="12.75" hidden="false" customHeight="false" outlineLevel="0" collapsed="false">
      <c r="D741" s="0"/>
      <c r="E741" s="0"/>
      <c r="F741" s="0"/>
      <c r="G741" s="0"/>
      <c r="H741" s="0"/>
      <c r="I741" s="0"/>
      <c r="J741" s="0"/>
    </row>
    <row r="742" customFormat="false" ht="12.75" hidden="false" customHeight="false" outlineLevel="0" collapsed="false">
      <c r="D742" s="0"/>
      <c r="E742" s="0"/>
      <c r="F742" s="0"/>
      <c r="G742" s="0"/>
      <c r="H742" s="0"/>
      <c r="I742" s="0"/>
      <c r="J742" s="0"/>
    </row>
    <row r="743" customFormat="false" ht="12.75" hidden="false" customHeight="false" outlineLevel="0" collapsed="false">
      <c r="D743" s="0"/>
      <c r="E743" s="0"/>
      <c r="F743" s="0"/>
      <c r="G743" s="0"/>
      <c r="H743" s="0"/>
      <c r="I743" s="0"/>
      <c r="J743" s="0"/>
    </row>
    <row r="744" customFormat="false" ht="12.75" hidden="false" customHeight="false" outlineLevel="0" collapsed="false">
      <c r="D744" s="0"/>
      <c r="E744" s="0"/>
      <c r="F744" s="0"/>
      <c r="G744" s="0"/>
      <c r="H744" s="0"/>
      <c r="I744" s="0"/>
      <c r="J744" s="0"/>
    </row>
    <row r="745" customFormat="false" ht="12.75" hidden="false" customHeight="false" outlineLevel="0" collapsed="false">
      <c r="D745" s="0"/>
      <c r="E745" s="0"/>
      <c r="F745" s="0"/>
      <c r="G745" s="0"/>
      <c r="H745" s="0"/>
      <c r="I745" s="0"/>
      <c r="J745" s="0"/>
    </row>
    <row r="746" customFormat="false" ht="12.75" hidden="false" customHeight="false" outlineLevel="0" collapsed="false">
      <c r="D746" s="0"/>
      <c r="E746" s="0"/>
      <c r="F746" s="0"/>
      <c r="G746" s="0"/>
      <c r="H746" s="0"/>
      <c r="I746" s="0"/>
      <c r="J746" s="0"/>
    </row>
    <row r="747" customFormat="false" ht="12.75" hidden="false" customHeight="false" outlineLevel="0" collapsed="false">
      <c r="D747" s="0"/>
      <c r="E747" s="0"/>
      <c r="F747" s="0"/>
      <c r="G747" s="0"/>
      <c r="H747" s="0"/>
      <c r="I747" s="0"/>
      <c r="J747" s="0"/>
    </row>
    <row r="748" customFormat="false" ht="12.75" hidden="false" customHeight="false" outlineLevel="0" collapsed="false">
      <c r="D748" s="0"/>
      <c r="E748" s="0"/>
      <c r="F748" s="0"/>
      <c r="G748" s="0"/>
      <c r="H748" s="0"/>
      <c r="I748" s="0"/>
      <c r="J748" s="0"/>
    </row>
    <row r="749" customFormat="false" ht="12.75" hidden="false" customHeight="false" outlineLevel="0" collapsed="false">
      <c r="D749" s="0"/>
      <c r="E749" s="0"/>
      <c r="F749" s="0"/>
      <c r="G749" s="0"/>
      <c r="H749" s="0"/>
      <c r="I749" s="0"/>
      <c r="J749" s="0"/>
    </row>
    <row r="750" customFormat="false" ht="12.75" hidden="false" customHeight="false" outlineLevel="0" collapsed="false">
      <c r="D750" s="0"/>
      <c r="E750" s="0"/>
      <c r="F750" s="0"/>
      <c r="G750" s="0"/>
      <c r="H750" s="0"/>
      <c r="I750" s="0"/>
      <c r="J750" s="0"/>
    </row>
    <row r="751" customFormat="false" ht="12.75" hidden="false" customHeight="false" outlineLevel="0" collapsed="false">
      <c r="D751" s="0"/>
      <c r="E751" s="0"/>
      <c r="F751" s="0"/>
      <c r="G751" s="0"/>
      <c r="H751" s="0"/>
      <c r="I751" s="0"/>
      <c r="J751" s="0"/>
    </row>
    <row r="752" customFormat="false" ht="12.75" hidden="false" customHeight="false" outlineLevel="0" collapsed="false">
      <c r="D752" s="0"/>
      <c r="E752" s="0"/>
      <c r="F752" s="0"/>
      <c r="G752" s="0"/>
      <c r="H752" s="0"/>
      <c r="I752" s="0"/>
      <c r="J752" s="0"/>
    </row>
    <row r="753" customFormat="false" ht="12.75" hidden="false" customHeight="false" outlineLevel="0" collapsed="false">
      <c r="D753" s="0"/>
      <c r="E753" s="0"/>
      <c r="F753" s="0"/>
      <c r="G753" s="0"/>
      <c r="H753" s="0"/>
      <c r="I753" s="0"/>
      <c r="J753" s="0"/>
    </row>
    <row r="754" customFormat="false" ht="12.75" hidden="false" customHeight="false" outlineLevel="0" collapsed="false">
      <c r="D754" s="0"/>
      <c r="E754" s="0"/>
      <c r="F754" s="0"/>
      <c r="G754" s="0"/>
      <c r="H754" s="0"/>
      <c r="I754" s="0"/>
      <c r="J754" s="0"/>
    </row>
    <row r="755" customFormat="false" ht="12.75" hidden="false" customHeight="false" outlineLevel="0" collapsed="false">
      <c r="D755" s="0"/>
      <c r="E755" s="0"/>
      <c r="F755" s="0"/>
      <c r="G755" s="0"/>
      <c r="H755" s="0"/>
      <c r="I755" s="0"/>
      <c r="J755" s="0"/>
    </row>
    <row r="756" customFormat="false" ht="12.75" hidden="false" customHeight="false" outlineLevel="0" collapsed="false">
      <c r="D756" s="0"/>
      <c r="E756" s="0"/>
      <c r="F756" s="0"/>
      <c r="G756" s="0"/>
      <c r="H756" s="0"/>
      <c r="I756" s="0"/>
      <c r="J756" s="0"/>
    </row>
    <row r="757" customFormat="false" ht="12.75" hidden="false" customHeight="false" outlineLevel="0" collapsed="false">
      <c r="D757" s="0"/>
      <c r="E757" s="0"/>
      <c r="F757" s="0"/>
      <c r="G757" s="0"/>
      <c r="H757" s="0"/>
      <c r="I757" s="0"/>
      <c r="J757" s="0"/>
    </row>
    <row r="758" customFormat="false" ht="12.75" hidden="false" customHeight="false" outlineLevel="0" collapsed="false">
      <c r="D758" s="0"/>
      <c r="E758" s="0"/>
      <c r="F758" s="0"/>
      <c r="G758" s="0"/>
      <c r="H758" s="0"/>
      <c r="I758" s="0"/>
      <c r="J758" s="0"/>
    </row>
    <row r="759" customFormat="false" ht="12.75" hidden="false" customHeight="false" outlineLevel="0" collapsed="false">
      <c r="D759" s="0"/>
      <c r="E759" s="0"/>
      <c r="F759" s="0"/>
      <c r="G759" s="0"/>
      <c r="H759" s="0"/>
      <c r="I759" s="0"/>
      <c r="J759" s="0"/>
    </row>
    <row r="760" customFormat="false" ht="12.75" hidden="false" customHeight="false" outlineLevel="0" collapsed="false">
      <c r="D760" s="0"/>
      <c r="E760" s="0"/>
      <c r="F760" s="0"/>
      <c r="G760" s="0"/>
      <c r="H760" s="0"/>
      <c r="I760" s="0"/>
      <c r="J760" s="0"/>
    </row>
    <row r="761" customFormat="false" ht="12.75" hidden="false" customHeight="false" outlineLevel="0" collapsed="false">
      <c r="D761" s="0"/>
      <c r="E761" s="0"/>
      <c r="F761" s="0"/>
      <c r="G761" s="0"/>
      <c r="H761" s="0"/>
      <c r="I761" s="0"/>
      <c r="J761" s="0"/>
    </row>
    <row r="762" customFormat="false" ht="12.75" hidden="false" customHeight="false" outlineLevel="0" collapsed="false">
      <c r="D762" s="0"/>
      <c r="E762" s="0"/>
      <c r="F762" s="0"/>
      <c r="G762" s="0"/>
      <c r="H762" s="0"/>
      <c r="I762" s="0"/>
      <c r="J762" s="0"/>
    </row>
    <row r="763" customFormat="false" ht="12.75" hidden="false" customHeight="false" outlineLevel="0" collapsed="false">
      <c r="D763" s="0"/>
      <c r="E763" s="0"/>
      <c r="F763" s="0"/>
      <c r="G763" s="0"/>
      <c r="H763" s="0"/>
      <c r="I763" s="0"/>
      <c r="J763" s="0"/>
    </row>
    <row r="764" customFormat="false" ht="12.75" hidden="false" customHeight="false" outlineLevel="0" collapsed="false">
      <c r="D764" s="0"/>
      <c r="E764" s="0"/>
      <c r="F764" s="0"/>
      <c r="G764" s="0"/>
      <c r="H764" s="0"/>
      <c r="I764" s="0"/>
      <c r="J764" s="0"/>
    </row>
    <row r="765" customFormat="false" ht="12.75" hidden="false" customHeight="false" outlineLevel="0" collapsed="false">
      <c r="D765" s="0"/>
      <c r="E765" s="0"/>
      <c r="F765" s="0"/>
      <c r="G765" s="0"/>
      <c r="H765" s="0"/>
      <c r="I765" s="0"/>
      <c r="J765" s="0"/>
    </row>
    <row r="766" customFormat="false" ht="12.75" hidden="false" customHeight="false" outlineLevel="0" collapsed="false">
      <c r="D766" s="0"/>
      <c r="E766" s="0"/>
      <c r="F766" s="0"/>
      <c r="G766" s="0"/>
      <c r="H766" s="0"/>
      <c r="I766" s="0"/>
      <c r="J766" s="0"/>
    </row>
    <row r="767" customFormat="false" ht="12.75" hidden="false" customHeight="false" outlineLevel="0" collapsed="false">
      <c r="D767" s="0"/>
      <c r="E767" s="0"/>
      <c r="F767" s="0"/>
      <c r="G767" s="0"/>
      <c r="H767" s="0"/>
      <c r="I767" s="0"/>
      <c r="J767" s="0"/>
    </row>
    <row r="768" customFormat="false" ht="12.75" hidden="false" customHeight="false" outlineLevel="0" collapsed="false">
      <c r="D768" s="0"/>
      <c r="E768" s="0"/>
      <c r="F768" s="0"/>
      <c r="G768" s="0"/>
      <c r="H768" s="0"/>
      <c r="I768" s="0"/>
      <c r="J768" s="0"/>
    </row>
    <row r="769" customFormat="false" ht="12.75" hidden="false" customHeight="false" outlineLevel="0" collapsed="false">
      <c r="D769" s="0"/>
      <c r="E769" s="0"/>
      <c r="F769" s="0"/>
      <c r="G769" s="0"/>
      <c r="H769" s="0"/>
      <c r="I769" s="0"/>
      <c r="J769" s="0"/>
    </row>
    <row r="770" customFormat="false" ht="12.75" hidden="false" customHeight="false" outlineLevel="0" collapsed="false">
      <c r="D770" s="0"/>
      <c r="E770" s="0"/>
      <c r="F770" s="0"/>
      <c r="G770" s="0"/>
      <c r="H770" s="0"/>
      <c r="I770" s="0"/>
      <c r="J770" s="0"/>
    </row>
    <row r="771" customFormat="false" ht="12.75" hidden="false" customHeight="false" outlineLevel="0" collapsed="false">
      <c r="D771" s="0"/>
      <c r="E771" s="0"/>
      <c r="F771" s="0"/>
      <c r="G771" s="0"/>
      <c r="H771" s="0"/>
      <c r="I771" s="0"/>
      <c r="J771" s="0"/>
    </row>
    <row r="772" customFormat="false" ht="12.75" hidden="false" customHeight="false" outlineLevel="0" collapsed="false">
      <c r="D772" s="0"/>
      <c r="E772" s="0"/>
      <c r="F772" s="0"/>
      <c r="G772" s="0"/>
      <c r="H772" s="0"/>
      <c r="I772" s="0"/>
      <c r="J772" s="0"/>
    </row>
    <row r="773" customFormat="false" ht="12.75" hidden="false" customHeight="false" outlineLevel="0" collapsed="false">
      <c r="D773" s="0"/>
      <c r="E773" s="0"/>
      <c r="F773" s="0"/>
      <c r="G773" s="0"/>
      <c r="H773" s="0"/>
      <c r="I773" s="0"/>
      <c r="J773" s="0"/>
    </row>
    <row r="774" customFormat="false" ht="12.75" hidden="false" customHeight="false" outlineLevel="0" collapsed="false">
      <c r="D774" s="0"/>
      <c r="E774" s="0"/>
      <c r="F774" s="0"/>
      <c r="G774" s="0"/>
      <c r="H774" s="0"/>
      <c r="I774" s="0"/>
      <c r="J774" s="0"/>
    </row>
    <row r="775" customFormat="false" ht="12.75" hidden="false" customHeight="false" outlineLevel="0" collapsed="false">
      <c r="D775" s="0"/>
      <c r="E775" s="0"/>
      <c r="F775" s="0"/>
      <c r="G775" s="0"/>
      <c r="H775" s="0"/>
      <c r="I775" s="0"/>
      <c r="J775" s="0"/>
    </row>
    <row r="776" customFormat="false" ht="12.75" hidden="false" customHeight="false" outlineLevel="0" collapsed="false">
      <c r="D776" s="0"/>
      <c r="E776" s="0"/>
      <c r="F776" s="0"/>
      <c r="G776" s="0"/>
      <c r="H776" s="0"/>
      <c r="I776" s="0"/>
      <c r="J776" s="0"/>
    </row>
    <row r="777" customFormat="false" ht="12.75" hidden="false" customHeight="false" outlineLevel="0" collapsed="false">
      <c r="D777" s="0"/>
      <c r="E777" s="0"/>
      <c r="F777" s="0"/>
      <c r="G777" s="0"/>
      <c r="H777" s="0"/>
      <c r="I777" s="0"/>
      <c r="J777" s="0"/>
    </row>
    <row r="778" customFormat="false" ht="12.75" hidden="false" customHeight="false" outlineLevel="0" collapsed="false">
      <c r="D778" s="0"/>
      <c r="E778" s="0"/>
      <c r="F778" s="0"/>
      <c r="G778" s="0"/>
      <c r="H778" s="0"/>
      <c r="I778" s="0"/>
      <c r="J778" s="0"/>
    </row>
    <row r="779" customFormat="false" ht="12.75" hidden="false" customHeight="false" outlineLevel="0" collapsed="false">
      <c r="D779" s="0"/>
      <c r="E779" s="0"/>
      <c r="F779" s="0"/>
      <c r="G779" s="0"/>
      <c r="H779" s="0"/>
      <c r="I779" s="0"/>
      <c r="J779" s="0"/>
    </row>
    <row r="780" customFormat="false" ht="12.75" hidden="false" customHeight="false" outlineLevel="0" collapsed="false">
      <c r="D780" s="0"/>
      <c r="E780" s="0"/>
      <c r="F780" s="0"/>
      <c r="G780" s="0"/>
      <c r="H780" s="0"/>
      <c r="I780" s="0"/>
      <c r="J780" s="0"/>
    </row>
    <row r="781" customFormat="false" ht="12.75" hidden="false" customHeight="false" outlineLevel="0" collapsed="false">
      <c r="D781" s="0"/>
      <c r="E781" s="0"/>
      <c r="F781" s="0"/>
      <c r="G781" s="0"/>
      <c r="H781" s="0"/>
      <c r="I781" s="0"/>
      <c r="J781" s="0"/>
    </row>
    <row r="782" customFormat="false" ht="12.75" hidden="false" customHeight="false" outlineLevel="0" collapsed="false">
      <c r="D782" s="0"/>
      <c r="E782" s="0"/>
      <c r="F782" s="0"/>
      <c r="G782" s="0"/>
      <c r="H782" s="0"/>
      <c r="I782" s="0"/>
      <c r="J782" s="0"/>
    </row>
    <row r="783" customFormat="false" ht="12.75" hidden="false" customHeight="false" outlineLevel="0" collapsed="false">
      <c r="D783" s="0"/>
      <c r="E783" s="0"/>
      <c r="F783" s="0"/>
      <c r="G783" s="0"/>
      <c r="H783" s="0"/>
      <c r="I783" s="0"/>
      <c r="J783" s="0"/>
    </row>
    <row r="784" customFormat="false" ht="12.75" hidden="false" customHeight="false" outlineLevel="0" collapsed="false">
      <c r="D784" s="0"/>
      <c r="E784" s="0"/>
      <c r="F784" s="0"/>
      <c r="G784" s="0"/>
      <c r="H784" s="0"/>
      <c r="I784" s="0"/>
      <c r="J784" s="0"/>
    </row>
    <row r="785" customFormat="false" ht="12.75" hidden="false" customHeight="false" outlineLevel="0" collapsed="false">
      <c r="D785" s="0"/>
      <c r="E785" s="0"/>
      <c r="F785" s="0"/>
      <c r="G785" s="0"/>
      <c r="H785" s="0"/>
      <c r="I785" s="0"/>
      <c r="J785" s="0"/>
    </row>
    <row r="786" customFormat="false" ht="12.75" hidden="false" customHeight="false" outlineLevel="0" collapsed="false">
      <c r="D786" s="0"/>
      <c r="E786" s="0"/>
      <c r="F786" s="0"/>
      <c r="G786" s="0"/>
      <c r="H786" s="0"/>
      <c r="I786" s="0"/>
      <c r="J786" s="0"/>
    </row>
    <row r="787" customFormat="false" ht="12.75" hidden="false" customHeight="false" outlineLevel="0" collapsed="false">
      <c r="D787" s="0"/>
      <c r="E787" s="0"/>
      <c r="F787" s="0"/>
      <c r="G787" s="0"/>
      <c r="H787" s="0"/>
      <c r="I787" s="0"/>
      <c r="J787" s="0"/>
    </row>
    <row r="788" customFormat="false" ht="12.75" hidden="false" customHeight="false" outlineLevel="0" collapsed="false">
      <c r="D788" s="0"/>
      <c r="E788" s="0"/>
      <c r="F788" s="0"/>
      <c r="G788" s="0"/>
      <c r="H788" s="0"/>
      <c r="I788" s="0"/>
      <c r="J788" s="0"/>
    </row>
    <row r="789" customFormat="false" ht="12.75" hidden="false" customHeight="false" outlineLevel="0" collapsed="false">
      <c r="D789" s="0"/>
      <c r="E789" s="0"/>
      <c r="F789" s="0"/>
      <c r="G789" s="0"/>
      <c r="H789" s="0"/>
      <c r="I789" s="0"/>
      <c r="J789" s="0"/>
    </row>
    <row r="790" customFormat="false" ht="12.75" hidden="false" customHeight="false" outlineLevel="0" collapsed="false">
      <c r="D790" s="0"/>
      <c r="E790" s="0"/>
      <c r="F790" s="0"/>
      <c r="G790" s="0"/>
      <c r="H790" s="0"/>
      <c r="I790" s="0"/>
      <c r="J790" s="0"/>
    </row>
    <row r="791" customFormat="false" ht="12.75" hidden="false" customHeight="false" outlineLevel="0" collapsed="false">
      <c r="D791" s="0"/>
      <c r="E791" s="0"/>
      <c r="F791" s="0"/>
      <c r="G791" s="0"/>
      <c r="H791" s="0"/>
      <c r="I791" s="0"/>
      <c r="J791" s="0"/>
    </row>
    <row r="792" customFormat="false" ht="12.75" hidden="false" customHeight="false" outlineLevel="0" collapsed="false">
      <c r="D792" s="0"/>
      <c r="E792" s="0"/>
      <c r="F792" s="0"/>
      <c r="G792" s="0"/>
      <c r="H792" s="0"/>
      <c r="I792" s="0"/>
      <c r="J792" s="0"/>
    </row>
    <row r="793" customFormat="false" ht="12.75" hidden="false" customHeight="false" outlineLevel="0" collapsed="false">
      <c r="D793" s="0"/>
      <c r="E793" s="0"/>
      <c r="F793" s="0"/>
      <c r="G793" s="0"/>
      <c r="H793" s="0"/>
      <c r="I793" s="0"/>
      <c r="J793" s="0"/>
    </row>
    <row r="794" customFormat="false" ht="12.75" hidden="false" customHeight="false" outlineLevel="0" collapsed="false">
      <c r="D794" s="0"/>
      <c r="E794" s="0"/>
      <c r="F794" s="0"/>
      <c r="G794" s="0"/>
      <c r="H794" s="0"/>
      <c r="I794" s="0"/>
      <c r="J794" s="0"/>
    </row>
    <row r="795" customFormat="false" ht="12.75" hidden="false" customHeight="false" outlineLevel="0" collapsed="false">
      <c r="D795" s="0"/>
      <c r="E795" s="0"/>
      <c r="F795" s="0"/>
      <c r="G795" s="0"/>
      <c r="H795" s="0"/>
      <c r="I795" s="0"/>
      <c r="J795" s="0"/>
    </row>
    <row r="796" customFormat="false" ht="12.75" hidden="false" customHeight="false" outlineLevel="0" collapsed="false">
      <c r="D796" s="0"/>
      <c r="E796" s="0"/>
      <c r="F796" s="0"/>
      <c r="G796" s="0"/>
      <c r="H796" s="0"/>
      <c r="I796" s="0"/>
      <c r="J796" s="0"/>
    </row>
    <row r="797" customFormat="false" ht="12.75" hidden="false" customHeight="false" outlineLevel="0" collapsed="false">
      <c r="D797" s="0"/>
      <c r="E797" s="0"/>
      <c r="F797" s="0"/>
      <c r="G797" s="0"/>
      <c r="H797" s="0"/>
      <c r="I797" s="0"/>
      <c r="J797" s="0"/>
    </row>
    <row r="798" customFormat="false" ht="12.75" hidden="false" customHeight="false" outlineLevel="0" collapsed="false">
      <c r="D798" s="0"/>
      <c r="E798" s="0"/>
      <c r="F798" s="0"/>
      <c r="G798" s="0"/>
      <c r="H798" s="0"/>
      <c r="I798" s="0"/>
      <c r="J798" s="0"/>
    </row>
    <row r="799" customFormat="false" ht="12.75" hidden="false" customHeight="false" outlineLevel="0" collapsed="false">
      <c r="D799" s="0"/>
      <c r="E799" s="0"/>
      <c r="F799" s="0"/>
      <c r="G799" s="0"/>
      <c r="H799" s="0"/>
      <c r="I799" s="0"/>
      <c r="J799" s="0"/>
    </row>
    <row r="800" customFormat="false" ht="12.75" hidden="false" customHeight="false" outlineLevel="0" collapsed="false">
      <c r="D800" s="0"/>
      <c r="E800" s="0"/>
      <c r="F800" s="0"/>
      <c r="G800" s="0"/>
      <c r="H800" s="0"/>
      <c r="I800" s="0"/>
      <c r="J800" s="0"/>
    </row>
    <row r="801" customFormat="false" ht="12.75" hidden="false" customHeight="false" outlineLevel="0" collapsed="false">
      <c r="D801" s="0"/>
      <c r="E801" s="0"/>
      <c r="F801" s="0"/>
      <c r="G801" s="0"/>
      <c r="H801" s="0"/>
      <c r="I801" s="0"/>
      <c r="J801" s="0"/>
    </row>
    <row r="802" customFormat="false" ht="12.75" hidden="false" customHeight="false" outlineLevel="0" collapsed="false">
      <c r="D802" s="0"/>
      <c r="E802" s="0"/>
      <c r="F802" s="0"/>
      <c r="G802" s="0"/>
      <c r="H802" s="0"/>
      <c r="I802" s="0"/>
      <c r="J802" s="0"/>
    </row>
    <row r="803" customFormat="false" ht="12.75" hidden="false" customHeight="false" outlineLevel="0" collapsed="false">
      <c r="D803" s="0"/>
      <c r="E803" s="0"/>
      <c r="F803" s="0"/>
      <c r="G803" s="0"/>
      <c r="H803" s="0"/>
      <c r="I803" s="0"/>
      <c r="J803" s="0"/>
    </row>
    <row r="804" customFormat="false" ht="12.75" hidden="false" customHeight="false" outlineLevel="0" collapsed="false">
      <c r="D804" s="0"/>
      <c r="E804" s="0"/>
      <c r="F804" s="0"/>
      <c r="G804" s="0"/>
      <c r="H804" s="0"/>
      <c r="I804" s="0"/>
      <c r="J804" s="0"/>
    </row>
    <row r="805" customFormat="false" ht="12.75" hidden="false" customHeight="false" outlineLevel="0" collapsed="false">
      <c r="D805" s="0"/>
      <c r="E805" s="0"/>
      <c r="F805" s="0"/>
      <c r="G805" s="0"/>
      <c r="H805" s="0"/>
      <c r="I805" s="0"/>
      <c r="J805" s="0"/>
    </row>
    <row r="806" customFormat="false" ht="12.75" hidden="false" customHeight="false" outlineLevel="0" collapsed="false">
      <c r="D806" s="0"/>
      <c r="E806" s="0"/>
      <c r="F806" s="0"/>
      <c r="G806" s="0"/>
      <c r="H806" s="0"/>
      <c r="I806" s="0"/>
      <c r="J806" s="0"/>
    </row>
    <row r="807" customFormat="false" ht="12.75" hidden="false" customHeight="false" outlineLevel="0" collapsed="false">
      <c r="D807" s="0"/>
      <c r="E807" s="0"/>
      <c r="F807" s="0"/>
      <c r="G807" s="0"/>
      <c r="H807" s="0"/>
      <c r="I807" s="0"/>
      <c r="J807" s="0"/>
    </row>
    <row r="808" customFormat="false" ht="12.75" hidden="false" customHeight="false" outlineLevel="0" collapsed="false">
      <c r="D808" s="0"/>
      <c r="E808" s="0"/>
      <c r="F808" s="0"/>
      <c r="G808" s="0"/>
      <c r="H808" s="0"/>
      <c r="I808" s="0"/>
      <c r="J808" s="0"/>
    </row>
    <row r="809" customFormat="false" ht="12.75" hidden="false" customHeight="false" outlineLevel="0" collapsed="false">
      <c r="D809" s="0"/>
      <c r="E809" s="0"/>
      <c r="F809" s="0"/>
      <c r="G809" s="0"/>
      <c r="H809" s="0"/>
      <c r="I809" s="0"/>
      <c r="J809" s="0"/>
    </row>
    <row r="810" customFormat="false" ht="12.75" hidden="false" customHeight="false" outlineLevel="0" collapsed="false">
      <c r="D810" s="0"/>
      <c r="E810" s="0"/>
      <c r="F810" s="0"/>
      <c r="G810" s="0"/>
      <c r="H810" s="0"/>
      <c r="I810" s="0"/>
      <c r="J810" s="0"/>
    </row>
    <row r="811" customFormat="false" ht="12.75" hidden="false" customHeight="false" outlineLevel="0" collapsed="false">
      <c r="D811" s="0"/>
      <c r="E811" s="0"/>
      <c r="F811" s="0"/>
      <c r="G811" s="0"/>
      <c r="H811" s="0"/>
      <c r="I811" s="0"/>
      <c r="J811" s="0"/>
    </row>
    <row r="812" customFormat="false" ht="12.75" hidden="false" customHeight="false" outlineLevel="0" collapsed="false">
      <c r="D812" s="0"/>
      <c r="E812" s="0"/>
      <c r="F812" s="0"/>
      <c r="G812" s="0"/>
      <c r="H812" s="0"/>
      <c r="I812" s="0"/>
      <c r="J812" s="0"/>
    </row>
    <row r="813" customFormat="false" ht="12.75" hidden="false" customHeight="false" outlineLevel="0" collapsed="false">
      <c r="D813" s="0"/>
      <c r="E813" s="0"/>
      <c r="F813" s="0"/>
      <c r="G813" s="0"/>
      <c r="H813" s="0"/>
      <c r="I813" s="0"/>
      <c r="J813" s="0"/>
    </row>
    <row r="814" customFormat="false" ht="12.75" hidden="false" customHeight="false" outlineLevel="0" collapsed="false">
      <c r="D814" s="0"/>
      <c r="E814" s="0"/>
      <c r="F814" s="0"/>
      <c r="G814" s="0"/>
      <c r="H814" s="0"/>
      <c r="I814" s="0"/>
      <c r="J814" s="0"/>
    </row>
    <row r="815" customFormat="false" ht="12.75" hidden="false" customHeight="false" outlineLevel="0" collapsed="false">
      <c r="D815" s="0"/>
      <c r="E815" s="0"/>
      <c r="F815" s="0"/>
      <c r="G815" s="0"/>
      <c r="H815" s="0"/>
      <c r="I815" s="0"/>
      <c r="J815" s="0"/>
    </row>
    <row r="816" customFormat="false" ht="12.75" hidden="false" customHeight="false" outlineLevel="0" collapsed="false">
      <c r="D816" s="0"/>
      <c r="E816" s="0"/>
      <c r="F816" s="0"/>
      <c r="G816" s="0"/>
      <c r="H816" s="0"/>
      <c r="I816" s="0"/>
      <c r="J816" s="0"/>
    </row>
    <row r="817" customFormat="false" ht="12.75" hidden="false" customHeight="false" outlineLevel="0" collapsed="false">
      <c r="D817" s="0"/>
      <c r="E817" s="0"/>
      <c r="F817" s="0"/>
      <c r="G817" s="0"/>
      <c r="H817" s="0"/>
      <c r="I817" s="0"/>
      <c r="J817" s="0"/>
    </row>
    <row r="818" customFormat="false" ht="12.75" hidden="false" customHeight="false" outlineLevel="0" collapsed="false">
      <c r="D818" s="0"/>
      <c r="E818" s="0"/>
      <c r="F818" s="0"/>
      <c r="G818" s="0"/>
      <c r="H818" s="0"/>
      <c r="I818" s="0"/>
      <c r="J818" s="0"/>
    </row>
    <row r="819" customFormat="false" ht="12.75" hidden="false" customHeight="false" outlineLevel="0" collapsed="false">
      <c r="D819" s="0"/>
      <c r="E819" s="0"/>
      <c r="F819" s="0"/>
      <c r="G819" s="0"/>
      <c r="H819" s="0"/>
      <c r="I819" s="0"/>
      <c r="J819" s="0"/>
    </row>
    <row r="820" customFormat="false" ht="12.75" hidden="false" customHeight="false" outlineLevel="0" collapsed="false">
      <c r="D820" s="0"/>
      <c r="E820" s="0"/>
      <c r="F820" s="0"/>
      <c r="G820" s="0"/>
      <c r="H820" s="0"/>
      <c r="I820" s="0"/>
      <c r="J820" s="0"/>
    </row>
    <row r="821" customFormat="false" ht="12.75" hidden="false" customHeight="false" outlineLevel="0" collapsed="false">
      <c r="D821" s="0"/>
      <c r="E821" s="0"/>
      <c r="F821" s="0"/>
      <c r="G821" s="0"/>
      <c r="H821" s="0"/>
      <c r="I821" s="0"/>
      <c r="J821" s="0"/>
    </row>
    <row r="822" customFormat="false" ht="12.75" hidden="false" customHeight="false" outlineLevel="0" collapsed="false">
      <c r="D822" s="0"/>
      <c r="E822" s="0"/>
      <c r="F822" s="0"/>
      <c r="G822" s="0"/>
      <c r="H822" s="0"/>
      <c r="I822" s="0"/>
      <c r="J822" s="0"/>
    </row>
    <row r="823" customFormat="false" ht="12.75" hidden="false" customHeight="false" outlineLevel="0" collapsed="false">
      <c r="D823" s="0"/>
      <c r="E823" s="0"/>
      <c r="F823" s="0"/>
      <c r="G823" s="0"/>
      <c r="H823" s="0"/>
      <c r="I823" s="0"/>
      <c r="J823" s="0"/>
    </row>
    <row r="824" customFormat="false" ht="12.75" hidden="false" customHeight="false" outlineLevel="0" collapsed="false">
      <c r="D824" s="0"/>
      <c r="E824" s="0"/>
      <c r="F824" s="0"/>
      <c r="G824" s="0"/>
      <c r="H824" s="0"/>
      <c r="I824" s="0"/>
      <c r="J824" s="0"/>
    </row>
    <row r="825" customFormat="false" ht="12.75" hidden="false" customHeight="false" outlineLevel="0" collapsed="false">
      <c r="D825" s="0"/>
      <c r="E825" s="0"/>
      <c r="F825" s="0"/>
      <c r="G825" s="0"/>
      <c r="H825" s="0"/>
      <c r="I825" s="0"/>
      <c r="J825" s="0"/>
    </row>
    <row r="826" customFormat="false" ht="12.75" hidden="false" customHeight="false" outlineLevel="0" collapsed="false">
      <c r="D826" s="0"/>
      <c r="E826" s="0"/>
      <c r="F826" s="0"/>
      <c r="G826" s="0"/>
      <c r="H826" s="0"/>
      <c r="I826" s="0"/>
      <c r="J826" s="0"/>
    </row>
    <row r="827" customFormat="false" ht="12.75" hidden="false" customHeight="false" outlineLevel="0" collapsed="false">
      <c r="D827" s="0"/>
      <c r="E827" s="0"/>
      <c r="F827" s="0"/>
      <c r="G827" s="0"/>
      <c r="H827" s="0"/>
      <c r="I827" s="0"/>
      <c r="J827" s="0"/>
    </row>
    <row r="828" customFormat="false" ht="12.75" hidden="false" customHeight="false" outlineLevel="0" collapsed="false">
      <c r="D828" s="0"/>
      <c r="E828" s="0"/>
      <c r="F828" s="0"/>
      <c r="G828" s="0"/>
      <c r="H828" s="0"/>
      <c r="I828" s="0"/>
      <c r="J828" s="0"/>
    </row>
    <row r="829" customFormat="false" ht="12.75" hidden="false" customHeight="false" outlineLevel="0" collapsed="false">
      <c r="D829" s="0"/>
      <c r="E829" s="0"/>
      <c r="F829" s="0"/>
      <c r="G829" s="0"/>
      <c r="H829" s="0"/>
      <c r="I829" s="0"/>
      <c r="J829" s="0"/>
    </row>
    <row r="830" customFormat="false" ht="12.75" hidden="false" customHeight="false" outlineLevel="0" collapsed="false">
      <c r="D830" s="0"/>
      <c r="E830" s="0"/>
      <c r="F830" s="0"/>
      <c r="G830" s="0"/>
      <c r="H830" s="0"/>
      <c r="I830" s="0"/>
      <c r="J830" s="0"/>
    </row>
    <row r="831" customFormat="false" ht="12.75" hidden="false" customHeight="false" outlineLevel="0" collapsed="false">
      <c r="D831" s="0"/>
      <c r="E831" s="0"/>
      <c r="F831" s="0"/>
      <c r="G831" s="0"/>
      <c r="H831" s="0"/>
      <c r="I831" s="0"/>
      <c r="J831" s="0"/>
    </row>
    <row r="832" customFormat="false" ht="12.75" hidden="false" customHeight="false" outlineLevel="0" collapsed="false">
      <c r="D832" s="0"/>
      <c r="E832" s="0"/>
      <c r="F832" s="0"/>
      <c r="G832" s="0"/>
      <c r="H832" s="0"/>
      <c r="I832" s="0"/>
      <c r="J832" s="0"/>
    </row>
    <row r="833" customFormat="false" ht="12.75" hidden="false" customHeight="false" outlineLevel="0" collapsed="false">
      <c r="D833" s="0"/>
      <c r="E833" s="0"/>
      <c r="F833" s="0"/>
      <c r="G833" s="0"/>
      <c r="H833" s="0"/>
      <c r="I833" s="0"/>
      <c r="J833" s="0"/>
    </row>
    <row r="834" customFormat="false" ht="12.75" hidden="false" customHeight="false" outlineLevel="0" collapsed="false">
      <c r="D834" s="0"/>
      <c r="E834" s="0"/>
      <c r="F834" s="0"/>
      <c r="G834" s="0"/>
      <c r="H834" s="0"/>
      <c r="I834" s="0"/>
      <c r="J834" s="0"/>
    </row>
    <row r="835" customFormat="false" ht="12.75" hidden="false" customHeight="false" outlineLevel="0" collapsed="false">
      <c r="D835" s="0"/>
      <c r="E835" s="0"/>
      <c r="F835" s="0"/>
      <c r="G835" s="0"/>
      <c r="H835" s="0"/>
      <c r="I835" s="0"/>
      <c r="J835" s="0"/>
    </row>
    <row r="836" customFormat="false" ht="12.75" hidden="false" customHeight="false" outlineLevel="0" collapsed="false">
      <c r="D836" s="0"/>
      <c r="E836" s="0"/>
      <c r="F836" s="0"/>
      <c r="G836" s="0"/>
      <c r="H836" s="0"/>
      <c r="I836" s="0"/>
      <c r="J836" s="0"/>
    </row>
    <row r="837" customFormat="false" ht="12.75" hidden="false" customHeight="false" outlineLevel="0" collapsed="false">
      <c r="D837" s="0"/>
      <c r="E837" s="0"/>
      <c r="F837" s="0"/>
      <c r="G837" s="0"/>
      <c r="H837" s="0"/>
      <c r="I837" s="0"/>
      <c r="J837" s="0"/>
    </row>
    <row r="838" customFormat="false" ht="12.75" hidden="false" customHeight="false" outlineLevel="0" collapsed="false">
      <c r="D838" s="0"/>
      <c r="E838" s="0"/>
      <c r="F838" s="0"/>
      <c r="G838" s="0"/>
      <c r="H838" s="0"/>
      <c r="I838" s="0"/>
      <c r="J838" s="0"/>
    </row>
    <row r="839" customFormat="false" ht="12.75" hidden="false" customHeight="false" outlineLevel="0" collapsed="false">
      <c r="D839" s="0"/>
      <c r="E839" s="0"/>
      <c r="F839" s="0"/>
      <c r="G839" s="0"/>
      <c r="H839" s="0"/>
      <c r="I839" s="0"/>
      <c r="J839" s="0"/>
    </row>
    <row r="840" customFormat="false" ht="12.75" hidden="false" customHeight="false" outlineLevel="0" collapsed="false">
      <c r="D840" s="0"/>
      <c r="E840" s="0"/>
      <c r="F840" s="0"/>
      <c r="G840" s="0"/>
      <c r="H840" s="0"/>
      <c r="I840" s="0"/>
      <c r="J840" s="0"/>
    </row>
    <row r="841" customFormat="false" ht="12.75" hidden="false" customHeight="false" outlineLevel="0" collapsed="false">
      <c r="D841" s="0"/>
      <c r="E841" s="0"/>
      <c r="F841" s="0"/>
      <c r="G841" s="0"/>
      <c r="H841" s="0"/>
      <c r="I841" s="0"/>
      <c r="J841" s="0"/>
    </row>
    <row r="842" customFormat="false" ht="12.75" hidden="false" customHeight="false" outlineLevel="0" collapsed="false">
      <c r="D842" s="0"/>
      <c r="E842" s="0"/>
      <c r="F842" s="0"/>
      <c r="G842" s="0"/>
      <c r="H842" s="0"/>
      <c r="I842" s="0"/>
      <c r="J842" s="0"/>
    </row>
    <row r="843" customFormat="false" ht="12.75" hidden="false" customHeight="false" outlineLevel="0" collapsed="false">
      <c r="D843" s="0"/>
      <c r="E843" s="0"/>
      <c r="F843" s="0"/>
      <c r="G843" s="0"/>
      <c r="H843" s="0"/>
      <c r="I843" s="0"/>
      <c r="J843" s="0"/>
    </row>
    <row r="844" customFormat="false" ht="12.75" hidden="false" customHeight="false" outlineLevel="0" collapsed="false">
      <c r="D844" s="0"/>
      <c r="E844" s="0"/>
      <c r="F844" s="0"/>
      <c r="G844" s="0"/>
      <c r="H844" s="0"/>
      <c r="I844" s="0"/>
      <c r="J844" s="0"/>
    </row>
    <row r="845" customFormat="false" ht="12.75" hidden="false" customHeight="false" outlineLevel="0" collapsed="false">
      <c r="D845" s="0"/>
      <c r="E845" s="0"/>
      <c r="F845" s="0"/>
      <c r="G845" s="0"/>
      <c r="H845" s="0"/>
      <c r="I845" s="0"/>
      <c r="J845" s="0"/>
    </row>
    <row r="846" customFormat="false" ht="12.75" hidden="false" customHeight="false" outlineLevel="0" collapsed="false">
      <c r="D846" s="0"/>
      <c r="E846" s="0"/>
      <c r="F846" s="0"/>
      <c r="G846" s="0"/>
      <c r="H846" s="0"/>
      <c r="I846" s="0"/>
      <c r="J846" s="0"/>
    </row>
    <row r="847" customFormat="false" ht="12.75" hidden="false" customHeight="false" outlineLevel="0" collapsed="false">
      <c r="D847" s="0"/>
      <c r="E847" s="0"/>
      <c r="F847" s="0"/>
      <c r="G847" s="0"/>
      <c r="H847" s="0"/>
      <c r="I847" s="0"/>
      <c r="J847" s="0"/>
    </row>
    <row r="848" customFormat="false" ht="12.75" hidden="false" customHeight="false" outlineLevel="0" collapsed="false">
      <c r="D848" s="0"/>
      <c r="E848" s="0"/>
      <c r="F848" s="0"/>
      <c r="G848" s="0"/>
      <c r="H848" s="0"/>
      <c r="I848" s="0"/>
      <c r="J848" s="0"/>
    </row>
    <row r="849" customFormat="false" ht="12.75" hidden="false" customHeight="false" outlineLevel="0" collapsed="false">
      <c r="D849" s="0"/>
      <c r="E849" s="0"/>
      <c r="F849" s="0"/>
      <c r="G849" s="0"/>
      <c r="H849" s="0"/>
      <c r="I849" s="0"/>
      <c r="J849" s="0"/>
    </row>
    <row r="850" customFormat="false" ht="12.75" hidden="false" customHeight="false" outlineLevel="0" collapsed="false">
      <c r="D850" s="0"/>
      <c r="E850" s="0"/>
      <c r="F850" s="0"/>
      <c r="G850" s="0"/>
      <c r="H850" s="0"/>
      <c r="I850" s="0"/>
      <c r="J850" s="0"/>
    </row>
    <row r="851" customFormat="false" ht="12.75" hidden="false" customHeight="false" outlineLevel="0" collapsed="false">
      <c r="D851" s="0"/>
      <c r="E851" s="0"/>
      <c r="F851" s="0"/>
      <c r="G851" s="0"/>
      <c r="H851" s="0"/>
      <c r="I851" s="0"/>
      <c r="J851" s="0"/>
    </row>
    <row r="852" customFormat="false" ht="12.75" hidden="false" customHeight="false" outlineLevel="0" collapsed="false">
      <c r="D852" s="0"/>
      <c r="E852" s="0"/>
      <c r="F852" s="0"/>
      <c r="G852" s="0"/>
      <c r="H852" s="0"/>
      <c r="I852" s="0"/>
      <c r="J852" s="0"/>
    </row>
    <row r="853" customFormat="false" ht="12.75" hidden="false" customHeight="false" outlineLevel="0" collapsed="false">
      <c r="D853" s="0"/>
      <c r="E853" s="0"/>
      <c r="F853" s="0"/>
      <c r="G853" s="0"/>
      <c r="H853" s="0"/>
      <c r="I853" s="0"/>
      <c r="J853" s="0"/>
    </row>
    <row r="854" customFormat="false" ht="12.75" hidden="false" customHeight="false" outlineLevel="0" collapsed="false">
      <c r="D854" s="0"/>
      <c r="E854" s="0"/>
      <c r="F854" s="0"/>
      <c r="G854" s="0"/>
      <c r="H854" s="0"/>
      <c r="I854" s="0"/>
      <c r="J854" s="0"/>
    </row>
    <row r="855" customFormat="false" ht="12.75" hidden="false" customHeight="false" outlineLevel="0" collapsed="false">
      <c r="D855" s="0"/>
      <c r="E855" s="0"/>
      <c r="F855" s="0"/>
      <c r="G855" s="0"/>
      <c r="H855" s="0"/>
      <c r="I855" s="0"/>
      <c r="J855" s="0"/>
    </row>
    <row r="856" customFormat="false" ht="12.75" hidden="false" customHeight="false" outlineLevel="0" collapsed="false">
      <c r="D856" s="0"/>
      <c r="E856" s="0"/>
      <c r="F856" s="0"/>
      <c r="G856" s="0"/>
      <c r="H856" s="0"/>
      <c r="I856" s="0"/>
      <c r="J856" s="0"/>
    </row>
    <row r="857" customFormat="false" ht="12.75" hidden="false" customHeight="false" outlineLevel="0" collapsed="false">
      <c r="D857" s="0"/>
      <c r="E857" s="0"/>
      <c r="F857" s="0"/>
      <c r="G857" s="0"/>
      <c r="H857" s="0"/>
      <c r="I857" s="0"/>
      <c r="J857" s="0"/>
    </row>
    <row r="858" customFormat="false" ht="12.75" hidden="false" customHeight="false" outlineLevel="0" collapsed="false">
      <c r="D858" s="0"/>
      <c r="E858" s="0"/>
      <c r="F858" s="0"/>
      <c r="G858" s="0"/>
      <c r="H858" s="0"/>
      <c r="I858" s="0"/>
      <c r="J858" s="0"/>
    </row>
    <row r="859" customFormat="false" ht="12.75" hidden="false" customHeight="false" outlineLevel="0" collapsed="false">
      <c r="D859" s="0"/>
      <c r="E859" s="0"/>
      <c r="F859" s="0"/>
      <c r="G859" s="0"/>
      <c r="H859" s="0"/>
      <c r="I859" s="0"/>
      <c r="J859" s="0"/>
    </row>
    <row r="860" customFormat="false" ht="12.75" hidden="false" customHeight="false" outlineLevel="0" collapsed="false">
      <c r="D860" s="0"/>
      <c r="E860" s="0"/>
      <c r="F860" s="0"/>
      <c r="G860" s="0"/>
      <c r="H860" s="0"/>
      <c r="I860" s="0"/>
      <c r="J860" s="0"/>
    </row>
    <row r="861" customFormat="false" ht="12.75" hidden="false" customHeight="false" outlineLevel="0" collapsed="false">
      <c r="D861" s="0"/>
      <c r="E861" s="0"/>
      <c r="F861" s="0"/>
      <c r="G861" s="0"/>
      <c r="H861" s="0"/>
      <c r="I861" s="0"/>
      <c r="J861" s="0"/>
    </row>
    <row r="862" customFormat="false" ht="12.75" hidden="false" customHeight="false" outlineLevel="0" collapsed="false">
      <c r="D862" s="0"/>
      <c r="E862" s="0"/>
      <c r="F862" s="0"/>
      <c r="G862" s="0"/>
      <c r="H862" s="0"/>
      <c r="I862" s="0"/>
      <c r="J862" s="0"/>
    </row>
    <row r="863" customFormat="false" ht="12.75" hidden="false" customHeight="false" outlineLevel="0" collapsed="false">
      <c r="D863" s="0"/>
      <c r="E863" s="0"/>
      <c r="F863" s="0"/>
      <c r="G863" s="0"/>
      <c r="H863" s="0"/>
      <c r="I863" s="0"/>
      <c r="J863" s="0"/>
    </row>
    <row r="864" customFormat="false" ht="12.75" hidden="false" customHeight="false" outlineLevel="0" collapsed="false">
      <c r="D864" s="0"/>
      <c r="E864" s="0"/>
      <c r="F864" s="0"/>
      <c r="G864" s="0"/>
      <c r="H864" s="0"/>
      <c r="I864" s="0"/>
      <c r="J864" s="0"/>
    </row>
    <row r="865" customFormat="false" ht="12.75" hidden="false" customHeight="false" outlineLevel="0" collapsed="false">
      <c r="D865" s="0"/>
      <c r="E865" s="0"/>
      <c r="F865" s="0"/>
      <c r="G865" s="0"/>
      <c r="H865" s="0"/>
      <c r="I865" s="0"/>
      <c r="J865" s="0"/>
    </row>
    <row r="866" customFormat="false" ht="12.75" hidden="false" customHeight="false" outlineLevel="0" collapsed="false">
      <c r="D866" s="0"/>
      <c r="E866" s="0"/>
      <c r="F866" s="0"/>
      <c r="G866" s="0"/>
      <c r="H866" s="0"/>
      <c r="I866" s="0"/>
      <c r="J866" s="0"/>
    </row>
    <row r="867" customFormat="false" ht="12.75" hidden="false" customHeight="false" outlineLevel="0" collapsed="false">
      <c r="D867" s="0"/>
      <c r="E867" s="0"/>
      <c r="F867" s="0"/>
      <c r="G867" s="0"/>
      <c r="H867" s="0"/>
      <c r="I867" s="0"/>
      <c r="J867" s="0"/>
    </row>
    <row r="868" customFormat="false" ht="12.75" hidden="false" customHeight="false" outlineLevel="0" collapsed="false">
      <c r="D868" s="0"/>
      <c r="E868" s="0"/>
      <c r="F868" s="0"/>
      <c r="G868" s="0"/>
      <c r="H868" s="0"/>
      <c r="I868" s="0"/>
      <c r="J868" s="0"/>
    </row>
    <row r="869" customFormat="false" ht="12.75" hidden="false" customHeight="false" outlineLevel="0" collapsed="false">
      <c r="D869" s="0"/>
      <c r="E869" s="0"/>
      <c r="F869" s="0"/>
      <c r="G869" s="0"/>
      <c r="H869" s="0"/>
      <c r="I869" s="0"/>
      <c r="J869" s="0"/>
    </row>
    <row r="870" customFormat="false" ht="12.75" hidden="false" customHeight="false" outlineLevel="0" collapsed="false">
      <c r="D870" s="0"/>
      <c r="E870" s="0"/>
      <c r="F870" s="0"/>
      <c r="G870" s="0"/>
      <c r="H870" s="0"/>
      <c r="I870" s="0"/>
      <c r="J870" s="0"/>
    </row>
    <row r="871" customFormat="false" ht="12.75" hidden="false" customHeight="false" outlineLevel="0" collapsed="false">
      <c r="D871" s="0"/>
      <c r="E871" s="0"/>
      <c r="F871" s="0"/>
      <c r="G871" s="0"/>
      <c r="H871" s="0"/>
      <c r="I871" s="0"/>
      <c r="J871" s="0"/>
    </row>
    <row r="872" customFormat="false" ht="12.75" hidden="false" customHeight="false" outlineLevel="0" collapsed="false">
      <c r="D872" s="0"/>
      <c r="E872" s="0"/>
      <c r="F872" s="0"/>
      <c r="G872" s="0"/>
      <c r="H872" s="0"/>
      <c r="I872" s="0"/>
      <c r="J872" s="0"/>
    </row>
    <row r="873" customFormat="false" ht="12.75" hidden="false" customHeight="false" outlineLevel="0" collapsed="false">
      <c r="D873" s="0"/>
      <c r="E873" s="0"/>
      <c r="F873" s="0"/>
      <c r="G873" s="0"/>
      <c r="H873" s="0"/>
      <c r="I873" s="0"/>
      <c r="J873" s="0"/>
    </row>
    <row r="874" customFormat="false" ht="12.75" hidden="false" customHeight="false" outlineLevel="0" collapsed="false">
      <c r="D874" s="0"/>
      <c r="E874" s="0"/>
      <c r="F874" s="0"/>
      <c r="G874" s="0"/>
      <c r="H874" s="0"/>
      <c r="I874" s="0"/>
      <c r="J874" s="0"/>
    </row>
    <row r="875" customFormat="false" ht="12.75" hidden="false" customHeight="false" outlineLevel="0" collapsed="false">
      <c r="D875" s="0"/>
      <c r="E875" s="0"/>
      <c r="F875" s="0"/>
      <c r="G875" s="0"/>
      <c r="H875" s="0"/>
      <c r="I875" s="0"/>
      <c r="J875" s="0"/>
    </row>
    <row r="876" customFormat="false" ht="12.75" hidden="false" customHeight="false" outlineLevel="0" collapsed="false">
      <c r="D876" s="0"/>
      <c r="E876" s="0"/>
      <c r="F876" s="0"/>
      <c r="G876" s="0"/>
      <c r="H876" s="0"/>
      <c r="I876" s="0"/>
      <c r="J876" s="0"/>
    </row>
    <row r="877" customFormat="false" ht="12.75" hidden="false" customHeight="false" outlineLevel="0" collapsed="false">
      <c r="D877" s="0"/>
      <c r="E877" s="0"/>
      <c r="F877" s="0"/>
      <c r="G877" s="0"/>
      <c r="H877" s="0"/>
      <c r="I877" s="0"/>
      <c r="J877" s="0"/>
    </row>
    <row r="878" customFormat="false" ht="12.75" hidden="false" customHeight="false" outlineLevel="0" collapsed="false">
      <c r="D878" s="0"/>
      <c r="E878" s="0"/>
      <c r="F878" s="0"/>
      <c r="G878" s="0"/>
      <c r="H878" s="0"/>
      <c r="I878" s="0"/>
      <c r="J878" s="0"/>
    </row>
    <row r="879" customFormat="false" ht="12.75" hidden="false" customHeight="false" outlineLevel="0" collapsed="false">
      <c r="D879" s="0"/>
      <c r="E879" s="0"/>
      <c r="F879" s="0"/>
      <c r="G879" s="0"/>
      <c r="H879" s="0"/>
      <c r="I879" s="0"/>
      <c r="J879" s="0"/>
    </row>
    <row r="880" customFormat="false" ht="12.75" hidden="false" customHeight="false" outlineLevel="0" collapsed="false">
      <c r="D880" s="0"/>
      <c r="E880" s="0"/>
      <c r="F880" s="0"/>
      <c r="G880" s="0"/>
      <c r="H880" s="0"/>
      <c r="I880" s="0"/>
      <c r="J880" s="0"/>
    </row>
    <row r="881" customFormat="false" ht="12.75" hidden="false" customHeight="false" outlineLevel="0" collapsed="false">
      <c r="D881" s="0"/>
      <c r="E881" s="0"/>
      <c r="F881" s="0"/>
      <c r="G881" s="0"/>
      <c r="H881" s="0"/>
      <c r="I881" s="0"/>
      <c r="J881" s="0"/>
    </row>
    <row r="882" customFormat="false" ht="12.75" hidden="false" customHeight="false" outlineLevel="0" collapsed="false">
      <c r="D882" s="0"/>
      <c r="E882" s="0"/>
      <c r="F882" s="0"/>
      <c r="G882" s="0"/>
      <c r="H882" s="0"/>
      <c r="I882" s="0"/>
      <c r="J882" s="0"/>
    </row>
    <row r="883" customFormat="false" ht="12.75" hidden="false" customHeight="false" outlineLevel="0" collapsed="false">
      <c r="D883" s="0"/>
      <c r="E883" s="0"/>
      <c r="F883" s="0"/>
      <c r="G883" s="0"/>
      <c r="H883" s="0"/>
      <c r="I883" s="0"/>
      <c r="J883" s="0"/>
    </row>
    <row r="884" customFormat="false" ht="12.75" hidden="false" customHeight="false" outlineLevel="0" collapsed="false">
      <c r="D884" s="0"/>
      <c r="E884" s="0"/>
      <c r="F884" s="0"/>
      <c r="G884" s="0"/>
      <c r="H884" s="0"/>
      <c r="I884" s="0"/>
      <c r="J884" s="0"/>
    </row>
    <row r="885" customFormat="false" ht="12.75" hidden="false" customHeight="false" outlineLevel="0" collapsed="false">
      <c r="D885" s="0"/>
      <c r="E885" s="0"/>
      <c r="F885" s="0"/>
      <c r="G885" s="0"/>
      <c r="H885" s="0"/>
      <c r="I885" s="0"/>
      <c r="J885" s="0"/>
    </row>
    <row r="886" customFormat="false" ht="12.75" hidden="false" customHeight="false" outlineLevel="0" collapsed="false">
      <c r="D886" s="0"/>
      <c r="E886" s="0"/>
      <c r="F886" s="0"/>
      <c r="G886" s="0"/>
      <c r="H886" s="0"/>
      <c r="I886" s="0"/>
      <c r="J886" s="0"/>
    </row>
    <row r="887" customFormat="false" ht="12.75" hidden="false" customHeight="false" outlineLevel="0" collapsed="false">
      <c r="D887" s="0"/>
      <c r="E887" s="0"/>
      <c r="F887" s="0"/>
      <c r="G887" s="0"/>
      <c r="H887" s="0"/>
      <c r="I887" s="0"/>
      <c r="J887" s="0"/>
    </row>
    <row r="888" customFormat="false" ht="12.75" hidden="false" customHeight="false" outlineLevel="0" collapsed="false">
      <c r="D888" s="0"/>
      <c r="E888" s="0"/>
      <c r="F888" s="0"/>
      <c r="G888" s="0"/>
      <c r="H888" s="0"/>
      <c r="I888" s="0"/>
      <c r="J888" s="0"/>
    </row>
    <row r="889" customFormat="false" ht="12.75" hidden="false" customHeight="false" outlineLevel="0" collapsed="false">
      <c r="D889" s="0"/>
      <c r="E889" s="0"/>
      <c r="F889" s="0"/>
      <c r="G889" s="0"/>
      <c r="H889" s="0"/>
      <c r="I889" s="0"/>
      <c r="J889" s="0"/>
    </row>
    <row r="890" customFormat="false" ht="12.75" hidden="false" customHeight="false" outlineLevel="0" collapsed="false">
      <c r="D890" s="0"/>
      <c r="E890" s="0"/>
      <c r="F890" s="0"/>
      <c r="G890" s="0"/>
      <c r="H890" s="0"/>
      <c r="I890" s="0"/>
      <c r="J890" s="0"/>
    </row>
    <row r="891" customFormat="false" ht="12.75" hidden="false" customHeight="false" outlineLevel="0" collapsed="false">
      <c r="D891" s="0"/>
      <c r="E891" s="0"/>
      <c r="F891" s="0"/>
      <c r="G891" s="0"/>
      <c r="H891" s="0"/>
      <c r="I891" s="0"/>
      <c r="J891" s="0"/>
    </row>
    <row r="892" customFormat="false" ht="12.75" hidden="false" customHeight="false" outlineLevel="0" collapsed="false">
      <c r="D892" s="0"/>
      <c r="E892" s="0"/>
      <c r="F892" s="0"/>
      <c r="G892" s="0"/>
      <c r="H892" s="0"/>
      <c r="I892" s="0"/>
      <c r="J892" s="0"/>
    </row>
    <row r="893" customFormat="false" ht="12.75" hidden="false" customHeight="false" outlineLevel="0" collapsed="false">
      <c r="D893" s="0"/>
      <c r="E893" s="0"/>
      <c r="F893" s="0"/>
      <c r="G893" s="0"/>
      <c r="H893" s="0"/>
      <c r="I893" s="0"/>
      <c r="J893" s="0"/>
    </row>
    <row r="894" customFormat="false" ht="12.75" hidden="false" customHeight="false" outlineLevel="0" collapsed="false">
      <c r="D894" s="0"/>
      <c r="E894" s="0"/>
      <c r="F894" s="0"/>
      <c r="G894" s="0"/>
      <c r="H894" s="0"/>
      <c r="I894" s="0"/>
      <c r="J894" s="0"/>
    </row>
    <row r="895" customFormat="false" ht="12.75" hidden="false" customHeight="false" outlineLevel="0" collapsed="false">
      <c r="D895" s="0"/>
      <c r="E895" s="0"/>
      <c r="F895" s="0"/>
      <c r="G895" s="0"/>
      <c r="H895" s="0"/>
      <c r="I895" s="0"/>
      <c r="J895" s="0"/>
    </row>
    <row r="896" customFormat="false" ht="12.75" hidden="false" customHeight="false" outlineLevel="0" collapsed="false">
      <c r="D896" s="0"/>
      <c r="E896" s="0"/>
      <c r="F896" s="0"/>
      <c r="G896" s="0"/>
      <c r="H896" s="0"/>
      <c r="I896" s="0"/>
      <c r="J896" s="0"/>
    </row>
    <row r="897" customFormat="false" ht="12.75" hidden="false" customHeight="false" outlineLevel="0" collapsed="false">
      <c r="D897" s="0"/>
      <c r="E897" s="0"/>
      <c r="F897" s="0"/>
      <c r="G897" s="0"/>
      <c r="H897" s="0"/>
      <c r="I897" s="0"/>
      <c r="J897" s="0"/>
    </row>
    <row r="898" customFormat="false" ht="12.75" hidden="false" customHeight="false" outlineLevel="0" collapsed="false">
      <c r="D898" s="0"/>
      <c r="E898" s="0"/>
      <c r="F898" s="0"/>
      <c r="G898" s="0"/>
      <c r="H898" s="0"/>
      <c r="I898" s="0"/>
      <c r="J898" s="0"/>
    </row>
    <row r="899" customFormat="false" ht="12.75" hidden="false" customHeight="false" outlineLevel="0" collapsed="false">
      <c r="D899" s="0"/>
      <c r="E899" s="0"/>
      <c r="F899" s="0"/>
      <c r="G899" s="0"/>
      <c r="H899" s="0"/>
      <c r="I899" s="0"/>
      <c r="J899" s="0"/>
    </row>
    <row r="900" customFormat="false" ht="12.75" hidden="false" customHeight="false" outlineLevel="0" collapsed="false">
      <c r="D900" s="0"/>
      <c r="E900" s="0"/>
      <c r="F900" s="0"/>
      <c r="G900" s="0"/>
      <c r="H900" s="0"/>
      <c r="I900" s="0"/>
      <c r="J900" s="0"/>
    </row>
    <row r="901" customFormat="false" ht="12.75" hidden="false" customHeight="false" outlineLevel="0" collapsed="false">
      <c r="D901" s="0"/>
      <c r="E901" s="0"/>
      <c r="F901" s="0"/>
      <c r="G901" s="0"/>
      <c r="H901" s="0"/>
      <c r="I901" s="0"/>
      <c r="J901" s="0"/>
    </row>
    <row r="902" customFormat="false" ht="12.75" hidden="false" customHeight="false" outlineLevel="0" collapsed="false">
      <c r="D902" s="0"/>
      <c r="E902" s="0"/>
      <c r="F902" s="0"/>
      <c r="G902" s="0"/>
      <c r="H902" s="0"/>
      <c r="I902" s="0"/>
      <c r="J902" s="0"/>
    </row>
    <row r="903" customFormat="false" ht="12.75" hidden="false" customHeight="false" outlineLevel="0" collapsed="false">
      <c r="D903" s="0"/>
      <c r="E903" s="0"/>
      <c r="F903" s="0"/>
      <c r="G903" s="0"/>
      <c r="H903" s="0"/>
      <c r="I903" s="0"/>
      <c r="J903" s="0"/>
    </row>
    <row r="904" customFormat="false" ht="12.75" hidden="false" customHeight="false" outlineLevel="0" collapsed="false">
      <c r="D904" s="0"/>
      <c r="E904" s="0"/>
      <c r="F904" s="0"/>
      <c r="G904" s="0"/>
      <c r="H904" s="0"/>
      <c r="I904" s="0"/>
      <c r="J904" s="0"/>
    </row>
    <row r="905" customFormat="false" ht="12.75" hidden="false" customHeight="false" outlineLevel="0" collapsed="false">
      <c r="D905" s="0"/>
      <c r="E905" s="0"/>
      <c r="F905" s="0"/>
      <c r="G905" s="0"/>
      <c r="H905" s="0"/>
      <c r="I905" s="0"/>
      <c r="J905" s="0"/>
    </row>
    <row r="906" customFormat="false" ht="12.75" hidden="false" customHeight="false" outlineLevel="0" collapsed="false">
      <c r="D906" s="0"/>
      <c r="E906" s="0"/>
      <c r="F906" s="0"/>
      <c r="G906" s="0"/>
      <c r="H906" s="0"/>
      <c r="I906" s="0"/>
      <c r="J906" s="0"/>
    </row>
    <row r="907" customFormat="false" ht="12.75" hidden="false" customHeight="false" outlineLevel="0" collapsed="false">
      <c r="D907" s="0"/>
      <c r="E907" s="0"/>
      <c r="F907" s="0"/>
      <c r="G907" s="0"/>
      <c r="H907" s="0"/>
      <c r="I907" s="0"/>
      <c r="J907" s="0"/>
    </row>
    <row r="908" customFormat="false" ht="12.75" hidden="false" customHeight="false" outlineLevel="0" collapsed="false">
      <c r="D908" s="0"/>
      <c r="E908" s="0"/>
      <c r="F908" s="0"/>
      <c r="G908" s="0"/>
      <c r="H908" s="0"/>
      <c r="I908" s="0"/>
      <c r="J908" s="0"/>
    </row>
    <row r="909" customFormat="false" ht="12.75" hidden="false" customHeight="false" outlineLevel="0" collapsed="false">
      <c r="D909" s="0"/>
      <c r="E909" s="0"/>
      <c r="F909" s="0"/>
      <c r="G909" s="0"/>
      <c r="H909" s="0"/>
      <c r="I909" s="0"/>
      <c r="J909" s="0"/>
    </row>
    <row r="910" customFormat="false" ht="12.75" hidden="false" customHeight="false" outlineLevel="0" collapsed="false">
      <c r="D910" s="0"/>
      <c r="E910" s="0"/>
      <c r="F910" s="0"/>
      <c r="G910" s="0"/>
      <c r="H910" s="0"/>
      <c r="I910" s="0"/>
      <c r="J910" s="0"/>
    </row>
    <row r="911" customFormat="false" ht="12.75" hidden="false" customHeight="false" outlineLevel="0" collapsed="false">
      <c r="D911" s="0"/>
      <c r="E911" s="0"/>
      <c r="F911" s="0"/>
      <c r="G911" s="0"/>
      <c r="H911" s="0"/>
      <c r="I911" s="0"/>
      <c r="J911" s="0"/>
    </row>
    <row r="912" customFormat="false" ht="12.75" hidden="false" customHeight="false" outlineLevel="0" collapsed="false">
      <c r="D912" s="0"/>
      <c r="E912" s="0"/>
      <c r="F912" s="0"/>
      <c r="G912" s="0"/>
      <c r="H912" s="0"/>
      <c r="I912" s="0"/>
      <c r="J912" s="0"/>
    </row>
    <row r="913" customFormat="false" ht="12.75" hidden="false" customHeight="false" outlineLevel="0" collapsed="false">
      <c r="D913" s="0"/>
      <c r="E913" s="0"/>
      <c r="F913" s="0"/>
      <c r="G913" s="0"/>
      <c r="H913" s="0"/>
      <c r="I913" s="0"/>
      <c r="J913" s="0"/>
    </row>
    <row r="914" customFormat="false" ht="12.75" hidden="false" customHeight="false" outlineLevel="0" collapsed="false">
      <c r="D914" s="0"/>
      <c r="E914" s="0"/>
      <c r="F914" s="0"/>
      <c r="G914" s="0"/>
      <c r="H914" s="0"/>
      <c r="I914" s="0"/>
      <c r="J914" s="0"/>
    </row>
    <row r="915" customFormat="false" ht="12.75" hidden="false" customHeight="false" outlineLevel="0" collapsed="false">
      <c r="D915" s="0"/>
      <c r="E915" s="0"/>
      <c r="F915" s="0"/>
      <c r="G915" s="0"/>
      <c r="H915" s="0"/>
      <c r="I915" s="0"/>
      <c r="J915" s="0"/>
    </row>
    <row r="916" customFormat="false" ht="12.75" hidden="false" customHeight="false" outlineLevel="0" collapsed="false">
      <c r="D916" s="0"/>
      <c r="E916" s="0"/>
      <c r="F916" s="0"/>
      <c r="G916" s="0"/>
      <c r="H916" s="0"/>
      <c r="I916" s="0"/>
      <c r="J916" s="0"/>
    </row>
    <row r="917" customFormat="false" ht="12.75" hidden="false" customHeight="false" outlineLevel="0" collapsed="false">
      <c r="D917" s="0"/>
      <c r="E917" s="0"/>
      <c r="F917" s="0"/>
      <c r="G917" s="0"/>
      <c r="H917" s="0"/>
      <c r="I917" s="0"/>
      <c r="J917" s="0"/>
    </row>
    <row r="918" customFormat="false" ht="12.75" hidden="false" customHeight="false" outlineLevel="0" collapsed="false">
      <c r="D918" s="0"/>
      <c r="E918" s="0"/>
      <c r="F918" s="0"/>
      <c r="G918" s="0"/>
      <c r="H918" s="0"/>
      <c r="I918" s="0"/>
      <c r="J918" s="0"/>
    </row>
    <row r="919" customFormat="false" ht="12.75" hidden="false" customHeight="false" outlineLevel="0" collapsed="false">
      <c r="D919" s="0"/>
      <c r="E919" s="0"/>
      <c r="F919" s="0"/>
      <c r="G919" s="0"/>
      <c r="H919" s="0"/>
      <c r="I919" s="0"/>
      <c r="J919" s="0"/>
    </row>
    <row r="920" customFormat="false" ht="12.75" hidden="false" customHeight="false" outlineLevel="0" collapsed="false">
      <c r="D920" s="0"/>
      <c r="E920" s="0"/>
      <c r="F920" s="0"/>
      <c r="G920" s="0"/>
      <c r="H920" s="0"/>
      <c r="I920" s="0"/>
      <c r="J920" s="0"/>
    </row>
    <row r="921" customFormat="false" ht="12.75" hidden="false" customHeight="false" outlineLevel="0" collapsed="false">
      <c r="D921" s="0"/>
      <c r="E921" s="0"/>
      <c r="F921" s="0"/>
      <c r="G921" s="0"/>
      <c r="H921" s="0"/>
      <c r="I921" s="0"/>
      <c r="J921" s="0"/>
    </row>
    <row r="922" customFormat="false" ht="12.75" hidden="false" customHeight="false" outlineLevel="0" collapsed="false">
      <c r="D922" s="0"/>
      <c r="E922" s="0"/>
      <c r="F922" s="0"/>
      <c r="G922" s="0"/>
      <c r="H922" s="0"/>
      <c r="I922" s="0"/>
      <c r="J922" s="0"/>
    </row>
    <row r="923" customFormat="false" ht="12.75" hidden="false" customHeight="false" outlineLevel="0" collapsed="false">
      <c r="D923" s="0"/>
      <c r="E923" s="0"/>
      <c r="F923" s="0"/>
      <c r="G923" s="0"/>
      <c r="H923" s="0"/>
      <c r="I923" s="0"/>
      <c r="J923" s="0"/>
    </row>
    <row r="924" customFormat="false" ht="12.75" hidden="false" customHeight="false" outlineLevel="0" collapsed="false">
      <c r="D924" s="0"/>
      <c r="E924" s="0"/>
      <c r="F924" s="0"/>
      <c r="G924" s="0"/>
      <c r="H924" s="0"/>
      <c r="I924" s="0"/>
      <c r="J924" s="0"/>
    </row>
    <row r="925" customFormat="false" ht="12.75" hidden="false" customHeight="false" outlineLevel="0" collapsed="false">
      <c r="D925" s="0"/>
      <c r="E925" s="0"/>
      <c r="F925" s="0"/>
      <c r="G925" s="0"/>
      <c r="H925" s="0"/>
      <c r="I925" s="0"/>
      <c r="J925" s="0"/>
    </row>
    <row r="926" customFormat="false" ht="12.75" hidden="false" customHeight="false" outlineLevel="0" collapsed="false">
      <c r="D926" s="0"/>
      <c r="E926" s="0"/>
      <c r="F926" s="0"/>
      <c r="G926" s="0"/>
      <c r="H926" s="0"/>
      <c r="I926" s="0"/>
      <c r="J926" s="0"/>
    </row>
    <row r="927" customFormat="false" ht="12.75" hidden="false" customHeight="false" outlineLevel="0" collapsed="false">
      <c r="D927" s="0"/>
      <c r="E927" s="0"/>
      <c r="F927" s="0"/>
      <c r="G927" s="0"/>
      <c r="H927" s="0"/>
      <c r="I927" s="0"/>
      <c r="J927" s="0"/>
    </row>
    <row r="928" customFormat="false" ht="12.75" hidden="false" customHeight="false" outlineLevel="0" collapsed="false">
      <c r="D928" s="0"/>
      <c r="E928" s="0"/>
      <c r="F928" s="0"/>
      <c r="G928" s="0"/>
      <c r="H928" s="0"/>
      <c r="I928" s="0"/>
      <c r="J928" s="0"/>
    </row>
    <row r="929" customFormat="false" ht="12.75" hidden="false" customHeight="false" outlineLevel="0" collapsed="false">
      <c r="D929" s="0"/>
      <c r="E929" s="0"/>
      <c r="F929" s="0"/>
      <c r="G929" s="0"/>
      <c r="H929" s="0"/>
      <c r="I929" s="0"/>
      <c r="J929" s="0"/>
    </row>
    <row r="930" customFormat="false" ht="12.75" hidden="false" customHeight="false" outlineLevel="0" collapsed="false">
      <c r="D930" s="0"/>
      <c r="E930" s="0"/>
      <c r="F930" s="0"/>
      <c r="G930" s="0"/>
      <c r="H930" s="0"/>
      <c r="I930" s="0"/>
      <c r="J930" s="0"/>
    </row>
    <row r="931" customFormat="false" ht="12.75" hidden="false" customHeight="false" outlineLevel="0" collapsed="false">
      <c r="D931" s="0"/>
      <c r="E931" s="0"/>
      <c r="F931" s="0"/>
      <c r="G931" s="0"/>
      <c r="H931" s="0"/>
      <c r="I931" s="0"/>
      <c r="J931" s="0"/>
    </row>
    <row r="932" customFormat="false" ht="12.75" hidden="false" customHeight="false" outlineLevel="0" collapsed="false">
      <c r="D932" s="0"/>
      <c r="E932" s="0"/>
      <c r="F932" s="0"/>
      <c r="G932" s="0"/>
      <c r="H932" s="0"/>
      <c r="I932" s="0"/>
      <c r="J932" s="0"/>
    </row>
    <row r="933" customFormat="false" ht="12.75" hidden="false" customHeight="false" outlineLevel="0" collapsed="false">
      <c r="D933" s="0"/>
      <c r="E933" s="0"/>
      <c r="F933" s="0"/>
      <c r="G933" s="0"/>
      <c r="H933" s="0"/>
      <c r="I933" s="0"/>
      <c r="J933" s="0"/>
    </row>
    <row r="934" customFormat="false" ht="12.75" hidden="false" customHeight="false" outlineLevel="0" collapsed="false">
      <c r="D934" s="0"/>
      <c r="E934" s="0"/>
      <c r="F934" s="0"/>
      <c r="G934" s="0"/>
      <c r="H934" s="0"/>
      <c r="I934" s="0"/>
      <c r="J934" s="0"/>
    </row>
    <row r="935" customFormat="false" ht="12.75" hidden="false" customHeight="false" outlineLevel="0" collapsed="false">
      <c r="D935" s="0"/>
      <c r="E935" s="0"/>
      <c r="F935" s="0"/>
      <c r="G935" s="0"/>
      <c r="H935" s="0"/>
      <c r="I935" s="0"/>
      <c r="J935" s="0"/>
    </row>
    <row r="936" customFormat="false" ht="12.75" hidden="false" customHeight="false" outlineLevel="0" collapsed="false">
      <c r="D936" s="0"/>
      <c r="E936" s="0"/>
      <c r="F936" s="0"/>
      <c r="G936" s="0"/>
      <c r="H936" s="0"/>
      <c r="I936" s="0"/>
      <c r="J936" s="0"/>
    </row>
    <row r="937" customFormat="false" ht="12.75" hidden="false" customHeight="false" outlineLevel="0" collapsed="false">
      <c r="D937" s="0"/>
      <c r="E937" s="0"/>
      <c r="F937" s="0"/>
      <c r="G937" s="0"/>
      <c r="H937" s="0"/>
      <c r="I937" s="0"/>
      <c r="J937" s="0"/>
    </row>
    <row r="938" customFormat="false" ht="12.75" hidden="false" customHeight="false" outlineLevel="0" collapsed="false">
      <c r="D938" s="0"/>
      <c r="E938" s="0"/>
      <c r="F938" s="0"/>
      <c r="G938" s="0"/>
      <c r="H938" s="0"/>
      <c r="I938" s="0"/>
      <c r="J938" s="0"/>
    </row>
    <row r="939" customFormat="false" ht="12.75" hidden="false" customHeight="false" outlineLevel="0" collapsed="false">
      <c r="D939" s="0"/>
      <c r="E939" s="0"/>
      <c r="F939" s="0"/>
      <c r="G939" s="0"/>
      <c r="H939" s="0"/>
      <c r="I939" s="0"/>
      <c r="J939" s="0"/>
    </row>
    <row r="940" customFormat="false" ht="12.75" hidden="false" customHeight="false" outlineLevel="0" collapsed="false">
      <c r="D940" s="0"/>
      <c r="E940" s="0"/>
      <c r="F940" s="0"/>
      <c r="G940" s="0"/>
      <c r="H940" s="0"/>
      <c r="I940" s="0"/>
      <c r="J940" s="0"/>
    </row>
    <row r="941" customFormat="false" ht="12.75" hidden="false" customHeight="false" outlineLevel="0" collapsed="false">
      <c r="D941" s="0"/>
      <c r="E941" s="0"/>
      <c r="F941" s="0"/>
      <c r="G941" s="0"/>
      <c r="H941" s="0"/>
      <c r="I941" s="0"/>
      <c r="J941" s="0"/>
    </row>
    <row r="942" customFormat="false" ht="12.75" hidden="false" customHeight="false" outlineLevel="0" collapsed="false">
      <c r="D942" s="0"/>
      <c r="E942" s="0"/>
      <c r="F942" s="0"/>
      <c r="G942" s="0"/>
      <c r="H942" s="0"/>
      <c r="I942" s="0"/>
      <c r="J942" s="0"/>
    </row>
    <row r="943" customFormat="false" ht="12.75" hidden="false" customHeight="false" outlineLevel="0" collapsed="false">
      <c r="D943" s="0"/>
      <c r="E943" s="0"/>
      <c r="F943" s="0"/>
      <c r="G943" s="0"/>
      <c r="H943" s="0"/>
      <c r="I943" s="0"/>
      <c r="J943" s="0"/>
    </row>
    <row r="944" customFormat="false" ht="12.75" hidden="false" customHeight="false" outlineLevel="0" collapsed="false">
      <c r="D944" s="0"/>
      <c r="E944" s="0"/>
      <c r="F944" s="0"/>
      <c r="G944" s="0"/>
      <c r="H944" s="0"/>
      <c r="I944" s="0"/>
      <c r="J944" s="0"/>
    </row>
    <row r="945" customFormat="false" ht="12.75" hidden="false" customHeight="false" outlineLevel="0" collapsed="false">
      <c r="D945" s="0"/>
      <c r="E945" s="0"/>
      <c r="F945" s="0"/>
      <c r="G945" s="0"/>
      <c r="H945" s="0"/>
      <c r="I945" s="0"/>
      <c r="J945" s="0"/>
    </row>
    <row r="946" customFormat="false" ht="12.75" hidden="false" customHeight="false" outlineLevel="0" collapsed="false">
      <c r="D946" s="0"/>
      <c r="E946" s="0"/>
      <c r="F946" s="0"/>
      <c r="G946" s="0"/>
      <c r="H946" s="0"/>
      <c r="I946" s="0"/>
      <c r="J946" s="0"/>
    </row>
    <row r="947" customFormat="false" ht="12.75" hidden="false" customHeight="false" outlineLevel="0" collapsed="false">
      <c r="D947" s="0"/>
      <c r="E947" s="0"/>
      <c r="F947" s="0"/>
      <c r="G947" s="0"/>
      <c r="H947" s="0"/>
      <c r="I947" s="0"/>
      <c r="J947" s="0"/>
    </row>
    <row r="948" customFormat="false" ht="12.75" hidden="false" customHeight="false" outlineLevel="0" collapsed="false">
      <c r="D948" s="0"/>
      <c r="E948" s="0"/>
      <c r="F948" s="0"/>
      <c r="G948" s="0"/>
      <c r="H948" s="0"/>
      <c r="I948" s="0"/>
      <c r="J948" s="0"/>
    </row>
    <row r="949" customFormat="false" ht="12.75" hidden="false" customHeight="false" outlineLevel="0" collapsed="false">
      <c r="D949" s="0"/>
      <c r="E949" s="0"/>
      <c r="F949" s="0"/>
      <c r="G949" s="0"/>
      <c r="H949" s="0"/>
      <c r="I949" s="0"/>
      <c r="J949" s="0"/>
    </row>
    <row r="950" customFormat="false" ht="12.75" hidden="false" customHeight="false" outlineLevel="0" collapsed="false">
      <c r="D950" s="0"/>
      <c r="E950" s="0"/>
      <c r="F950" s="0"/>
      <c r="G950" s="0"/>
      <c r="H950" s="0"/>
      <c r="I950" s="0"/>
      <c r="J950" s="0"/>
    </row>
    <row r="951" customFormat="false" ht="12.75" hidden="false" customHeight="false" outlineLevel="0" collapsed="false">
      <c r="D951" s="0"/>
      <c r="E951" s="0"/>
      <c r="F951" s="0"/>
      <c r="G951" s="0"/>
      <c r="H951" s="0"/>
      <c r="I951" s="0"/>
      <c r="J951" s="0"/>
    </row>
    <row r="952" customFormat="false" ht="12.75" hidden="false" customHeight="false" outlineLevel="0" collapsed="false">
      <c r="D952" s="0"/>
      <c r="E952" s="0"/>
      <c r="F952" s="0"/>
      <c r="G952" s="0"/>
      <c r="H952" s="0"/>
      <c r="I952" s="0"/>
      <c r="J952" s="0"/>
    </row>
    <row r="953" customFormat="false" ht="12.75" hidden="false" customHeight="false" outlineLevel="0" collapsed="false">
      <c r="D953" s="0"/>
      <c r="E953" s="0"/>
      <c r="F953" s="0"/>
      <c r="G953" s="0"/>
      <c r="H953" s="0"/>
      <c r="I953" s="0"/>
      <c r="J953" s="0"/>
    </row>
    <row r="954" customFormat="false" ht="12.75" hidden="false" customHeight="false" outlineLevel="0" collapsed="false">
      <c r="D954" s="0"/>
      <c r="E954" s="0"/>
      <c r="F954" s="0"/>
      <c r="G954" s="0"/>
      <c r="H954" s="0"/>
      <c r="I954" s="0"/>
      <c r="J954" s="0"/>
    </row>
    <row r="955" customFormat="false" ht="12.75" hidden="false" customHeight="false" outlineLevel="0" collapsed="false">
      <c r="D955" s="0"/>
      <c r="E955" s="0"/>
      <c r="F955" s="0"/>
      <c r="G955" s="0"/>
      <c r="H955" s="0"/>
      <c r="I955" s="0"/>
      <c r="J955" s="0"/>
    </row>
    <row r="956" customFormat="false" ht="12.75" hidden="false" customHeight="false" outlineLevel="0" collapsed="false">
      <c r="D956" s="0"/>
      <c r="E956" s="0"/>
      <c r="F956" s="0"/>
      <c r="G956" s="0"/>
      <c r="H956" s="0"/>
      <c r="I956" s="0"/>
      <c r="J956" s="0"/>
    </row>
    <row r="957" customFormat="false" ht="12.75" hidden="false" customHeight="false" outlineLevel="0" collapsed="false">
      <c r="D957" s="0"/>
      <c r="E957" s="0"/>
      <c r="F957" s="0"/>
      <c r="G957" s="0"/>
      <c r="H957" s="0"/>
      <c r="I957" s="0"/>
      <c r="J957" s="0"/>
    </row>
    <row r="958" customFormat="false" ht="12.75" hidden="false" customHeight="false" outlineLevel="0" collapsed="false">
      <c r="D958" s="0"/>
      <c r="E958" s="0"/>
      <c r="F958" s="0"/>
      <c r="G958" s="0"/>
      <c r="H958" s="0"/>
      <c r="I958" s="0"/>
      <c r="J958" s="0"/>
    </row>
    <row r="959" customFormat="false" ht="12.75" hidden="false" customHeight="false" outlineLevel="0" collapsed="false">
      <c r="D959" s="0"/>
      <c r="E959" s="0"/>
      <c r="F959" s="0"/>
      <c r="G959" s="0"/>
      <c r="H959" s="0"/>
      <c r="I959" s="0"/>
      <c r="J959" s="0"/>
    </row>
    <row r="960" customFormat="false" ht="12.75" hidden="false" customHeight="false" outlineLevel="0" collapsed="false">
      <c r="D960" s="0"/>
      <c r="E960" s="0"/>
      <c r="F960" s="0"/>
      <c r="G960" s="0"/>
      <c r="H960" s="0"/>
      <c r="I960" s="0"/>
      <c r="J960" s="0"/>
    </row>
    <row r="961" customFormat="false" ht="12.75" hidden="false" customHeight="false" outlineLevel="0" collapsed="false">
      <c r="D961" s="0"/>
      <c r="E961" s="0"/>
      <c r="F961" s="0"/>
      <c r="G961" s="0"/>
      <c r="H961" s="0"/>
      <c r="I961" s="0"/>
      <c r="J961" s="0"/>
    </row>
    <row r="962" customFormat="false" ht="12.75" hidden="false" customHeight="false" outlineLevel="0" collapsed="false">
      <c r="D962" s="0"/>
      <c r="E962" s="0"/>
      <c r="F962" s="0"/>
      <c r="G962" s="0"/>
      <c r="H962" s="0"/>
      <c r="I962" s="0"/>
      <c r="J962" s="0"/>
    </row>
    <row r="963" customFormat="false" ht="12.75" hidden="false" customHeight="false" outlineLevel="0" collapsed="false">
      <c r="D963" s="0"/>
      <c r="E963" s="0"/>
      <c r="F963" s="0"/>
      <c r="G963" s="0"/>
      <c r="H963" s="0"/>
      <c r="I963" s="0"/>
      <c r="J963" s="0"/>
    </row>
    <row r="964" customFormat="false" ht="12.75" hidden="false" customHeight="false" outlineLevel="0" collapsed="false">
      <c r="D964" s="0"/>
      <c r="E964" s="0"/>
      <c r="F964" s="0"/>
      <c r="G964" s="0"/>
      <c r="H964" s="0"/>
      <c r="I964" s="0"/>
      <c r="J964" s="0"/>
    </row>
    <row r="965" customFormat="false" ht="12.75" hidden="false" customHeight="false" outlineLevel="0" collapsed="false">
      <c r="D965" s="0"/>
      <c r="E965" s="0"/>
      <c r="F965" s="0"/>
      <c r="G965" s="0"/>
      <c r="H965" s="0"/>
      <c r="I965" s="0"/>
      <c r="J965" s="0"/>
    </row>
    <row r="966" customFormat="false" ht="12.75" hidden="false" customHeight="false" outlineLevel="0" collapsed="false">
      <c r="D966" s="0"/>
      <c r="E966" s="0"/>
      <c r="F966" s="0"/>
      <c r="G966" s="0"/>
      <c r="H966" s="0"/>
      <c r="I966" s="0"/>
      <c r="J966" s="0"/>
    </row>
    <row r="967" customFormat="false" ht="12.75" hidden="false" customHeight="false" outlineLevel="0" collapsed="false">
      <c r="D967" s="0"/>
      <c r="E967" s="0"/>
      <c r="F967" s="0"/>
      <c r="G967" s="0"/>
      <c r="H967" s="0"/>
      <c r="I967" s="0"/>
      <c r="J967" s="0"/>
    </row>
    <row r="968" customFormat="false" ht="12.75" hidden="false" customHeight="false" outlineLevel="0" collapsed="false">
      <c r="D968" s="0"/>
      <c r="E968" s="0"/>
      <c r="F968" s="0"/>
      <c r="G968" s="0"/>
      <c r="H968" s="0"/>
      <c r="I968" s="0"/>
      <c r="J968" s="0"/>
    </row>
    <row r="969" customFormat="false" ht="12.75" hidden="false" customHeight="false" outlineLevel="0" collapsed="false">
      <c r="D969" s="0"/>
      <c r="E969" s="0"/>
      <c r="F969" s="0"/>
      <c r="G969" s="0"/>
      <c r="H969" s="0"/>
      <c r="I969" s="0"/>
      <c r="J969" s="0"/>
    </row>
    <row r="970" customFormat="false" ht="12.75" hidden="false" customHeight="false" outlineLevel="0" collapsed="false">
      <c r="D970" s="0"/>
      <c r="E970" s="0"/>
      <c r="F970" s="0"/>
      <c r="G970" s="0"/>
      <c r="H970" s="0"/>
      <c r="I970" s="0"/>
      <c r="J970" s="0"/>
    </row>
    <row r="971" customFormat="false" ht="12.75" hidden="false" customHeight="false" outlineLevel="0" collapsed="false">
      <c r="D971" s="0"/>
      <c r="E971" s="0"/>
      <c r="F971" s="0"/>
      <c r="G971" s="0"/>
      <c r="H971" s="0"/>
      <c r="I971" s="0"/>
      <c r="J971" s="0"/>
    </row>
    <row r="972" customFormat="false" ht="12.75" hidden="false" customHeight="false" outlineLevel="0" collapsed="false">
      <c r="D972" s="0"/>
      <c r="E972" s="0"/>
      <c r="F972" s="0"/>
      <c r="G972" s="0"/>
      <c r="H972" s="0"/>
      <c r="I972" s="0"/>
      <c r="J972" s="0"/>
    </row>
    <row r="973" customFormat="false" ht="12.75" hidden="false" customHeight="false" outlineLevel="0" collapsed="false">
      <c r="D973" s="0"/>
      <c r="E973" s="0"/>
      <c r="F973" s="0"/>
      <c r="G973" s="0"/>
      <c r="H973" s="0"/>
      <c r="I973" s="0"/>
      <c r="J973" s="0"/>
    </row>
    <row r="974" customFormat="false" ht="12.75" hidden="false" customHeight="false" outlineLevel="0" collapsed="false">
      <c r="D974" s="0"/>
      <c r="E974" s="0"/>
      <c r="F974" s="0"/>
      <c r="G974" s="0"/>
      <c r="H974" s="0"/>
      <c r="I974" s="0"/>
      <c r="J974" s="0"/>
    </row>
    <row r="975" customFormat="false" ht="12.75" hidden="false" customHeight="false" outlineLevel="0" collapsed="false">
      <c r="D975" s="0"/>
      <c r="E975" s="0"/>
      <c r="F975" s="0"/>
      <c r="G975" s="0"/>
      <c r="H975" s="0"/>
      <c r="I975" s="0"/>
      <c r="J975" s="0"/>
    </row>
    <row r="976" customFormat="false" ht="12.75" hidden="false" customHeight="false" outlineLevel="0" collapsed="false">
      <c r="D976" s="0"/>
      <c r="E976" s="0"/>
      <c r="F976" s="0"/>
      <c r="G976" s="0"/>
      <c r="H976" s="0"/>
      <c r="I976" s="0"/>
      <c r="J976" s="0"/>
    </row>
    <row r="977" customFormat="false" ht="12.75" hidden="false" customHeight="false" outlineLevel="0" collapsed="false">
      <c r="D977" s="0"/>
      <c r="E977" s="0"/>
      <c r="F977" s="0"/>
      <c r="G977" s="0"/>
      <c r="H977" s="0"/>
      <c r="I977" s="0"/>
      <c r="J977" s="0"/>
    </row>
    <row r="978" customFormat="false" ht="12.75" hidden="false" customHeight="false" outlineLevel="0" collapsed="false">
      <c r="D978" s="0"/>
      <c r="E978" s="0"/>
      <c r="F978" s="0"/>
      <c r="G978" s="0"/>
      <c r="H978" s="0"/>
      <c r="I978" s="0"/>
      <c r="J978" s="0"/>
    </row>
    <row r="979" customFormat="false" ht="12.75" hidden="false" customHeight="false" outlineLevel="0" collapsed="false">
      <c r="D979" s="0"/>
      <c r="E979" s="0"/>
      <c r="F979" s="0"/>
      <c r="G979" s="0"/>
      <c r="H979" s="0"/>
      <c r="I979" s="0"/>
      <c r="J979" s="0"/>
    </row>
    <row r="980" customFormat="false" ht="12.75" hidden="false" customHeight="false" outlineLevel="0" collapsed="false">
      <c r="D980" s="0"/>
      <c r="E980" s="0"/>
      <c r="F980" s="0"/>
      <c r="G980" s="0"/>
      <c r="H980" s="0"/>
      <c r="I980" s="0"/>
      <c r="J980" s="0"/>
    </row>
    <row r="981" customFormat="false" ht="12.75" hidden="false" customHeight="false" outlineLevel="0" collapsed="false">
      <c r="D981" s="0"/>
      <c r="E981" s="0"/>
      <c r="F981" s="0"/>
      <c r="G981" s="0"/>
      <c r="H981" s="0"/>
      <c r="I981" s="0"/>
      <c r="J981" s="0"/>
    </row>
    <row r="982" customFormat="false" ht="12.75" hidden="false" customHeight="false" outlineLevel="0" collapsed="false">
      <c r="D982" s="0"/>
      <c r="E982" s="0"/>
      <c r="F982" s="0"/>
      <c r="G982" s="0"/>
      <c r="H982" s="0"/>
      <c r="I982" s="0"/>
      <c r="J982" s="0"/>
    </row>
    <row r="983" customFormat="false" ht="12.75" hidden="false" customHeight="false" outlineLevel="0" collapsed="false">
      <c r="D983" s="0"/>
      <c r="E983" s="0"/>
      <c r="F983" s="0"/>
      <c r="G983" s="0"/>
      <c r="H983" s="0"/>
      <c r="I983" s="0"/>
      <c r="J983" s="0"/>
    </row>
    <row r="984" customFormat="false" ht="12.75" hidden="false" customHeight="false" outlineLevel="0" collapsed="false">
      <c r="D984" s="0"/>
      <c r="E984" s="0"/>
      <c r="F984" s="0"/>
      <c r="G984" s="0"/>
      <c r="H984" s="0"/>
      <c r="I984" s="0"/>
      <c r="J984" s="0"/>
    </row>
    <row r="985" customFormat="false" ht="12.75" hidden="false" customHeight="false" outlineLevel="0" collapsed="false">
      <c r="D985" s="0"/>
      <c r="E985" s="0"/>
      <c r="F985" s="0"/>
      <c r="G985" s="0"/>
      <c r="H985" s="0"/>
      <c r="I985" s="0"/>
      <c r="J985" s="0"/>
    </row>
    <row r="986" customFormat="false" ht="12.75" hidden="false" customHeight="false" outlineLevel="0" collapsed="false">
      <c r="D986" s="0"/>
      <c r="E986" s="0"/>
      <c r="F986" s="0"/>
      <c r="G986" s="0"/>
      <c r="H986" s="0"/>
      <c r="I986" s="0"/>
      <c r="J986" s="0"/>
    </row>
    <row r="987" customFormat="false" ht="12.75" hidden="false" customHeight="false" outlineLevel="0" collapsed="false">
      <c r="D987" s="0"/>
      <c r="E987" s="0"/>
      <c r="F987" s="0"/>
      <c r="G987" s="0"/>
      <c r="H987" s="0"/>
      <c r="I987" s="0"/>
      <c r="J987" s="0"/>
    </row>
    <row r="988" customFormat="false" ht="12.75" hidden="false" customHeight="false" outlineLevel="0" collapsed="false">
      <c r="D988" s="0"/>
      <c r="E988" s="0"/>
      <c r="F988" s="0"/>
      <c r="G988" s="0"/>
      <c r="H988" s="0"/>
      <c r="I988" s="0"/>
      <c r="J988" s="0"/>
    </row>
    <row r="989" customFormat="false" ht="12.75" hidden="false" customHeight="false" outlineLevel="0" collapsed="false">
      <c r="D989" s="0"/>
      <c r="E989" s="0"/>
      <c r="F989" s="0"/>
      <c r="G989" s="0"/>
      <c r="H989" s="0"/>
      <c r="I989" s="0"/>
      <c r="J989" s="0"/>
    </row>
    <row r="990" customFormat="false" ht="12.75" hidden="false" customHeight="false" outlineLevel="0" collapsed="false">
      <c r="D990" s="0"/>
      <c r="E990" s="0"/>
      <c r="F990" s="0"/>
      <c r="G990" s="0"/>
      <c r="H990" s="0"/>
      <c r="I990" s="0"/>
      <c r="J990" s="0"/>
    </row>
    <row r="991" customFormat="false" ht="12.75" hidden="false" customHeight="false" outlineLevel="0" collapsed="false">
      <c r="D991" s="0"/>
      <c r="E991" s="0"/>
      <c r="F991" s="0"/>
      <c r="G991" s="0"/>
      <c r="H991" s="0"/>
      <c r="I991" s="0"/>
      <c r="J991" s="0"/>
    </row>
    <row r="992" customFormat="false" ht="12.75" hidden="false" customHeight="false" outlineLevel="0" collapsed="false">
      <c r="D992" s="0"/>
      <c r="E992" s="0"/>
      <c r="F992" s="0"/>
      <c r="G992" s="0"/>
      <c r="H992" s="0"/>
      <c r="I992" s="0"/>
      <c r="J992" s="0"/>
    </row>
    <row r="993" customFormat="false" ht="12.75" hidden="false" customHeight="false" outlineLevel="0" collapsed="false">
      <c r="D993" s="0"/>
      <c r="E993" s="0"/>
      <c r="F993" s="0"/>
      <c r="G993" s="0"/>
      <c r="H993" s="0"/>
      <c r="I993" s="0"/>
      <c r="J993" s="0"/>
    </row>
    <row r="994" customFormat="false" ht="12.75" hidden="false" customHeight="false" outlineLevel="0" collapsed="false">
      <c r="D994" s="0"/>
      <c r="E994" s="0"/>
      <c r="F994" s="0"/>
      <c r="G994" s="0"/>
      <c r="H994" s="0"/>
      <c r="I994" s="0"/>
      <c r="J994" s="0"/>
    </row>
    <row r="995" customFormat="false" ht="12.75" hidden="false" customHeight="false" outlineLevel="0" collapsed="false">
      <c r="D995" s="0"/>
      <c r="E995" s="0"/>
      <c r="F995" s="0"/>
      <c r="G995" s="0"/>
      <c r="H995" s="0"/>
      <c r="I995" s="0"/>
      <c r="J995" s="0"/>
    </row>
    <row r="996" customFormat="false" ht="12.75" hidden="false" customHeight="false" outlineLevel="0" collapsed="false">
      <c r="D996" s="0"/>
      <c r="E996" s="0"/>
      <c r="F996" s="0"/>
      <c r="G996" s="0"/>
      <c r="H996" s="0"/>
      <c r="I996" s="0"/>
      <c r="J996" s="0"/>
    </row>
    <row r="997" customFormat="false" ht="12.75" hidden="false" customHeight="false" outlineLevel="0" collapsed="false">
      <c r="D997" s="0"/>
      <c r="E997" s="0"/>
      <c r="F997" s="0"/>
      <c r="G997" s="0"/>
      <c r="H997" s="0"/>
      <c r="I997" s="0"/>
      <c r="J997" s="0"/>
    </row>
    <row r="998" customFormat="false" ht="12.75" hidden="false" customHeight="false" outlineLevel="0" collapsed="false">
      <c r="D998" s="0"/>
      <c r="E998" s="0"/>
      <c r="F998" s="0"/>
      <c r="G998" s="0"/>
      <c r="H998" s="0"/>
      <c r="I998" s="0"/>
      <c r="J998" s="0"/>
    </row>
    <row r="999" customFormat="false" ht="12.75" hidden="false" customHeight="false" outlineLevel="0" collapsed="false">
      <c r="D999" s="0"/>
      <c r="E999" s="0"/>
      <c r="F999" s="0"/>
      <c r="G999" s="0"/>
      <c r="H999" s="0"/>
      <c r="I999" s="0"/>
      <c r="J999" s="0"/>
    </row>
    <row r="1000" customFormat="false" ht="12.75" hidden="false" customHeight="false" outlineLevel="0" collapsed="false">
      <c r="D1000" s="0"/>
      <c r="E1000" s="0"/>
      <c r="F1000" s="0"/>
      <c r="G1000" s="0"/>
      <c r="H1000" s="0"/>
      <c r="I1000" s="0"/>
      <c r="J1000" s="0"/>
    </row>
    <row r="1001" customFormat="false" ht="12.75" hidden="false" customHeight="false" outlineLevel="0" collapsed="false">
      <c r="D1001" s="0"/>
      <c r="E1001" s="0"/>
      <c r="F1001" s="0"/>
      <c r="G1001" s="0"/>
      <c r="H1001" s="0"/>
      <c r="I1001" s="0"/>
      <c r="J1001" s="0"/>
    </row>
    <row r="1002" customFormat="false" ht="12.75" hidden="false" customHeight="false" outlineLevel="0" collapsed="false">
      <c r="D1002" s="0"/>
      <c r="E1002" s="0"/>
      <c r="F1002" s="0"/>
      <c r="G1002" s="0"/>
      <c r="H1002" s="0"/>
      <c r="I1002" s="0"/>
      <c r="J1002" s="0"/>
    </row>
    <row r="1003" customFormat="false" ht="12.75" hidden="false" customHeight="false" outlineLevel="0" collapsed="false">
      <c r="D1003" s="0"/>
      <c r="E1003" s="0"/>
      <c r="F1003" s="0"/>
      <c r="G1003" s="0"/>
      <c r="H1003" s="0"/>
      <c r="I1003" s="0"/>
      <c r="J1003" s="0"/>
    </row>
    <row r="1004" customFormat="false" ht="12.75" hidden="false" customHeight="false" outlineLevel="0" collapsed="false">
      <c r="D1004" s="0"/>
      <c r="E1004" s="0"/>
      <c r="F1004" s="0"/>
      <c r="G1004" s="0"/>
      <c r="H1004" s="0"/>
      <c r="I1004" s="0"/>
      <c r="J1004" s="0"/>
    </row>
    <row r="1005" customFormat="false" ht="12.75" hidden="false" customHeight="false" outlineLevel="0" collapsed="false">
      <c r="D1005" s="0"/>
      <c r="E1005" s="0"/>
      <c r="F1005" s="0"/>
      <c r="G1005" s="0"/>
      <c r="H1005" s="0"/>
      <c r="I1005" s="0"/>
      <c r="J1005" s="0"/>
    </row>
    <row r="1006" customFormat="false" ht="12.75" hidden="false" customHeight="false" outlineLevel="0" collapsed="false">
      <c r="D1006" s="0"/>
      <c r="E1006" s="0"/>
      <c r="F1006" s="0"/>
      <c r="G1006" s="0"/>
      <c r="H1006" s="0"/>
      <c r="I1006" s="0"/>
      <c r="J1006" s="0"/>
    </row>
    <row r="1007" customFormat="false" ht="12.75" hidden="false" customHeight="false" outlineLevel="0" collapsed="false">
      <c r="D1007" s="0"/>
      <c r="E1007" s="0"/>
      <c r="F1007" s="0"/>
      <c r="G1007" s="0"/>
      <c r="H1007" s="0"/>
      <c r="I1007" s="0"/>
      <c r="J1007" s="0"/>
    </row>
    <row r="1008" customFormat="false" ht="12.75" hidden="false" customHeight="false" outlineLevel="0" collapsed="false">
      <c r="D1008" s="0"/>
      <c r="E1008" s="0"/>
      <c r="F1008" s="0"/>
      <c r="G1008" s="0"/>
      <c r="H1008" s="0"/>
      <c r="I1008" s="0"/>
      <c r="J1008" s="0"/>
    </row>
    <row r="1009" customFormat="false" ht="12.75" hidden="false" customHeight="false" outlineLevel="0" collapsed="false">
      <c r="D1009" s="0"/>
      <c r="E1009" s="0"/>
      <c r="F1009" s="0"/>
      <c r="G1009" s="0"/>
      <c r="H1009" s="0"/>
      <c r="I1009" s="0"/>
      <c r="J1009" s="0"/>
    </row>
    <row r="1010" customFormat="false" ht="12.75" hidden="false" customHeight="false" outlineLevel="0" collapsed="false">
      <c r="D1010" s="0"/>
      <c r="E1010" s="0"/>
      <c r="F1010" s="0"/>
      <c r="G1010" s="0"/>
      <c r="H1010" s="0"/>
      <c r="I1010" s="0"/>
      <c r="J1010" s="0"/>
    </row>
    <row r="1011" customFormat="false" ht="12.75" hidden="false" customHeight="false" outlineLevel="0" collapsed="false">
      <c r="D1011" s="0"/>
      <c r="E1011" s="0"/>
      <c r="F1011" s="0"/>
      <c r="G1011" s="0"/>
      <c r="H1011" s="0"/>
      <c r="I1011" s="0"/>
      <c r="J1011" s="0"/>
    </row>
    <row r="1012" customFormat="false" ht="12.75" hidden="false" customHeight="false" outlineLevel="0" collapsed="false">
      <c r="D1012" s="0"/>
      <c r="E1012" s="0"/>
      <c r="F1012" s="0"/>
      <c r="G1012" s="0"/>
      <c r="H1012" s="0"/>
      <c r="I1012" s="0"/>
      <c r="J1012" s="0"/>
    </row>
    <row r="1013" customFormat="false" ht="12.75" hidden="false" customHeight="false" outlineLevel="0" collapsed="false">
      <c r="D1013" s="0"/>
      <c r="E1013" s="0"/>
      <c r="F1013" s="0"/>
      <c r="G1013" s="0"/>
      <c r="H1013" s="0"/>
      <c r="I1013" s="0"/>
      <c r="J1013" s="0"/>
    </row>
    <row r="1014" customFormat="false" ht="12.75" hidden="false" customHeight="false" outlineLevel="0" collapsed="false">
      <c r="D1014" s="0"/>
      <c r="E1014" s="0"/>
      <c r="F1014" s="0"/>
      <c r="G1014" s="0"/>
      <c r="H1014" s="0"/>
      <c r="I1014" s="0"/>
      <c r="J1014" s="0"/>
    </row>
    <row r="1015" customFormat="false" ht="12.75" hidden="false" customHeight="false" outlineLevel="0" collapsed="false">
      <c r="D1015" s="0"/>
      <c r="E1015" s="0"/>
      <c r="F1015" s="0"/>
      <c r="G1015" s="0"/>
      <c r="H1015" s="0"/>
      <c r="I1015" s="0"/>
      <c r="J1015" s="0"/>
    </row>
    <row r="1016" customFormat="false" ht="12.75" hidden="false" customHeight="false" outlineLevel="0" collapsed="false">
      <c r="D1016" s="0"/>
      <c r="E1016" s="0"/>
      <c r="F1016" s="0"/>
      <c r="G1016" s="0"/>
      <c r="H1016" s="0"/>
      <c r="I1016" s="0"/>
      <c r="J1016" s="0"/>
    </row>
    <row r="1017" customFormat="false" ht="12.75" hidden="false" customHeight="false" outlineLevel="0" collapsed="false">
      <c r="D1017" s="0"/>
      <c r="E1017" s="0"/>
      <c r="F1017" s="0"/>
      <c r="G1017" s="0"/>
      <c r="H1017" s="0"/>
      <c r="I1017" s="0"/>
      <c r="J1017" s="0"/>
    </row>
    <row r="1018" customFormat="false" ht="12.75" hidden="false" customHeight="false" outlineLevel="0" collapsed="false">
      <c r="D1018" s="0"/>
      <c r="E1018" s="0"/>
      <c r="F1018" s="0"/>
      <c r="G1018" s="0"/>
      <c r="H1018" s="0"/>
      <c r="I1018" s="0"/>
      <c r="J1018" s="0"/>
    </row>
    <row r="1019" customFormat="false" ht="12.75" hidden="false" customHeight="false" outlineLevel="0" collapsed="false">
      <c r="D1019" s="0"/>
      <c r="E1019" s="0"/>
      <c r="F1019" s="0"/>
      <c r="G1019" s="0"/>
      <c r="H1019" s="0"/>
      <c r="I1019" s="0"/>
      <c r="J1019" s="0"/>
    </row>
    <row r="1020" customFormat="false" ht="12.75" hidden="false" customHeight="false" outlineLevel="0" collapsed="false">
      <c r="D1020" s="0"/>
      <c r="E1020" s="0"/>
      <c r="F1020" s="0"/>
      <c r="G1020" s="0"/>
      <c r="H1020" s="0"/>
      <c r="I1020" s="0"/>
      <c r="J1020" s="0"/>
    </row>
    <row r="1021" customFormat="false" ht="12.75" hidden="false" customHeight="false" outlineLevel="0" collapsed="false">
      <c r="D1021" s="0"/>
      <c r="E1021" s="0"/>
      <c r="F1021" s="0"/>
      <c r="G1021" s="0"/>
      <c r="H1021" s="0"/>
      <c r="I1021" s="0"/>
      <c r="J1021" s="0"/>
    </row>
    <row r="1022" customFormat="false" ht="12.75" hidden="false" customHeight="false" outlineLevel="0" collapsed="false">
      <c r="D1022" s="0"/>
      <c r="E1022" s="0"/>
      <c r="F1022" s="0"/>
      <c r="G1022" s="0"/>
      <c r="H1022" s="0"/>
      <c r="I1022" s="0"/>
      <c r="J1022" s="0"/>
    </row>
    <row r="1023" customFormat="false" ht="12.75" hidden="false" customHeight="false" outlineLevel="0" collapsed="false">
      <c r="D1023" s="0"/>
      <c r="E1023" s="0"/>
      <c r="F1023" s="0"/>
      <c r="G1023" s="0"/>
      <c r="H1023" s="0"/>
      <c r="I1023" s="0"/>
      <c r="J1023" s="0"/>
    </row>
    <row r="1024" customFormat="false" ht="12.75" hidden="false" customHeight="false" outlineLevel="0" collapsed="false">
      <c r="D1024" s="0"/>
      <c r="E1024" s="0"/>
      <c r="F1024" s="0"/>
      <c r="G1024" s="0"/>
      <c r="H1024" s="0"/>
      <c r="I1024" s="0"/>
      <c r="J1024" s="0"/>
    </row>
    <row r="1025" customFormat="false" ht="12.75" hidden="false" customHeight="false" outlineLevel="0" collapsed="false">
      <c r="D1025" s="0"/>
      <c r="E1025" s="0"/>
      <c r="F1025" s="0"/>
      <c r="G1025" s="0"/>
      <c r="H1025" s="0"/>
      <c r="I1025" s="0"/>
      <c r="J1025" s="0"/>
    </row>
    <row r="1026" customFormat="false" ht="12.75" hidden="false" customHeight="false" outlineLevel="0" collapsed="false">
      <c r="D1026" s="0"/>
      <c r="E1026" s="0"/>
      <c r="F1026" s="0"/>
      <c r="G1026" s="0"/>
      <c r="H1026" s="0"/>
      <c r="I1026" s="0"/>
      <c r="J1026" s="0"/>
    </row>
    <row r="1027" customFormat="false" ht="12.75" hidden="false" customHeight="false" outlineLevel="0" collapsed="false">
      <c r="D1027" s="0"/>
      <c r="E1027" s="0"/>
      <c r="F1027" s="0"/>
      <c r="G1027" s="0"/>
      <c r="H1027" s="0"/>
      <c r="I1027" s="0"/>
      <c r="J1027" s="0"/>
    </row>
    <row r="1028" customFormat="false" ht="12.75" hidden="false" customHeight="false" outlineLevel="0" collapsed="false">
      <c r="D1028" s="0"/>
      <c r="E1028" s="0"/>
      <c r="F1028" s="0"/>
      <c r="G1028" s="0"/>
      <c r="H1028" s="0"/>
      <c r="I1028" s="0"/>
      <c r="J1028" s="0"/>
    </row>
    <row r="1029" customFormat="false" ht="12.75" hidden="false" customHeight="false" outlineLevel="0" collapsed="false">
      <c r="D1029" s="0"/>
      <c r="E1029" s="0"/>
      <c r="F1029" s="0"/>
      <c r="G1029" s="0"/>
      <c r="H1029" s="0"/>
      <c r="I1029" s="0"/>
      <c r="J1029" s="0"/>
    </row>
    <row r="1030" customFormat="false" ht="12.75" hidden="false" customHeight="false" outlineLevel="0" collapsed="false">
      <c r="D1030" s="0"/>
      <c r="E1030" s="0"/>
      <c r="F1030" s="0"/>
      <c r="G1030" s="0"/>
      <c r="H1030" s="0"/>
      <c r="I1030" s="0"/>
      <c r="J1030" s="0"/>
    </row>
    <row r="1031" customFormat="false" ht="12.75" hidden="false" customHeight="false" outlineLevel="0" collapsed="false">
      <c r="D1031" s="0"/>
      <c r="E1031" s="0"/>
      <c r="F1031" s="0"/>
      <c r="G1031" s="0"/>
      <c r="H1031" s="0"/>
      <c r="I1031" s="0"/>
      <c r="J1031" s="0"/>
    </row>
    <row r="1032" customFormat="false" ht="12.75" hidden="false" customHeight="false" outlineLevel="0" collapsed="false">
      <c r="D1032" s="0"/>
      <c r="E1032" s="0"/>
      <c r="F1032" s="0"/>
      <c r="G1032" s="0"/>
      <c r="H1032" s="0"/>
      <c r="I1032" s="0"/>
      <c r="J1032" s="0"/>
    </row>
    <row r="1033" customFormat="false" ht="12.75" hidden="false" customHeight="false" outlineLevel="0" collapsed="false">
      <c r="D1033" s="0"/>
      <c r="E1033" s="0"/>
      <c r="F1033" s="0"/>
      <c r="G1033" s="0"/>
      <c r="H1033" s="0"/>
      <c r="I1033" s="0"/>
      <c r="J1033" s="0"/>
    </row>
    <row r="1034" customFormat="false" ht="12.75" hidden="false" customHeight="false" outlineLevel="0" collapsed="false">
      <c r="D1034" s="0"/>
      <c r="E1034" s="0"/>
      <c r="F1034" s="0"/>
      <c r="G1034" s="0"/>
      <c r="H1034" s="0"/>
      <c r="I1034" s="0"/>
      <c r="J1034" s="0"/>
    </row>
    <row r="1035" customFormat="false" ht="12.75" hidden="false" customHeight="false" outlineLevel="0" collapsed="false">
      <c r="D1035" s="0"/>
      <c r="E1035" s="0"/>
      <c r="F1035" s="0"/>
      <c r="G1035" s="0"/>
      <c r="H1035" s="0"/>
      <c r="I1035" s="0"/>
      <c r="J1035" s="0"/>
    </row>
    <row r="1036" customFormat="false" ht="12.75" hidden="false" customHeight="false" outlineLevel="0" collapsed="false">
      <c r="D1036" s="0"/>
      <c r="E1036" s="0"/>
      <c r="F1036" s="0"/>
      <c r="G1036" s="0"/>
      <c r="H1036" s="0"/>
      <c r="I1036" s="0"/>
      <c r="J1036" s="0"/>
    </row>
    <row r="1037" customFormat="false" ht="12.75" hidden="false" customHeight="false" outlineLevel="0" collapsed="false">
      <c r="D1037" s="0"/>
      <c r="E1037" s="0"/>
      <c r="F1037" s="0"/>
      <c r="G1037" s="0"/>
      <c r="H1037" s="0"/>
      <c r="I1037" s="0"/>
      <c r="J1037" s="0"/>
    </row>
    <row r="1038" customFormat="false" ht="12.75" hidden="false" customHeight="false" outlineLevel="0" collapsed="false">
      <c r="D1038" s="0"/>
      <c r="E1038" s="0"/>
      <c r="F1038" s="0"/>
      <c r="G1038" s="0"/>
      <c r="H1038" s="0"/>
      <c r="I1038" s="0"/>
      <c r="J1038" s="0"/>
    </row>
    <row r="1039" customFormat="false" ht="12.75" hidden="false" customHeight="false" outlineLevel="0" collapsed="false">
      <c r="D1039" s="0"/>
      <c r="E1039" s="0"/>
      <c r="F1039" s="0"/>
      <c r="G1039" s="0"/>
      <c r="H1039" s="0"/>
      <c r="I1039" s="0"/>
      <c r="J1039" s="0"/>
    </row>
    <row r="1040" customFormat="false" ht="12.75" hidden="false" customHeight="false" outlineLevel="0" collapsed="false">
      <c r="D1040" s="0"/>
      <c r="E1040" s="0"/>
      <c r="F1040" s="0"/>
      <c r="G1040" s="0"/>
      <c r="H1040" s="0"/>
      <c r="I1040" s="0"/>
      <c r="J1040" s="0"/>
    </row>
    <row r="1041" customFormat="false" ht="12.75" hidden="false" customHeight="false" outlineLevel="0" collapsed="false">
      <c r="D1041" s="0"/>
      <c r="E1041" s="0"/>
      <c r="F1041" s="0"/>
      <c r="G1041" s="0"/>
      <c r="H1041" s="0"/>
      <c r="I1041" s="0"/>
      <c r="J1041" s="0"/>
    </row>
    <row r="1042" customFormat="false" ht="12.75" hidden="false" customHeight="false" outlineLevel="0" collapsed="false">
      <c r="D1042" s="0"/>
      <c r="E1042" s="0"/>
      <c r="F1042" s="0"/>
      <c r="G1042" s="0"/>
      <c r="H1042" s="0"/>
      <c r="I1042" s="0"/>
      <c r="J1042" s="0"/>
    </row>
    <row r="1043" customFormat="false" ht="12.75" hidden="false" customHeight="false" outlineLevel="0" collapsed="false">
      <c r="D1043" s="0"/>
      <c r="E1043" s="0"/>
      <c r="F1043" s="0"/>
      <c r="G1043" s="0"/>
      <c r="H1043" s="0"/>
      <c r="I1043" s="0"/>
      <c r="J1043" s="0"/>
    </row>
    <row r="1044" customFormat="false" ht="12.75" hidden="false" customHeight="false" outlineLevel="0" collapsed="false">
      <c r="D1044" s="0"/>
      <c r="E1044" s="0"/>
      <c r="F1044" s="0"/>
      <c r="G1044" s="0"/>
      <c r="H1044" s="0"/>
      <c r="I1044" s="0"/>
      <c r="J1044" s="0"/>
    </row>
    <row r="1045" customFormat="false" ht="12.75" hidden="false" customHeight="false" outlineLevel="0" collapsed="false">
      <c r="D1045" s="0"/>
      <c r="E1045" s="0"/>
      <c r="F1045" s="0"/>
      <c r="G1045" s="0"/>
      <c r="H1045" s="0"/>
      <c r="I1045" s="0"/>
      <c r="J1045" s="0"/>
    </row>
    <row r="1046" customFormat="false" ht="12.75" hidden="false" customHeight="false" outlineLevel="0" collapsed="false">
      <c r="D1046" s="0"/>
      <c r="E1046" s="0"/>
      <c r="F1046" s="0"/>
      <c r="G1046" s="0"/>
      <c r="H1046" s="0"/>
      <c r="I1046" s="0"/>
      <c r="J1046" s="0"/>
    </row>
    <row r="1047" customFormat="false" ht="12.75" hidden="false" customHeight="false" outlineLevel="0" collapsed="false">
      <c r="D1047" s="0"/>
      <c r="E1047" s="0"/>
      <c r="F1047" s="0"/>
      <c r="G1047" s="0"/>
      <c r="H1047" s="0"/>
      <c r="I1047" s="0"/>
      <c r="J1047" s="0"/>
    </row>
    <row r="1048" customFormat="false" ht="12.75" hidden="false" customHeight="false" outlineLevel="0" collapsed="false">
      <c r="D1048" s="0"/>
      <c r="E1048" s="0"/>
      <c r="F1048" s="0"/>
      <c r="G1048" s="0"/>
      <c r="H1048" s="0"/>
      <c r="I1048" s="0"/>
      <c r="J1048" s="0"/>
    </row>
    <row r="1049" customFormat="false" ht="12.75" hidden="false" customHeight="false" outlineLevel="0" collapsed="false">
      <c r="D1049" s="0"/>
      <c r="E1049" s="0"/>
      <c r="F1049" s="0"/>
      <c r="G1049" s="0"/>
      <c r="H1049" s="0"/>
      <c r="I1049" s="0"/>
      <c r="J1049" s="0"/>
    </row>
    <row r="1050" customFormat="false" ht="12.75" hidden="false" customHeight="false" outlineLevel="0" collapsed="false">
      <c r="D1050" s="0"/>
      <c r="E1050" s="0"/>
      <c r="F1050" s="0"/>
      <c r="G1050" s="0"/>
      <c r="H1050" s="0"/>
      <c r="I1050" s="0"/>
      <c r="J1050" s="0"/>
    </row>
    <row r="1051" customFormat="false" ht="12.75" hidden="false" customHeight="false" outlineLevel="0" collapsed="false">
      <c r="D1051" s="0"/>
      <c r="E1051" s="0"/>
      <c r="F1051" s="0"/>
      <c r="G1051" s="0"/>
      <c r="H1051" s="0"/>
      <c r="I1051" s="0"/>
      <c r="J1051" s="0"/>
    </row>
    <row r="1052" customFormat="false" ht="12.75" hidden="false" customHeight="false" outlineLevel="0" collapsed="false">
      <c r="D1052" s="0"/>
      <c r="E1052" s="0"/>
      <c r="F1052" s="0"/>
      <c r="G1052" s="0"/>
      <c r="H1052" s="0"/>
      <c r="I1052" s="0"/>
      <c r="J1052" s="0"/>
    </row>
    <row r="1053" customFormat="false" ht="12.75" hidden="false" customHeight="false" outlineLevel="0" collapsed="false">
      <c r="D1053" s="0"/>
      <c r="E1053" s="0"/>
      <c r="F1053" s="0"/>
      <c r="G1053" s="0"/>
      <c r="H1053" s="0"/>
      <c r="I1053" s="0"/>
      <c r="J1053" s="0"/>
    </row>
    <row r="1054" customFormat="false" ht="12.75" hidden="false" customHeight="false" outlineLevel="0" collapsed="false">
      <c r="D1054" s="0"/>
      <c r="E1054" s="0"/>
      <c r="F1054" s="0"/>
      <c r="G1054" s="0"/>
      <c r="H1054" s="0"/>
      <c r="I1054" s="0"/>
      <c r="J1054" s="0"/>
    </row>
    <row r="1055" customFormat="false" ht="12.75" hidden="false" customHeight="false" outlineLevel="0" collapsed="false">
      <c r="D1055" s="0"/>
      <c r="E1055" s="0"/>
      <c r="F1055" s="0"/>
      <c r="G1055" s="0"/>
      <c r="H1055" s="0"/>
      <c r="I1055" s="0"/>
      <c r="J1055" s="0"/>
    </row>
    <row r="1056" customFormat="false" ht="12.75" hidden="false" customHeight="false" outlineLevel="0" collapsed="false">
      <c r="D1056" s="0"/>
      <c r="E1056" s="0"/>
      <c r="F1056" s="0"/>
      <c r="G1056" s="0"/>
      <c r="H1056" s="0"/>
      <c r="I1056" s="0"/>
      <c r="J1056" s="0"/>
    </row>
    <row r="1057" customFormat="false" ht="12.75" hidden="false" customHeight="false" outlineLevel="0" collapsed="false">
      <c r="D1057" s="0"/>
      <c r="E1057" s="0"/>
      <c r="F1057" s="0"/>
      <c r="G1057" s="0"/>
      <c r="H1057" s="0"/>
      <c r="I1057" s="0"/>
      <c r="J1057" s="0"/>
    </row>
    <row r="1058" customFormat="false" ht="12.75" hidden="false" customHeight="false" outlineLevel="0" collapsed="false">
      <c r="D1058" s="0"/>
      <c r="E1058" s="0"/>
      <c r="F1058" s="0"/>
      <c r="G1058" s="0"/>
      <c r="H1058" s="0"/>
      <c r="I1058" s="0"/>
      <c r="J1058" s="0"/>
    </row>
    <row r="1059" customFormat="false" ht="12.75" hidden="false" customHeight="false" outlineLevel="0" collapsed="false">
      <c r="D1059" s="0"/>
      <c r="E1059" s="0"/>
      <c r="F1059" s="0"/>
      <c r="G1059" s="0"/>
      <c r="H1059" s="0"/>
      <c r="I1059" s="0"/>
      <c r="J1059" s="0"/>
    </row>
    <row r="1060" customFormat="false" ht="12.75" hidden="false" customHeight="false" outlineLevel="0" collapsed="false">
      <c r="D1060" s="0"/>
      <c r="E1060" s="0"/>
      <c r="F1060" s="0"/>
      <c r="G1060" s="0"/>
      <c r="H1060" s="0"/>
      <c r="I1060" s="0"/>
      <c r="J1060" s="0"/>
    </row>
    <row r="1061" customFormat="false" ht="12.75" hidden="false" customHeight="false" outlineLevel="0" collapsed="false">
      <c r="D1061" s="0"/>
      <c r="E1061" s="0"/>
      <c r="F1061" s="0"/>
      <c r="G1061" s="0"/>
      <c r="H1061" s="0"/>
      <c r="I1061" s="0"/>
      <c r="J1061" s="0"/>
    </row>
    <row r="1062" customFormat="false" ht="12.75" hidden="false" customHeight="false" outlineLevel="0" collapsed="false">
      <c r="D1062" s="0"/>
      <c r="E1062" s="0"/>
      <c r="F1062" s="0"/>
      <c r="G1062" s="0"/>
      <c r="H1062" s="0"/>
      <c r="I1062" s="0"/>
      <c r="J1062" s="0"/>
    </row>
    <row r="1063" customFormat="false" ht="12.75" hidden="false" customHeight="false" outlineLevel="0" collapsed="false">
      <c r="D1063" s="0"/>
      <c r="E1063" s="0"/>
      <c r="F1063" s="0"/>
      <c r="G1063" s="0"/>
      <c r="H1063" s="0"/>
      <c r="I1063" s="0"/>
      <c r="J1063" s="0"/>
    </row>
    <row r="1064" customFormat="false" ht="12.75" hidden="false" customHeight="false" outlineLevel="0" collapsed="false">
      <c r="D1064" s="0"/>
      <c r="E1064" s="0"/>
      <c r="F1064" s="0"/>
      <c r="G1064" s="0"/>
      <c r="H1064" s="0"/>
      <c r="I1064" s="0"/>
      <c r="J1064" s="0"/>
    </row>
    <row r="1065" customFormat="false" ht="12.75" hidden="false" customHeight="false" outlineLevel="0" collapsed="false">
      <c r="D1065" s="0"/>
      <c r="E1065" s="0"/>
      <c r="F1065" s="0"/>
      <c r="G1065" s="0"/>
      <c r="H1065" s="0"/>
      <c r="I1065" s="0"/>
      <c r="J1065" s="0"/>
    </row>
    <row r="1066" customFormat="false" ht="12.75" hidden="false" customHeight="false" outlineLevel="0" collapsed="false">
      <c r="D1066" s="0"/>
      <c r="E1066" s="0"/>
      <c r="F1066" s="0"/>
      <c r="G1066" s="0"/>
      <c r="H1066" s="0"/>
      <c r="I1066" s="0"/>
      <c r="J1066" s="0"/>
    </row>
    <row r="1067" customFormat="false" ht="12.75" hidden="false" customHeight="false" outlineLevel="0" collapsed="false">
      <c r="D1067" s="0"/>
      <c r="E1067" s="0"/>
      <c r="F1067" s="0"/>
      <c r="G1067" s="0"/>
      <c r="H1067" s="0"/>
      <c r="I1067" s="0"/>
      <c r="J1067" s="0"/>
    </row>
    <row r="1068" customFormat="false" ht="12.75" hidden="false" customHeight="false" outlineLevel="0" collapsed="false">
      <c r="D1068" s="0"/>
      <c r="E1068" s="0"/>
      <c r="F1068" s="0"/>
      <c r="G1068" s="0"/>
      <c r="H1068" s="0"/>
      <c r="I1068" s="0"/>
      <c r="J1068" s="0"/>
    </row>
    <row r="1069" customFormat="false" ht="12.75" hidden="false" customHeight="false" outlineLevel="0" collapsed="false">
      <c r="D1069" s="0"/>
      <c r="E1069" s="0"/>
      <c r="F1069" s="0"/>
      <c r="G1069" s="0"/>
      <c r="H1069" s="0"/>
      <c r="I1069" s="0"/>
      <c r="J1069" s="0"/>
    </row>
    <row r="1070" customFormat="false" ht="12.75" hidden="false" customHeight="false" outlineLevel="0" collapsed="false">
      <c r="D1070" s="0"/>
      <c r="E1070" s="0"/>
      <c r="F1070" s="0"/>
      <c r="G1070" s="0"/>
      <c r="H1070" s="0"/>
      <c r="I1070" s="0"/>
      <c r="J1070" s="0"/>
    </row>
    <row r="1071" customFormat="false" ht="12.75" hidden="false" customHeight="false" outlineLevel="0" collapsed="false">
      <c r="D1071" s="0"/>
      <c r="E1071" s="0"/>
      <c r="F1071" s="0"/>
      <c r="G1071" s="0"/>
      <c r="H1071" s="0"/>
      <c r="I1071" s="0"/>
      <c r="J1071" s="0"/>
    </row>
    <row r="1072" customFormat="false" ht="12.75" hidden="false" customHeight="false" outlineLevel="0" collapsed="false">
      <c r="D1072" s="0"/>
      <c r="E1072" s="0"/>
      <c r="F1072" s="0"/>
      <c r="G1072" s="0"/>
      <c r="H1072" s="0"/>
      <c r="I1072" s="0"/>
      <c r="J1072" s="0"/>
    </row>
    <row r="1073" customFormat="false" ht="12.75" hidden="false" customHeight="false" outlineLevel="0" collapsed="false">
      <c r="D1073" s="0"/>
      <c r="E1073" s="0"/>
      <c r="F1073" s="0"/>
      <c r="G1073" s="0"/>
      <c r="H1073" s="0"/>
      <c r="I1073" s="0"/>
      <c r="J1073" s="0"/>
    </row>
    <row r="1074" customFormat="false" ht="12.75" hidden="false" customHeight="false" outlineLevel="0" collapsed="false">
      <c r="D1074" s="0"/>
      <c r="E1074" s="0"/>
      <c r="F1074" s="0"/>
      <c r="G1074" s="0"/>
      <c r="H1074" s="0"/>
      <c r="I1074" s="0"/>
      <c r="J1074" s="0"/>
    </row>
    <row r="1075" customFormat="false" ht="12.75" hidden="false" customHeight="false" outlineLevel="0" collapsed="false">
      <c r="D1075" s="0"/>
      <c r="E1075" s="0"/>
      <c r="F1075" s="0"/>
      <c r="G1075" s="0"/>
      <c r="H1075" s="0"/>
      <c r="I1075" s="0"/>
      <c r="J1075" s="0"/>
    </row>
    <row r="1076" customFormat="false" ht="12.75" hidden="false" customHeight="false" outlineLevel="0" collapsed="false">
      <c r="D1076" s="0"/>
      <c r="E1076" s="0"/>
      <c r="F1076" s="0"/>
      <c r="G1076" s="0"/>
      <c r="H1076" s="0"/>
      <c r="I1076" s="0"/>
      <c r="J1076" s="0"/>
    </row>
    <row r="1077" customFormat="false" ht="12.75" hidden="false" customHeight="false" outlineLevel="0" collapsed="false">
      <c r="D1077" s="0"/>
      <c r="E1077" s="0"/>
      <c r="F1077" s="0"/>
      <c r="G1077" s="0"/>
      <c r="H1077" s="0"/>
      <c r="I1077" s="0"/>
      <c r="J1077" s="0"/>
    </row>
    <row r="1078" customFormat="false" ht="12.75" hidden="false" customHeight="false" outlineLevel="0" collapsed="false">
      <c r="D1078" s="0"/>
      <c r="E1078" s="0"/>
      <c r="F1078" s="0"/>
      <c r="G1078" s="0"/>
      <c r="H1078" s="0"/>
      <c r="I1078" s="0"/>
      <c r="J1078" s="0"/>
    </row>
    <row r="1079" customFormat="false" ht="12.75" hidden="false" customHeight="false" outlineLevel="0" collapsed="false">
      <c r="D1079" s="0"/>
      <c r="E1079" s="0"/>
      <c r="F1079" s="0"/>
      <c r="G1079" s="0"/>
      <c r="H1079" s="0"/>
      <c r="I1079" s="0"/>
      <c r="J1079" s="0"/>
    </row>
    <row r="1080" customFormat="false" ht="12.75" hidden="false" customHeight="false" outlineLevel="0" collapsed="false">
      <c r="D1080" s="0"/>
      <c r="E1080" s="0"/>
      <c r="F1080" s="0"/>
      <c r="G1080" s="0"/>
      <c r="H1080" s="0"/>
      <c r="I1080" s="0"/>
      <c r="J1080" s="0"/>
    </row>
    <row r="1081" customFormat="false" ht="12.75" hidden="false" customHeight="false" outlineLevel="0" collapsed="false">
      <c r="D1081" s="0"/>
      <c r="E1081" s="0"/>
      <c r="F1081" s="0"/>
      <c r="G1081" s="0"/>
      <c r="H1081" s="0"/>
      <c r="I1081" s="0"/>
      <c r="J1081" s="0"/>
    </row>
    <row r="1082" customFormat="false" ht="12.75" hidden="false" customHeight="false" outlineLevel="0" collapsed="false">
      <c r="D1082" s="0"/>
      <c r="E1082" s="0"/>
      <c r="F1082" s="0"/>
      <c r="G1082" s="0"/>
      <c r="H1082" s="0"/>
      <c r="I1082" s="0"/>
      <c r="J1082" s="0"/>
    </row>
    <row r="1083" customFormat="false" ht="12.75" hidden="false" customHeight="false" outlineLevel="0" collapsed="false">
      <c r="D1083" s="0"/>
      <c r="E1083" s="0"/>
      <c r="F1083" s="0"/>
      <c r="G1083" s="0"/>
      <c r="H1083" s="0"/>
      <c r="I1083" s="0"/>
      <c r="J1083" s="0"/>
    </row>
    <row r="1084" customFormat="false" ht="12.75" hidden="false" customHeight="false" outlineLevel="0" collapsed="false">
      <c r="D1084" s="0"/>
      <c r="E1084" s="0"/>
      <c r="F1084" s="0"/>
      <c r="G1084" s="0"/>
      <c r="H1084" s="0"/>
      <c r="I1084" s="0"/>
      <c r="J1084" s="0"/>
    </row>
    <row r="1085" customFormat="false" ht="12.75" hidden="false" customHeight="false" outlineLevel="0" collapsed="false">
      <c r="D1085" s="0"/>
      <c r="E1085" s="0"/>
      <c r="F1085" s="0"/>
      <c r="G1085" s="0"/>
      <c r="H1085" s="0"/>
      <c r="I1085" s="0"/>
      <c r="J1085" s="0"/>
    </row>
    <row r="1086" customFormat="false" ht="12.75" hidden="false" customHeight="false" outlineLevel="0" collapsed="false">
      <c r="D1086" s="0"/>
      <c r="E1086" s="0"/>
      <c r="F1086" s="0"/>
      <c r="G1086" s="0"/>
      <c r="H1086" s="0"/>
      <c r="I1086" s="0"/>
      <c r="J1086" s="0"/>
    </row>
    <row r="1087" customFormat="false" ht="12.75" hidden="false" customHeight="false" outlineLevel="0" collapsed="false">
      <c r="D1087" s="0"/>
      <c r="E1087" s="0"/>
      <c r="F1087" s="0"/>
      <c r="G1087" s="0"/>
      <c r="H1087" s="0"/>
      <c r="I1087" s="0"/>
      <c r="J1087" s="0"/>
    </row>
    <row r="1088" customFormat="false" ht="12.75" hidden="false" customHeight="false" outlineLevel="0" collapsed="false">
      <c r="D1088" s="0"/>
      <c r="E1088" s="0"/>
      <c r="F1088" s="0"/>
      <c r="G1088" s="0"/>
      <c r="H1088" s="0"/>
      <c r="I1088" s="0"/>
      <c r="J1088" s="0"/>
    </row>
    <row r="1089" customFormat="false" ht="12.75" hidden="false" customHeight="false" outlineLevel="0" collapsed="false">
      <c r="D1089" s="0"/>
      <c r="E1089" s="0"/>
      <c r="F1089" s="0"/>
      <c r="G1089" s="0"/>
      <c r="H1089" s="0"/>
      <c r="I1089" s="0"/>
      <c r="J1089" s="0"/>
    </row>
    <row r="1090" customFormat="false" ht="12.75" hidden="false" customHeight="false" outlineLevel="0" collapsed="false">
      <c r="D1090" s="0"/>
      <c r="E1090" s="0"/>
      <c r="F1090" s="0"/>
      <c r="G1090" s="0"/>
      <c r="H1090" s="0"/>
      <c r="I1090" s="0"/>
      <c r="J1090" s="0"/>
    </row>
    <row r="1091" customFormat="false" ht="12.75" hidden="false" customHeight="false" outlineLevel="0" collapsed="false">
      <c r="D1091" s="0"/>
      <c r="E1091" s="0"/>
      <c r="F1091" s="0"/>
      <c r="G1091" s="0"/>
      <c r="H1091" s="0"/>
      <c r="I1091" s="0"/>
      <c r="J1091" s="0"/>
    </row>
    <row r="1092" customFormat="false" ht="12.75" hidden="false" customHeight="false" outlineLevel="0" collapsed="false">
      <c r="D1092" s="0"/>
      <c r="E1092" s="0"/>
      <c r="F1092" s="0"/>
      <c r="G1092" s="0"/>
      <c r="H1092" s="0"/>
      <c r="I1092" s="0"/>
      <c r="J1092" s="0"/>
    </row>
    <row r="1093" customFormat="false" ht="12.75" hidden="false" customHeight="false" outlineLevel="0" collapsed="false">
      <c r="D1093" s="0"/>
      <c r="E1093" s="0"/>
      <c r="F1093" s="0"/>
      <c r="G1093" s="0"/>
      <c r="H1093" s="0"/>
      <c r="I1093" s="0"/>
      <c r="J1093" s="0"/>
    </row>
    <row r="1094" customFormat="false" ht="12.75" hidden="false" customHeight="false" outlineLevel="0" collapsed="false">
      <c r="D1094" s="0"/>
      <c r="E1094" s="0"/>
      <c r="F1094" s="0"/>
      <c r="G1094" s="0"/>
      <c r="H1094" s="0"/>
      <c r="I1094" s="0"/>
      <c r="J1094" s="0"/>
    </row>
    <row r="1095" customFormat="false" ht="12.75" hidden="false" customHeight="false" outlineLevel="0" collapsed="false">
      <c r="D1095" s="0"/>
      <c r="E1095" s="0"/>
      <c r="F1095" s="0"/>
      <c r="G1095" s="0"/>
      <c r="H1095" s="0"/>
      <c r="I1095" s="0"/>
      <c r="J1095" s="0"/>
    </row>
    <row r="1096" customFormat="false" ht="12.75" hidden="false" customHeight="false" outlineLevel="0" collapsed="false">
      <c r="D1096" s="0"/>
      <c r="E1096" s="0"/>
      <c r="F1096" s="0"/>
      <c r="G1096" s="0"/>
      <c r="H1096" s="0"/>
      <c r="I1096" s="0"/>
      <c r="J1096" s="0"/>
    </row>
    <row r="1097" customFormat="false" ht="12.75" hidden="false" customHeight="false" outlineLevel="0" collapsed="false">
      <c r="D1097" s="0"/>
      <c r="E1097" s="0"/>
      <c r="F1097" s="0"/>
      <c r="G1097" s="0"/>
      <c r="H1097" s="0"/>
      <c r="I1097" s="0"/>
      <c r="J1097" s="0"/>
    </row>
    <row r="1098" customFormat="false" ht="12.75" hidden="false" customHeight="false" outlineLevel="0" collapsed="false">
      <c r="D1098" s="0"/>
      <c r="E1098" s="0"/>
      <c r="F1098" s="0"/>
      <c r="G1098" s="0"/>
      <c r="H1098" s="0"/>
      <c r="I1098" s="0"/>
      <c r="J1098" s="0"/>
    </row>
    <row r="1099" customFormat="false" ht="12.75" hidden="false" customHeight="false" outlineLevel="0" collapsed="false">
      <c r="D1099" s="0"/>
      <c r="E1099" s="0"/>
      <c r="F1099" s="0"/>
      <c r="G1099" s="0"/>
      <c r="H1099" s="0"/>
      <c r="I1099" s="0"/>
      <c r="J1099" s="0"/>
    </row>
    <row r="1100" customFormat="false" ht="12.75" hidden="false" customHeight="false" outlineLevel="0" collapsed="false">
      <c r="D1100" s="0"/>
      <c r="E1100" s="0"/>
      <c r="F1100" s="0"/>
      <c r="G1100" s="0"/>
      <c r="H1100" s="0"/>
      <c r="I1100" s="0"/>
      <c r="J1100" s="0"/>
    </row>
    <row r="1101" customFormat="false" ht="12.75" hidden="false" customHeight="false" outlineLevel="0" collapsed="false">
      <c r="D1101" s="0"/>
      <c r="E1101" s="0"/>
      <c r="F1101" s="0"/>
      <c r="G1101" s="0"/>
      <c r="H1101" s="0"/>
      <c r="I1101" s="0"/>
      <c r="J1101" s="0"/>
    </row>
    <row r="1102" customFormat="false" ht="12.75" hidden="false" customHeight="false" outlineLevel="0" collapsed="false">
      <c r="D1102" s="0"/>
      <c r="E1102" s="0"/>
      <c r="F1102" s="0"/>
      <c r="G1102" s="0"/>
      <c r="H1102" s="0"/>
      <c r="I1102" s="0"/>
      <c r="J1102" s="0"/>
    </row>
    <row r="1103" customFormat="false" ht="12.75" hidden="false" customHeight="false" outlineLevel="0" collapsed="false">
      <c r="D1103" s="0"/>
      <c r="E1103" s="0"/>
      <c r="F1103" s="0"/>
      <c r="G1103" s="0"/>
      <c r="H1103" s="0"/>
      <c r="I1103" s="0"/>
      <c r="J1103" s="0"/>
    </row>
    <row r="1104" customFormat="false" ht="12.75" hidden="false" customHeight="false" outlineLevel="0" collapsed="false">
      <c r="D1104" s="0"/>
      <c r="E1104" s="0"/>
      <c r="F1104" s="0"/>
      <c r="G1104" s="0"/>
      <c r="H1104" s="0"/>
      <c r="I1104" s="0"/>
      <c r="J1104" s="0"/>
    </row>
    <row r="1105" customFormat="false" ht="12.75" hidden="false" customHeight="false" outlineLevel="0" collapsed="false">
      <c r="D1105" s="0"/>
      <c r="E1105" s="0"/>
      <c r="F1105" s="0"/>
      <c r="G1105" s="0"/>
      <c r="H1105" s="0"/>
      <c r="I1105" s="0"/>
      <c r="J1105" s="0"/>
    </row>
    <row r="1106" customFormat="false" ht="12.75" hidden="false" customHeight="false" outlineLevel="0" collapsed="false">
      <c r="D1106" s="0"/>
      <c r="E1106" s="0"/>
      <c r="F1106" s="0"/>
      <c r="G1106" s="0"/>
      <c r="H1106" s="0"/>
      <c r="I1106" s="0"/>
      <c r="J1106" s="0"/>
    </row>
    <row r="1107" customFormat="false" ht="12.75" hidden="false" customHeight="false" outlineLevel="0" collapsed="false">
      <c r="D1107" s="0"/>
      <c r="E1107" s="0"/>
      <c r="F1107" s="0"/>
      <c r="G1107" s="0"/>
      <c r="H1107" s="0"/>
      <c r="I1107" s="0"/>
      <c r="J1107" s="0"/>
    </row>
    <row r="1108" customFormat="false" ht="12.75" hidden="false" customHeight="false" outlineLevel="0" collapsed="false">
      <c r="D1108" s="0"/>
      <c r="E1108" s="0"/>
      <c r="F1108" s="0"/>
      <c r="G1108" s="0"/>
      <c r="H1108" s="0"/>
      <c r="I1108" s="0"/>
      <c r="J1108" s="0"/>
    </row>
    <row r="1109" customFormat="false" ht="12.75" hidden="false" customHeight="false" outlineLevel="0" collapsed="false">
      <c r="D1109" s="0"/>
      <c r="E1109" s="0"/>
      <c r="F1109" s="0"/>
      <c r="G1109" s="0"/>
      <c r="H1109" s="0"/>
      <c r="I1109" s="0"/>
      <c r="J1109" s="0"/>
    </row>
    <row r="1110" customFormat="false" ht="12.75" hidden="false" customHeight="false" outlineLevel="0" collapsed="false">
      <c r="D1110" s="0"/>
      <c r="E1110" s="0"/>
      <c r="F1110" s="0"/>
      <c r="G1110" s="0"/>
      <c r="H1110" s="0"/>
      <c r="I1110" s="0"/>
      <c r="J1110" s="0"/>
    </row>
    <row r="1111" customFormat="false" ht="12.75" hidden="false" customHeight="false" outlineLevel="0" collapsed="false">
      <c r="D1111" s="0"/>
      <c r="E1111" s="0"/>
      <c r="F1111" s="0"/>
      <c r="G1111" s="0"/>
      <c r="H1111" s="0"/>
      <c r="I1111" s="0"/>
      <c r="J1111" s="0"/>
    </row>
    <row r="1112" customFormat="false" ht="12.75" hidden="false" customHeight="false" outlineLevel="0" collapsed="false">
      <c r="D1112" s="0"/>
      <c r="E1112" s="0"/>
      <c r="F1112" s="0"/>
      <c r="G1112" s="0"/>
      <c r="H1112" s="0"/>
      <c r="I1112" s="0"/>
      <c r="J1112" s="0"/>
    </row>
    <row r="1113" customFormat="false" ht="12.75" hidden="false" customHeight="false" outlineLevel="0" collapsed="false">
      <c r="D1113" s="0"/>
      <c r="E1113" s="0"/>
      <c r="F1113" s="0"/>
      <c r="G1113" s="0"/>
      <c r="H1113" s="0"/>
      <c r="I1113" s="0"/>
      <c r="J1113" s="0"/>
    </row>
    <row r="1114" customFormat="false" ht="12.75" hidden="false" customHeight="false" outlineLevel="0" collapsed="false">
      <c r="D1114" s="0"/>
      <c r="E1114" s="0"/>
      <c r="F1114" s="0"/>
      <c r="G1114" s="0"/>
      <c r="H1114" s="0"/>
      <c r="I1114" s="0"/>
      <c r="J1114" s="0"/>
    </row>
    <row r="1115" customFormat="false" ht="12.75" hidden="false" customHeight="false" outlineLevel="0" collapsed="false">
      <c r="D1115" s="0"/>
      <c r="E1115" s="0"/>
      <c r="F1115" s="0"/>
      <c r="G1115" s="0"/>
      <c r="H1115" s="0"/>
      <c r="I1115" s="0"/>
      <c r="J1115" s="0"/>
    </row>
    <row r="1116" customFormat="false" ht="12.75" hidden="false" customHeight="false" outlineLevel="0" collapsed="false">
      <c r="D1116" s="0"/>
      <c r="E1116" s="0"/>
      <c r="F1116" s="0"/>
      <c r="G1116" s="0"/>
      <c r="H1116" s="0"/>
      <c r="I1116" s="0"/>
      <c r="J1116" s="0"/>
    </row>
    <row r="1117" customFormat="false" ht="12.75" hidden="false" customHeight="false" outlineLevel="0" collapsed="false">
      <c r="D1117" s="0"/>
      <c r="E1117" s="0"/>
      <c r="F1117" s="0"/>
      <c r="G1117" s="0"/>
      <c r="H1117" s="0"/>
      <c r="I1117" s="0"/>
      <c r="J1117" s="0"/>
    </row>
    <row r="1118" customFormat="false" ht="12.75" hidden="false" customHeight="false" outlineLevel="0" collapsed="false">
      <c r="D1118" s="0"/>
      <c r="E1118" s="0"/>
      <c r="F1118" s="0"/>
      <c r="G1118" s="0"/>
      <c r="H1118" s="0"/>
      <c r="I1118" s="0"/>
      <c r="J1118" s="0"/>
    </row>
    <row r="1119" customFormat="false" ht="12.75" hidden="false" customHeight="false" outlineLevel="0" collapsed="false">
      <c r="D1119" s="0"/>
      <c r="E1119" s="0"/>
      <c r="F1119" s="0"/>
      <c r="G1119" s="0"/>
      <c r="H1119" s="0"/>
      <c r="I1119" s="0"/>
      <c r="J1119" s="0"/>
    </row>
    <row r="1120" customFormat="false" ht="12.75" hidden="false" customHeight="false" outlineLevel="0" collapsed="false">
      <c r="D1120" s="0"/>
      <c r="E1120" s="0"/>
      <c r="F1120" s="0"/>
      <c r="G1120" s="0"/>
      <c r="H1120" s="0"/>
      <c r="I1120" s="0"/>
      <c r="J1120" s="0"/>
    </row>
    <row r="1121" customFormat="false" ht="12.75" hidden="false" customHeight="false" outlineLevel="0" collapsed="false">
      <c r="D1121" s="0"/>
      <c r="E1121" s="0"/>
      <c r="F1121" s="0"/>
      <c r="G1121" s="0"/>
      <c r="H1121" s="0"/>
      <c r="I1121" s="0"/>
      <c r="J1121" s="0"/>
    </row>
    <row r="1122" customFormat="false" ht="12.75" hidden="false" customHeight="false" outlineLevel="0" collapsed="false">
      <c r="D1122" s="0"/>
      <c r="E1122" s="0"/>
      <c r="F1122" s="0"/>
      <c r="G1122" s="0"/>
      <c r="H1122" s="0"/>
      <c r="I1122" s="0"/>
      <c r="J1122" s="0"/>
    </row>
    <row r="1123" customFormat="false" ht="12.75" hidden="false" customHeight="false" outlineLevel="0" collapsed="false">
      <c r="D1123" s="0"/>
      <c r="E1123" s="0"/>
      <c r="F1123" s="0"/>
      <c r="G1123" s="0"/>
      <c r="H1123" s="0"/>
      <c r="I1123" s="0"/>
      <c r="J1123" s="0"/>
    </row>
    <row r="1124" customFormat="false" ht="12.75" hidden="false" customHeight="false" outlineLevel="0" collapsed="false">
      <c r="D1124" s="0"/>
      <c r="E1124" s="0"/>
      <c r="F1124" s="0"/>
      <c r="G1124" s="0"/>
      <c r="H1124" s="0"/>
      <c r="I1124" s="0"/>
      <c r="J1124" s="0"/>
    </row>
    <row r="1125" customFormat="false" ht="12.75" hidden="false" customHeight="false" outlineLevel="0" collapsed="false">
      <c r="D1125" s="0"/>
      <c r="E1125" s="0"/>
      <c r="F1125" s="0"/>
      <c r="G1125" s="0"/>
      <c r="H1125" s="0"/>
      <c r="I1125" s="0"/>
      <c r="J1125" s="0"/>
    </row>
    <row r="1126" customFormat="false" ht="12.75" hidden="false" customHeight="false" outlineLevel="0" collapsed="false">
      <c r="D1126" s="0"/>
      <c r="E1126" s="0"/>
      <c r="F1126" s="0"/>
      <c r="G1126" s="0"/>
      <c r="H1126" s="0"/>
      <c r="I1126" s="0"/>
      <c r="J1126" s="0"/>
    </row>
    <row r="1127" customFormat="false" ht="12.75" hidden="false" customHeight="false" outlineLevel="0" collapsed="false">
      <c r="D1127" s="0"/>
      <c r="E1127" s="0"/>
      <c r="F1127" s="0"/>
      <c r="G1127" s="0"/>
      <c r="H1127" s="0"/>
      <c r="I1127" s="0"/>
      <c r="J1127" s="0"/>
    </row>
    <row r="1128" customFormat="false" ht="12.75" hidden="false" customHeight="false" outlineLevel="0" collapsed="false">
      <c r="D1128" s="0"/>
      <c r="E1128" s="0"/>
      <c r="F1128" s="0"/>
      <c r="G1128" s="0"/>
      <c r="H1128" s="0"/>
      <c r="I1128" s="0"/>
      <c r="J1128" s="0"/>
    </row>
    <row r="1129" customFormat="false" ht="12.75" hidden="false" customHeight="false" outlineLevel="0" collapsed="false">
      <c r="D1129" s="0"/>
      <c r="E1129" s="0"/>
      <c r="F1129" s="0"/>
      <c r="G1129" s="0"/>
      <c r="H1129" s="0"/>
      <c r="I1129" s="0"/>
      <c r="J1129" s="0"/>
    </row>
    <row r="1130" customFormat="false" ht="12.75" hidden="false" customHeight="false" outlineLevel="0" collapsed="false">
      <c r="D1130" s="0"/>
      <c r="E1130" s="0"/>
      <c r="F1130" s="0"/>
      <c r="G1130" s="0"/>
      <c r="H1130" s="0"/>
      <c r="I1130" s="0"/>
      <c r="J1130" s="0"/>
    </row>
    <row r="1131" customFormat="false" ht="12.75" hidden="false" customHeight="false" outlineLevel="0" collapsed="false">
      <c r="D1131" s="0"/>
      <c r="E1131" s="0"/>
      <c r="F1131" s="0"/>
      <c r="G1131" s="0"/>
      <c r="H1131" s="0"/>
      <c r="I1131" s="0"/>
      <c r="J1131" s="0"/>
    </row>
    <row r="1132" customFormat="false" ht="12.75" hidden="false" customHeight="false" outlineLevel="0" collapsed="false">
      <c r="D1132" s="0"/>
      <c r="E1132" s="0"/>
      <c r="F1132" s="0"/>
      <c r="G1132" s="0"/>
      <c r="H1132" s="0"/>
      <c r="I1132" s="0"/>
      <c r="J1132" s="0"/>
    </row>
    <row r="1133" customFormat="false" ht="12.75" hidden="false" customHeight="false" outlineLevel="0" collapsed="false">
      <c r="D1133" s="0"/>
      <c r="E1133" s="0"/>
      <c r="F1133" s="0"/>
      <c r="G1133" s="0"/>
      <c r="H1133" s="0"/>
      <c r="I1133" s="0"/>
      <c r="J1133" s="0"/>
    </row>
    <row r="1134" customFormat="false" ht="12.75" hidden="false" customHeight="false" outlineLevel="0" collapsed="false">
      <c r="D1134" s="0"/>
      <c r="E1134" s="0"/>
      <c r="F1134" s="0"/>
      <c r="G1134" s="0"/>
      <c r="H1134" s="0"/>
      <c r="I1134" s="0"/>
      <c r="J1134" s="0"/>
    </row>
    <row r="1135" customFormat="false" ht="12.75" hidden="false" customHeight="false" outlineLevel="0" collapsed="false">
      <c r="D1135" s="0"/>
      <c r="E1135" s="0"/>
      <c r="F1135" s="0"/>
      <c r="G1135" s="0"/>
      <c r="H1135" s="0"/>
      <c r="I1135" s="0"/>
      <c r="J1135" s="0"/>
    </row>
    <row r="1136" customFormat="false" ht="12.75" hidden="false" customHeight="false" outlineLevel="0" collapsed="false">
      <c r="D1136" s="0"/>
      <c r="E1136" s="0"/>
      <c r="F1136" s="0"/>
      <c r="G1136" s="0"/>
      <c r="H1136" s="0"/>
      <c r="I1136" s="0"/>
      <c r="J1136" s="0"/>
    </row>
    <row r="1137" customFormat="false" ht="12.75" hidden="false" customHeight="false" outlineLevel="0" collapsed="false">
      <c r="D1137" s="0"/>
      <c r="E1137" s="0"/>
      <c r="F1137" s="0"/>
      <c r="G1137" s="0"/>
      <c r="H1137" s="0"/>
      <c r="I1137" s="0"/>
      <c r="J1137" s="0"/>
    </row>
    <row r="1138" customFormat="false" ht="12.75" hidden="false" customHeight="false" outlineLevel="0" collapsed="false">
      <c r="D1138" s="0"/>
      <c r="E1138" s="0"/>
      <c r="F1138" s="0"/>
      <c r="G1138" s="0"/>
      <c r="H1138" s="0"/>
      <c r="I1138" s="0"/>
      <c r="J1138" s="0"/>
    </row>
    <row r="1139" customFormat="false" ht="12.75" hidden="false" customHeight="false" outlineLevel="0" collapsed="false">
      <c r="D1139" s="0"/>
      <c r="E1139" s="0"/>
      <c r="F1139" s="0"/>
      <c r="G1139" s="0"/>
      <c r="H1139" s="0"/>
      <c r="I1139" s="0"/>
      <c r="J1139" s="0"/>
    </row>
    <row r="1140" customFormat="false" ht="12.75" hidden="false" customHeight="false" outlineLevel="0" collapsed="false">
      <c r="D1140" s="0"/>
      <c r="E1140" s="0"/>
      <c r="F1140" s="0"/>
      <c r="G1140" s="0"/>
      <c r="H1140" s="0"/>
      <c r="I1140" s="0"/>
      <c r="J1140" s="0"/>
    </row>
    <row r="1141" customFormat="false" ht="12.75" hidden="false" customHeight="false" outlineLevel="0" collapsed="false">
      <c r="D1141" s="0"/>
      <c r="E1141" s="0"/>
      <c r="F1141" s="0"/>
      <c r="G1141" s="0"/>
      <c r="H1141" s="0"/>
      <c r="I1141" s="0"/>
      <c r="J1141" s="0"/>
    </row>
    <row r="1142" customFormat="false" ht="12.75" hidden="false" customHeight="false" outlineLevel="0" collapsed="false">
      <c r="D1142" s="0"/>
      <c r="E1142" s="0"/>
      <c r="F1142" s="0"/>
      <c r="G1142" s="0"/>
      <c r="H1142" s="0"/>
      <c r="I1142" s="0"/>
      <c r="J1142" s="0"/>
    </row>
    <row r="1143" customFormat="false" ht="12.75" hidden="false" customHeight="false" outlineLevel="0" collapsed="false">
      <c r="D1143" s="0"/>
      <c r="E1143" s="0"/>
      <c r="F1143" s="0"/>
      <c r="G1143" s="0"/>
      <c r="H1143" s="0"/>
      <c r="I1143" s="0"/>
      <c r="J1143" s="0"/>
    </row>
    <row r="1144" customFormat="false" ht="12.75" hidden="false" customHeight="false" outlineLevel="0" collapsed="false">
      <c r="D1144" s="0"/>
      <c r="E1144" s="0"/>
      <c r="F1144" s="0"/>
      <c r="G1144" s="0"/>
      <c r="H1144" s="0"/>
      <c r="I1144" s="0"/>
      <c r="J1144" s="0"/>
    </row>
    <row r="1145" customFormat="false" ht="12.75" hidden="false" customHeight="false" outlineLevel="0" collapsed="false">
      <c r="D1145" s="0"/>
      <c r="E1145" s="0"/>
      <c r="F1145" s="0"/>
      <c r="G1145" s="0"/>
      <c r="H1145" s="0"/>
      <c r="I1145" s="0"/>
      <c r="J1145" s="0"/>
    </row>
    <row r="1146" customFormat="false" ht="12.75" hidden="false" customHeight="false" outlineLevel="0" collapsed="false">
      <c r="D1146" s="0"/>
      <c r="E1146" s="0"/>
      <c r="F1146" s="0"/>
      <c r="G1146" s="0"/>
      <c r="H1146" s="0"/>
      <c r="I1146" s="0"/>
      <c r="J1146" s="0"/>
    </row>
    <row r="1147" customFormat="false" ht="12.75" hidden="false" customHeight="false" outlineLevel="0" collapsed="false">
      <c r="D1147" s="0"/>
      <c r="E1147" s="0"/>
      <c r="F1147" s="0"/>
      <c r="G1147" s="0"/>
      <c r="H1147" s="0"/>
      <c r="I1147" s="0"/>
      <c r="J1147" s="0"/>
    </row>
    <row r="1148" customFormat="false" ht="12.75" hidden="false" customHeight="false" outlineLevel="0" collapsed="false">
      <c r="D1148" s="0"/>
      <c r="E1148" s="0"/>
      <c r="F1148" s="0"/>
      <c r="G1148" s="0"/>
      <c r="H1148" s="0"/>
      <c r="I1148" s="0"/>
      <c r="J1148" s="0"/>
    </row>
    <row r="1149" customFormat="false" ht="12.75" hidden="false" customHeight="false" outlineLevel="0" collapsed="false">
      <c r="D1149" s="0"/>
      <c r="E1149" s="0"/>
      <c r="F1149" s="0"/>
      <c r="G1149" s="0"/>
      <c r="H1149" s="0"/>
      <c r="I1149" s="0"/>
      <c r="J1149" s="0"/>
    </row>
    <row r="1150" customFormat="false" ht="12.75" hidden="false" customHeight="false" outlineLevel="0" collapsed="false">
      <c r="D1150" s="0"/>
      <c r="E1150" s="0"/>
      <c r="F1150" s="0"/>
      <c r="G1150" s="0"/>
      <c r="H1150" s="0"/>
      <c r="I1150" s="0"/>
      <c r="J1150" s="0"/>
    </row>
    <row r="1151" customFormat="false" ht="12.75" hidden="false" customHeight="false" outlineLevel="0" collapsed="false">
      <c r="D1151" s="0"/>
      <c r="E1151" s="0"/>
      <c r="F1151" s="0"/>
      <c r="G1151" s="0"/>
      <c r="H1151" s="0"/>
      <c r="I1151" s="0"/>
      <c r="J1151" s="0"/>
    </row>
    <row r="1152" customFormat="false" ht="12.75" hidden="false" customHeight="false" outlineLevel="0" collapsed="false">
      <c r="D1152" s="0"/>
      <c r="E1152" s="0"/>
      <c r="F1152" s="0"/>
      <c r="G1152" s="0"/>
      <c r="H1152" s="0"/>
      <c r="I1152" s="0"/>
      <c r="J1152" s="0"/>
    </row>
    <row r="1153" customFormat="false" ht="12.75" hidden="false" customHeight="false" outlineLevel="0" collapsed="false">
      <c r="D1153" s="0"/>
      <c r="E1153" s="0"/>
      <c r="F1153" s="0"/>
      <c r="G1153" s="0"/>
      <c r="H1153" s="0"/>
      <c r="I1153" s="0"/>
      <c r="J1153" s="0"/>
    </row>
    <row r="1154" customFormat="false" ht="12.75" hidden="false" customHeight="false" outlineLevel="0" collapsed="false">
      <c r="D1154" s="0"/>
      <c r="E1154" s="0"/>
      <c r="F1154" s="0"/>
      <c r="G1154" s="0"/>
      <c r="H1154" s="0"/>
      <c r="I1154" s="0"/>
      <c r="J1154" s="0"/>
    </row>
    <row r="1155" customFormat="false" ht="12.75" hidden="false" customHeight="false" outlineLevel="0" collapsed="false">
      <c r="D1155" s="0"/>
      <c r="E1155" s="0"/>
      <c r="F1155" s="0"/>
      <c r="G1155" s="0"/>
      <c r="H1155" s="0"/>
      <c r="I1155" s="0"/>
      <c r="J1155" s="0"/>
    </row>
    <row r="1156" customFormat="false" ht="12.75" hidden="false" customHeight="false" outlineLevel="0" collapsed="false">
      <c r="D1156" s="0"/>
      <c r="E1156" s="0"/>
      <c r="F1156" s="0"/>
      <c r="G1156" s="0"/>
      <c r="H1156" s="0"/>
      <c r="I1156" s="0"/>
      <c r="J1156" s="0"/>
    </row>
    <row r="1157" customFormat="false" ht="12.75" hidden="false" customHeight="false" outlineLevel="0" collapsed="false">
      <c r="D1157" s="0"/>
      <c r="E1157" s="0"/>
      <c r="F1157" s="0"/>
      <c r="G1157" s="0"/>
      <c r="H1157" s="0"/>
      <c r="I1157" s="0"/>
      <c r="J1157" s="0"/>
    </row>
    <row r="1158" customFormat="false" ht="12.75" hidden="false" customHeight="false" outlineLevel="0" collapsed="false">
      <c r="D1158" s="0"/>
      <c r="E1158" s="0"/>
      <c r="F1158" s="0"/>
      <c r="G1158" s="0"/>
      <c r="H1158" s="0"/>
      <c r="I1158" s="0"/>
      <c r="J1158" s="0"/>
    </row>
    <row r="1159" customFormat="false" ht="12.75" hidden="false" customHeight="false" outlineLevel="0" collapsed="false">
      <c r="D1159" s="0"/>
      <c r="E1159" s="0"/>
      <c r="F1159" s="0"/>
      <c r="G1159" s="0"/>
      <c r="H1159" s="0"/>
      <c r="I1159" s="0"/>
      <c r="J1159" s="0"/>
    </row>
    <row r="1160" customFormat="false" ht="12.75" hidden="false" customHeight="false" outlineLevel="0" collapsed="false">
      <c r="D1160" s="0"/>
      <c r="E1160" s="0"/>
      <c r="F1160" s="0"/>
      <c r="G1160" s="0"/>
      <c r="H1160" s="0"/>
      <c r="I1160" s="0"/>
      <c r="J1160" s="0"/>
    </row>
    <row r="1161" customFormat="false" ht="12.75" hidden="false" customHeight="false" outlineLevel="0" collapsed="false">
      <c r="D1161" s="0"/>
      <c r="E1161" s="0"/>
      <c r="F1161" s="0"/>
      <c r="G1161" s="0"/>
      <c r="H1161" s="0"/>
      <c r="I1161" s="0"/>
      <c r="J1161" s="0"/>
    </row>
    <row r="1162" customFormat="false" ht="12.75" hidden="false" customHeight="false" outlineLevel="0" collapsed="false">
      <c r="D1162" s="0"/>
      <c r="E1162" s="0"/>
      <c r="F1162" s="0"/>
      <c r="G1162" s="0"/>
      <c r="H1162" s="0"/>
      <c r="I1162" s="0"/>
      <c r="J1162" s="0"/>
    </row>
    <row r="1163" customFormat="false" ht="12.75" hidden="false" customHeight="false" outlineLevel="0" collapsed="false">
      <c r="D1163" s="0"/>
      <c r="E1163" s="0"/>
      <c r="F1163" s="0"/>
      <c r="G1163" s="0"/>
      <c r="H1163" s="0"/>
      <c r="I1163" s="0"/>
      <c r="J1163" s="0"/>
    </row>
    <row r="1164" customFormat="false" ht="12.75" hidden="false" customHeight="false" outlineLevel="0" collapsed="false">
      <c r="D1164" s="0"/>
      <c r="E1164" s="0"/>
      <c r="F1164" s="0"/>
      <c r="G1164" s="0"/>
      <c r="H1164" s="0"/>
      <c r="I1164" s="0"/>
      <c r="J1164" s="0"/>
    </row>
    <row r="1165" customFormat="false" ht="12.75" hidden="false" customHeight="false" outlineLevel="0" collapsed="false">
      <c r="D1165" s="0"/>
      <c r="E1165" s="0"/>
      <c r="F1165" s="0"/>
      <c r="G1165" s="0"/>
      <c r="H1165" s="0"/>
      <c r="I1165" s="0"/>
      <c r="J1165" s="0"/>
    </row>
    <row r="1166" customFormat="false" ht="12.75" hidden="false" customHeight="false" outlineLevel="0" collapsed="false">
      <c r="D1166" s="0"/>
      <c r="E1166" s="0"/>
      <c r="F1166" s="0"/>
      <c r="G1166" s="0"/>
      <c r="H1166" s="0"/>
      <c r="I1166" s="0"/>
      <c r="J1166" s="0"/>
    </row>
    <row r="1167" customFormat="false" ht="12.75" hidden="false" customHeight="false" outlineLevel="0" collapsed="false">
      <c r="D1167" s="0"/>
      <c r="E1167" s="0"/>
      <c r="F1167" s="0"/>
      <c r="G1167" s="0"/>
      <c r="H1167" s="0"/>
      <c r="I1167" s="0"/>
      <c r="J1167" s="0"/>
    </row>
    <row r="1168" customFormat="false" ht="12.75" hidden="false" customHeight="false" outlineLevel="0" collapsed="false">
      <c r="D1168" s="0"/>
      <c r="E1168" s="0"/>
      <c r="F1168" s="0"/>
      <c r="G1168" s="0"/>
      <c r="H1168" s="0"/>
      <c r="I1168" s="0"/>
      <c r="J1168" s="0"/>
    </row>
    <row r="1169" customFormat="false" ht="12.75" hidden="false" customHeight="false" outlineLevel="0" collapsed="false">
      <c r="D1169" s="0"/>
      <c r="E1169" s="0"/>
      <c r="F1169" s="0"/>
      <c r="G1169" s="0"/>
      <c r="H1169" s="0"/>
      <c r="I1169" s="0"/>
      <c r="J1169" s="0"/>
    </row>
    <row r="1170" customFormat="false" ht="12.75" hidden="false" customHeight="false" outlineLevel="0" collapsed="false">
      <c r="D1170" s="0"/>
      <c r="E1170" s="0"/>
      <c r="F1170" s="0"/>
      <c r="G1170" s="0"/>
      <c r="H1170" s="0"/>
      <c r="I1170" s="0"/>
      <c r="J1170" s="0"/>
    </row>
    <row r="1171" customFormat="false" ht="12.75" hidden="false" customHeight="false" outlineLevel="0" collapsed="false">
      <c r="D1171" s="0"/>
      <c r="E1171" s="0"/>
      <c r="F1171" s="0"/>
      <c r="G1171" s="0"/>
      <c r="H1171" s="0"/>
      <c r="I1171" s="0"/>
      <c r="J1171" s="0"/>
    </row>
    <row r="1172" customFormat="false" ht="12.75" hidden="false" customHeight="false" outlineLevel="0" collapsed="false">
      <c r="D1172" s="0"/>
      <c r="E1172" s="0"/>
      <c r="F1172" s="0"/>
      <c r="G1172" s="0"/>
      <c r="H1172" s="0"/>
      <c r="I1172" s="0"/>
      <c r="J1172" s="0"/>
    </row>
    <row r="1173" customFormat="false" ht="12.75" hidden="false" customHeight="false" outlineLevel="0" collapsed="false">
      <c r="D1173" s="0"/>
      <c r="E1173" s="0"/>
      <c r="F1173" s="0"/>
      <c r="G1173" s="0"/>
      <c r="H1173" s="0"/>
      <c r="I1173" s="0"/>
      <c r="J1173" s="0"/>
    </row>
    <row r="1174" customFormat="false" ht="12.75" hidden="false" customHeight="false" outlineLevel="0" collapsed="false">
      <c r="D1174" s="0"/>
      <c r="E1174" s="0"/>
      <c r="F1174" s="0"/>
      <c r="G1174" s="0"/>
      <c r="H1174" s="0"/>
      <c r="I1174" s="0"/>
      <c r="J1174" s="0"/>
    </row>
    <row r="1175" customFormat="false" ht="12.75" hidden="false" customHeight="false" outlineLevel="0" collapsed="false">
      <c r="D1175" s="0"/>
      <c r="E1175" s="0"/>
      <c r="F1175" s="0"/>
      <c r="G1175" s="0"/>
      <c r="H1175" s="0"/>
      <c r="I1175" s="0"/>
      <c r="J1175" s="0"/>
    </row>
    <row r="1176" customFormat="false" ht="12.75" hidden="false" customHeight="false" outlineLevel="0" collapsed="false">
      <c r="D1176" s="0"/>
      <c r="E1176" s="0"/>
      <c r="F1176" s="0"/>
      <c r="G1176" s="0"/>
      <c r="H1176" s="0"/>
      <c r="I1176" s="0"/>
      <c r="J1176" s="0"/>
    </row>
    <row r="1177" customFormat="false" ht="12.75" hidden="false" customHeight="false" outlineLevel="0" collapsed="false">
      <c r="D1177" s="0"/>
      <c r="E1177" s="0"/>
      <c r="F1177" s="0"/>
      <c r="G1177" s="0"/>
      <c r="H1177" s="0"/>
      <c r="I1177" s="0"/>
      <c r="J1177" s="0"/>
    </row>
    <row r="1178" customFormat="false" ht="12.75" hidden="false" customHeight="false" outlineLevel="0" collapsed="false">
      <c r="D1178" s="0"/>
      <c r="E1178" s="0"/>
      <c r="F1178" s="0"/>
      <c r="G1178" s="0"/>
      <c r="H1178" s="0"/>
      <c r="I1178" s="0"/>
      <c r="J1178" s="0"/>
    </row>
    <row r="1179" customFormat="false" ht="12.75" hidden="false" customHeight="false" outlineLevel="0" collapsed="false">
      <c r="D1179" s="0"/>
      <c r="E1179" s="0"/>
      <c r="F1179" s="0"/>
      <c r="G1179" s="0"/>
      <c r="H1179" s="0"/>
      <c r="I1179" s="0"/>
      <c r="J1179" s="0"/>
    </row>
    <row r="1180" customFormat="false" ht="12.75" hidden="false" customHeight="false" outlineLevel="0" collapsed="false">
      <c r="D1180" s="0"/>
      <c r="E1180" s="0"/>
      <c r="F1180" s="0"/>
      <c r="G1180" s="0"/>
      <c r="H1180" s="0"/>
      <c r="I1180" s="0"/>
      <c r="J1180" s="0"/>
    </row>
    <row r="1181" customFormat="false" ht="12.75" hidden="false" customHeight="false" outlineLevel="0" collapsed="false">
      <c r="D1181" s="0"/>
      <c r="E1181" s="0"/>
      <c r="F1181" s="0"/>
      <c r="G1181" s="0"/>
      <c r="H1181" s="0"/>
      <c r="I1181" s="0"/>
      <c r="J1181" s="0"/>
    </row>
    <row r="1182" customFormat="false" ht="12.75" hidden="false" customHeight="false" outlineLevel="0" collapsed="false">
      <c r="D1182" s="0"/>
      <c r="E1182" s="0"/>
      <c r="F1182" s="0"/>
      <c r="G1182" s="0"/>
      <c r="H1182" s="0"/>
      <c r="I1182" s="0"/>
      <c r="J1182" s="0"/>
    </row>
    <row r="1183" customFormat="false" ht="12.75" hidden="false" customHeight="false" outlineLevel="0" collapsed="false">
      <c r="D1183" s="0"/>
      <c r="E1183" s="0"/>
      <c r="F1183" s="0"/>
      <c r="G1183" s="0"/>
      <c r="H1183" s="0"/>
      <c r="I1183" s="0"/>
      <c r="J1183" s="0"/>
    </row>
    <row r="1184" customFormat="false" ht="12.75" hidden="false" customHeight="false" outlineLevel="0" collapsed="false">
      <c r="D1184" s="0"/>
      <c r="E1184" s="0"/>
      <c r="F1184" s="0"/>
      <c r="G1184" s="0"/>
      <c r="H1184" s="0"/>
      <c r="I1184" s="0"/>
      <c r="J1184" s="0"/>
    </row>
    <row r="1185" customFormat="false" ht="12.75" hidden="false" customHeight="false" outlineLevel="0" collapsed="false">
      <c r="D1185" s="0"/>
      <c r="E1185" s="0"/>
      <c r="F1185" s="0"/>
      <c r="G1185" s="0"/>
      <c r="H1185" s="0"/>
      <c r="I1185" s="0"/>
      <c r="J1185" s="0"/>
    </row>
    <row r="1186" customFormat="false" ht="12.75" hidden="false" customHeight="false" outlineLevel="0" collapsed="false">
      <c r="D1186" s="0"/>
      <c r="E1186" s="0"/>
      <c r="F1186" s="0"/>
      <c r="G1186" s="0"/>
      <c r="H1186" s="0"/>
      <c r="I1186" s="0"/>
      <c r="J1186" s="0"/>
    </row>
    <row r="1187" customFormat="false" ht="12.75" hidden="false" customHeight="false" outlineLevel="0" collapsed="false">
      <c r="D1187" s="0"/>
      <c r="E1187" s="0"/>
      <c r="F1187" s="0"/>
      <c r="G1187" s="0"/>
      <c r="H1187" s="0"/>
      <c r="I1187" s="0"/>
      <c r="J1187" s="0"/>
    </row>
    <row r="1188" customFormat="false" ht="12.75" hidden="false" customHeight="false" outlineLevel="0" collapsed="false">
      <c r="D1188" s="0"/>
      <c r="E1188" s="0"/>
      <c r="F1188" s="0"/>
      <c r="G1188" s="0"/>
      <c r="H1188" s="0"/>
      <c r="I1188" s="0"/>
      <c r="J1188" s="0"/>
    </row>
    <row r="1189" customFormat="false" ht="12.75" hidden="false" customHeight="false" outlineLevel="0" collapsed="false">
      <c r="D1189" s="0"/>
      <c r="E1189" s="0"/>
      <c r="F1189" s="0"/>
      <c r="G1189" s="0"/>
      <c r="H1189" s="0"/>
      <c r="I1189" s="0"/>
      <c r="J1189" s="0"/>
    </row>
    <row r="1190" customFormat="false" ht="12.75" hidden="false" customHeight="false" outlineLevel="0" collapsed="false">
      <c r="D1190" s="0"/>
      <c r="E1190" s="0"/>
      <c r="F1190" s="0"/>
      <c r="G1190" s="0"/>
      <c r="H1190" s="0"/>
      <c r="I1190" s="0"/>
      <c r="J1190" s="0"/>
    </row>
    <row r="1191" customFormat="false" ht="12.75" hidden="false" customHeight="false" outlineLevel="0" collapsed="false">
      <c r="D1191" s="0"/>
      <c r="E1191" s="0"/>
      <c r="F1191" s="0"/>
      <c r="G1191" s="0"/>
      <c r="H1191" s="0"/>
      <c r="I1191" s="0"/>
      <c r="J1191" s="0"/>
    </row>
    <row r="1192" customFormat="false" ht="12.75" hidden="false" customHeight="false" outlineLevel="0" collapsed="false">
      <c r="D1192" s="0"/>
      <c r="E1192" s="0"/>
      <c r="F1192" s="0"/>
      <c r="G1192" s="0"/>
      <c r="H1192" s="0"/>
      <c r="I1192" s="0"/>
      <c r="J1192" s="0"/>
    </row>
    <row r="1193" customFormat="false" ht="12.75" hidden="false" customHeight="false" outlineLevel="0" collapsed="false">
      <c r="D1193" s="0"/>
      <c r="E1193" s="0"/>
      <c r="F1193" s="0"/>
      <c r="G1193" s="0"/>
      <c r="H1193" s="0"/>
      <c r="I1193" s="0"/>
      <c r="J1193" s="0"/>
    </row>
    <row r="1194" customFormat="false" ht="12.75" hidden="false" customHeight="false" outlineLevel="0" collapsed="false">
      <c r="D1194" s="0"/>
      <c r="E1194" s="0"/>
      <c r="F1194" s="0"/>
      <c r="G1194" s="0"/>
      <c r="H1194" s="0"/>
      <c r="I1194" s="0"/>
      <c r="J1194" s="0"/>
    </row>
    <row r="1195" customFormat="false" ht="12.75" hidden="false" customHeight="false" outlineLevel="0" collapsed="false">
      <c r="D1195" s="0"/>
      <c r="E1195" s="0"/>
      <c r="F1195" s="0"/>
      <c r="G1195" s="0"/>
      <c r="H1195" s="0"/>
      <c r="I1195" s="0"/>
      <c r="J1195" s="0"/>
    </row>
    <row r="1196" customFormat="false" ht="12.75" hidden="false" customHeight="false" outlineLevel="0" collapsed="false">
      <c r="D1196" s="0"/>
      <c r="E1196" s="0"/>
      <c r="F1196" s="0"/>
      <c r="G1196" s="0"/>
      <c r="H1196" s="0"/>
      <c r="I1196" s="0"/>
      <c r="J1196" s="0"/>
    </row>
    <row r="1197" customFormat="false" ht="12.75" hidden="false" customHeight="false" outlineLevel="0" collapsed="false">
      <c r="D1197" s="0"/>
      <c r="E1197" s="0"/>
      <c r="F1197" s="0"/>
      <c r="G1197" s="0"/>
      <c r="H1197" s="0"/>
      <c r="I1197" s="0"/>
      <c r="J1197" s="0"/>
    </row>
    <row r="1198" customFormat="false" ht="12.75" hidden="false" customHeight="false" outlineLevel="0" collapsed="false">
      <c r="D1198" s="0"/>
      <c r="E1198" s="0"/>
      <c r="F1198" s="0"/>
      <c r="G1198" s="0"/>
      <c r="H1198" s="0"/>
      <c r="I1198" s="0"/>
      <c r="J1198" s="0"/>
    </row>
    <row r="1199" customFormat="false" ht="12.75" hidden="false" customHeight="false" outlineLevel="0" collapsed="false">
      <c r="D1199" s="0"/>
      <c r="E1199" s="0"/>
      <c r="F1199" s="0"/>
      <c r="G1199" s="0"/>
      <c r="H1199" s="0"/>
      <c r="I1199" s="0"/>
      <c r="J1199" s="0"/>
    </row>
    <row r="1200" customFormat="false" ht="12.75" hidden="false" customHeight="false" outlineLevel="0" collapsed="false">
      <c r="D1200" s="0"/>
      <c r="E1200" s="0"/>
      <c r="F1200" s="0"/>
      <c r="G1200" s="0"/>
      <c r="H1200" s="0"/>
      <c r="I1200" s="0"/>
      <c r="J1200" s="0"/>
    </row>
    <row r="1201" customFormat="false" ht="12.75" hidden="false" customHeight="false" outlineLevel="0" collapsed="false">
      <c r="D1201" s="0"/>
      <c r="E1201" s="0"/>
      <c r="F1201" s="0"/>
      <c r="G1201" s="0"/>
      <c r="H1201" s="0"/>
      <c r="I1201" s="0"/>
      <c r="J1201" s="0"/>
    </row>
    <row r="1202" customFormat="false" ht="12.75" hidden="false" customHeight="false" outlineLevel="0" collapsed="false">
      <c r="D1202" s="0"/>
      <c r="E1202" s="0"/>
      <c r="F1202" s="0"/>
      <c r="G1202" s="0"/>
      <c r="H1202" s="0"/>
      <c r="I1202" s="0"/>
      <c r="J1202" s="0"/>
    </row>
    <row r="1203" customFormat="false" ht="12.75" hidden="false" customHeight="false" outlineLevel="0" collapsed="false">
      <c r="D1203" s="0"/>
      <c r="E1203" s="0"/>
      <c r="F1203" s="0"/>
      <c r="G1203" s="0"/>
      <c r="H1203" s="0"/>
      <c r="I1203" s="0"/>
      <c r="J1203" s="0"/>
    </row>
    <row r="1204" customFormat="false" ht="12.75" hidden="false" customHeight="false" outlineLevel="0" collapsed="false">
      <c r="D1204" s="0"/>
      <c r="E1204" s="0"/>
      <c r="F1204" s="0"/>
      <c r="G1204" s="0"/>
      <c r="H1204" s="0"/>
      <c r="I1204" s="0"/>
      <c r="J1204" s="0"/>
    </row>
    <row r="1205" customFormat="false" ht="12.75" hidden="false" customHeight="false" outlineLevel="0" collapsed="false">
      <c r="D1205" s="0"/>
      <c r="E1205" s="0"/>
      <c r="F1205" s="0"/>
      <c r="G1205" s="0"/>
      <c r="H1205" s="0"/>
      <c r="I1205" s="0"/>
      <c r="J1205" s="0"/>
    </row>
    <row r="1206" customFormat="false" ht="12.75" hidden="false" customHeight="false" outlineLevel="0" collapsed="false">
      <c r="D1206" s="0"/>
      <c r="E1206" s="0"/>
      <c r="F1206" s="0"/>
      <c r="G1206" s="0"/>
      <c r="H1206" s="0"/>
      <c r="I1206" s="0"/>
      <c r="J1206" s="0"/>
    </row>
    <row r="1207" customFormat="false" ht="12.75" hidden="false" customHeight="false" outlineLevel="0" collapsed="false">
      <c r="D1207" s="0"/>
      <c r="E1207" s="0"/>
      <c r="F1207" s="0"/>
      <c r="G1207" s="0"/>
      <c r="H1207" s="0"/>
      <c r="I1207" s="0"/>
      <c r="J1207" s="0"/>
    </row>
    <row r="1208" customFormat="false" ht="12.75" hidden="false" customHeight="false" outlineLevel="0" collapsed="false">
      <c r="D1208" s="0"/>
      <c r="E1208" s="0"/>
      <c r="F1208" s="0"/>
      <c r="G1208" s="0"/>
      <c r="H1208" s="0"/>
      <c r="I1208" s="0"/>
      <c r="J1208" s="0"/>
    </row>
    <row r="1209" customFormat="false" ht="12.75" hidden="false" customHeight="false" outlineLevel="0" collapsed="false">
      <c r="D1209" s="0"/>
      <c r="E1209" s="0"/>
      <c r="F1209" s="0"/>
      <c r="G1209" s="0"/>
      <c r="H1209" s="0"/>
      <c r="I1209" s="0"/>
      <c r="J1209" s="0"/>
    </row>
    <row r="1210" customFormat="false" ht="12.75" hidden="false" customHeight="false" outlineLevel="0" collapsed="false">
      <c r="D1210" s="0"/>
      <c r="E1210" s="0"/>
      <c r="F1210" s="0"/>
      <c r="G1210" s="0"/>
      <c r="H1210" s="0"/>
      <c r="I1210" s="0"/>
      <c r="J1210" s="0"/>
    </row>
    <row r="1211" customFormat="false" ht="12.75" hidden="false" customHeight="false" outlineLevel="0" collapsed="false">
      <c r="D1211" s="0"/>
      <c r="E1211" s="0"/>
      <c r="F1211" s="0"/>
      <c r="G1211" s="0"/>
      <c r="H1211" s="0"/>
      <c r="I1211" s="0"/>
      <c r="J1211" s="0"/>
    </row>
    <row r="1212" customFormat="false" ht="12.75" hidden="false" customHeight="false" outlineLevel="0" collapsed="false">
      <c r="D1212" s="0"/>
      <c r="E1212" s="0"/>
      <c r="F1212" s="0"/>
      <c r="G1212" s="0"/>
      <c r="H1212" s="0"/>
      <c r="I1212" s="0"/>
      <c r="J1212" s="0"/>
    </row>
    <row r="1213" customFormat="false" ht="12.75" hidden="false" customHeight="false" outlineLevel="0" collapsed="false">
      <c r="D1213" s="0"/>
      <c r="E1213" s="0"/>
      <c r="F1213" s="0"/>
      <c r="G1213" s="0"/>
      <c r="H1213" s="0"/>
      <c r="I1213" s="0"/>
      <c r="J1213" s="0"/>
    </row>
    <row r="1214" customFormat="false" ht="12.75" hidden="false" customHeight="false" outlineLevel="0" collapsed="false">
      <c r="D1214" s="0"/>
      <c r="E1214" s="0"/>
      <c r="F1214" s="0"/>
      <c r="G1214" s="0"/>
      <c r="H1214" s="0"/>
      <c r="I1214" s="0"/>
      <c r="J1214" s="0"/>
    </row>
    <row r="1215" customFormat="false" ht="12.75" hidden="false" customHeight="false" outlineLevel="0" collapsed="false">
      <c r="D1215" s="0"/>
      <c r="E1215" s="0"/>
      <c r="F1215" s="0"/>
      <c r="G1215" s="0"/>
      <c r="H1215" s="0"/>
      <c r="I1215" s="0"/>
      <c r="J1215" s="0"/>
    </row>
    <row r="1216" customFormat="false" ht="12.75" hidden="false" customHeight="false" outlineLevel="0" collapsed="false">
      <c r="D1216" s="0"/>
      <c r="E1216" s="0"/>
      <c r="F1216" s="0"/>
      <c r="G1216" s="0"/>
      <c r="H1216" s="0"/>
      <c r="I1216" s="0"/>
      <c r="J1216" s="0"/>
    </row>
    <row r="1217" customFormat="false" ht="12.75" hidden="false" customHeight="false" outlineLevel="0" collapsed="false">
      <c r="D1217" s="0"/>
      <c r="E1217" s="0"/>
      <c r="F1217" s="0"/>
      <c r="G1217" s="0"/>
      <c r="H1217" s="0"/>
      <c r="I1217" s="0"/>
      <c r="J1217" s="0"/>
    </row>
    <row r="1218" customFormat="false" ht="12.75" hidden="false" customHeight="false" outlineLevel="0" collapsed="false">
      <c r="D1218" s="0"/>
      <c r="E1218" s="0"/>
      <c r="F1218" s="0"/>
      <c r="G1218" s="0"/>
      <c r="H1218" s="0"/>
      <c r="I1218" s="0"/>
      <c r="J1218" s="0"/>
    </row>
    <row r="1219" customFormat="false" ht="12.75" hidden="false" customHeight="false" outlineLevel="0" collapsed="false">
      <c r="D1219" s="0"/>
      <c r="E1219" s="0"/>
      <c r="F1219" s="0"/>
      <c r="G1219" s="0"/>
      <c r="H1219" s="0"/>
      <c r="I1219" s="0"/>
      <c r="J1219" s="0"/>
    </row>
    <row r="1220" customFormat="false" ht="12.75" hidden="false" customHeight="false" outlineLevel="0" collapsed="false">
      <c r="D1220" s="0"/>
      <c r="E1220" s="0"/>
      <c r="F1220" s="0"/>
      <c r="G1220" s="0"/>
      <c r="H1220" s="0"/>
      <c r="I1220" s="0"/>
      <c r="J1220" s="0"/>
    </row>
    <row r="1221" customFormat="false" ht="12.75" hidden="false" customHeight="false" outlineLevel="0" collapsed="false">
      <c r="D1221" s="0"/>
      <c r="E1221" s="0"/>
      <c r="F1221" s="0"/>
      <c r="G1221" s="0"/>
      <c r="H1221" s="0"/>
      <c r="I1221" s="0"/>
      <c r="J1221" s="0"/>
    </row>
    <row r="1222" customFormat="false" ht="12.75" hidden="false" customHeight="false" outlineLevel="0" collapsed="false">
      <c r="D1222" s="0"/>
      <c r="E1222" s="0"/>
      <c r="F1222" s="0"/>
      <c r="G1222" s="0"/>
      <c r="H1222" s="0"/>
      <c r="I1222" s="0"/>
      <c r="J1222" s="0"/>
    </row>
    <row r="1223" customFormat="false" ht="12.75" hidden="false" customHeight="false" outlineLevel="0" collapsed="false">
      <c r="D1223" s="0"/>
      <c r="E1223" s="0"/>
      <c r="F1223" s="0"/>
      <c r="G1223" s="0"/>
      <c r="H1223" s="0"/>
      <c r="I1223" s="0"/>
      <c r="J1223" s="0"/>
    </row>
    <row r="1224" customFormat="false" ht="12.75" hidden="false" customHeight="false" outlineLevel="0" collapsed="false">
      <c r="D1224" s="0"/>
      <c r="E1224" s="0"/>
      <c r="F1224" s="0"/>
      <c r="G1224" s="0"/>
      <c r="H1224" s="0"/>
      <c r="I1224" s="0"/>
      <c r="J1224" s="0"/>
    </row>
    <row r="1225" customFormat="false" ht="12.75" hidden="false" customHeight="false" outlineLevel="0" collapsed="false">
      <c r="D1225" s="0"/>
      <c r="E1225" s="0"/>
      <c r="F1225" s="0"/>
      <c r="G1225" s="0"/>
      <c r="H1225" s="0"/>
      <c r="I1225" s="0"/>
      <c r="J1225" s="0"/>
    </row>
    <row r="1226" customFormat="false" ht="12.75" hidden="false" customHeight="false" outlineLevel="0" collapsed="false">
      <c r="D1226" s="0"/>
      <c r="E1226" s="0"/>
      <c r="F1226" s="0"/>
      <c r="G1226" s="0"/>
      <c r="H1226" s="0"/>
      <c r="I1226" s="0"/>
      <c r="J1226" s="0"/>
    </row>
    <row r="1227" customFormat="false" ht="12.75" hidden="false" customHeight="false" outlineLevel="0" collapsed="false">
      <c r="D1227" s="0"/>
      <c r="E1227" s="0"/>
      <c r="F1227" s="0"/>
      <c r="G1227" s="0"/>
      <c r="H1227" s="0"/>
      <c r="I1227" s="0"/>
      <c r="J1227" s="0"/>
    </row>
    <row r="1228" customFormat="false" ht="12.75" hidden="false" customHeight="false" outlineLevel="0" collapsed="false">
      <c r="D1228" s="0"/>
      <c r="E1228" s="0"/>
      <c r="F1228" s="0"/>
      <c r="G1228" s="0"/>
      <c r="H1228" s="0"/>
      <c r="I1228" s="0"/>
      <c r="J1228" s="0"/>
    </row>
    <row r="1229" customFormat="false" ht="12.75" hidden="false" customHeight="false" outlineLevel="0" collapsed="false">
      <c r="D1229" s="0"/>
      <c r="E1229" s="0"/>
      <c r="F1229" s="0"/>
      <c r="G1229" s="0"/>
      <c r="H1229" s="0"/>
      <c r="I1229" s="0"/>
      <c r="J1229" s="0"/>
    </row>
    <row r="1230" customFormat="false" ht="12.75" hidden="false" customHeight="false" outlineLevel="0" collapsed="false">
      <c r="D1230" s="0"/>
      <c r="E1230" s="0"/>
      <c r="F1230" s="0"/>
      <c r="G1230" s="0"/>
      <c r="H1230" s="0"/>
      <c r="I1230" s="0"/>
      <c r="J1230" s="0"/>
    </row>
    <row r="1231" customFormat="false" ht="12.75" hidden="false" customHeight="false" outlineLevel="0" collapsed="false">
      <c r="D1231" s="0"/>
      <c r="E1231" s="0"/>
      <c r="F1231" s="0"/>
      <c r="G1231" s="0"/>
      <c r="H1231" s="0"/>
      <c r="I1231" s="0"/>
      <c r="J1231" s="0"/>
    </row>
    <row r="1232" customFormat="false" ht="12.75" hidden="false" customHeight="false" outlineLevel="0" collapsed="false">
      <c r="D1232" s="0"/>
      <c r="E1232" s="0"/>
      <c r="F1232" s="0"/>
      <c r="G1232" s="0"/>
      <c r="H1232" s="0"/>
      <c r="I1232" s="0"/>
      <c r="J1232" s="0"/>
    </row>
    <row r="1233" customFormat="false" ht="12.75" hidden="false" customHeight="false" outlineLevel="0" collapsed="false">
      <c r="D1233" s="0"/>
      <c r="E1233" s="0"/>
      <c r="F1233" s="0"/>
      <c r="G1233" s="0"/>
      <c r="H1233" s="0"/>
      <c r="I1233" s="0"/>
      <c r="J1233" s="0"/>
    </row>
    <row r="1234" customFormat="false" ht="12.75" hidden="false" customHeight="false" outlineLevel="0" collapsed="false">
      <c r="D1234" s="0"/>
      <c r="E1234" s="0"/>
      <c r="F1234" s="0"/>
      <c r="G1234" s="0"/>
      <c r="H1234" s="0"/>
      <c r="I1234" s="0"/>
      <c r="J1234" s="0"/>
    </row>
    <row r="1235" customFormat="false" ht="12.75" hidden="false" customHeight="false" outlineLevel="0" collapsed="false">
      <c r="D1235" s="0"/>
      <c r="E1235" s="0"/>
      <c r="F1235" s="0"/>
      <c r="G1235" s="0"/>
      <c r="H1235" s="0"/>
      <c r="I1235" s="0"/>
      <c r="J1235" s="0"/>
    </row>
    <row r="1236" customFormat="false" ht="12.75" hidden="false" customHeight="false" outlineLevel="0" collapsed="false">
      <c r="D1236" s="0"/>
      <c r="E1236" s="0"/>
      <c r="F1236" s="0"/>
      <c r="G1236" s="0"/>
      <c r="H1236" s="0"/>
      <c r="I1236" s="0"/>
      <c r="J1236" s="0"/>
    </row>
    <row r="1237" customFormat="false" ht="12.75" hidden="false" customHeight="false" outlineLevel="0" collapsed="false">
      <c r="D1237" s="0"/>
      <c r="E1237" s="0"/>
      <c r="F1237" s="0"/>
      <c r="G1237" s="0"/>
      <c r="H1237" s="0"/>
      <c r="I1237" s="0"/>
      <c r="J1237" s="0"/>
    </row>
    <row r="1238" customFormat="false" ht="12.75" hidden="false" customHeight="false" outlineLevel="0" collapsed="false">
      <c r="D1238" s="0"/>
      <c r="E1238" s="0"/>
      <c r="F1238" s="0"/>
      <c r="G1238" s="0"/>
      <c r="H1238" s="0"/>
      <c r="I1238" s="0"/>
      <c r="J1238" s="0"/>
    </row>
    <row r="1239" customFormat="false" ht="12.75" hidden="false" customHeight="false" outlineLevel="0" collapsed="false">
      <c r="D1239" s="0"/>
      <c r="E1239" s="0"/>
      <c r="F1239" s="0"/>
      <c r="G1239" s="0"/>
      <c r="H1239" s="0"/>
      <c r="I1239" s="0"/>
      <c r="J1239" s="0"/>
    </row>
    <row r="1240" customFormat="false" ht="12.75" hidden="false" customHeight="false" outlineLevel="0" collapsed="false">
      <c r="D1240" s="0"/>
      <c r="E1240" s="0"/>
      <c r="F1240" s="0"/>
      <c r="G1240" s="0"/>
      <c r="H1240" s="0"/>
      <c r="I1240" s="0"/>
      <c r="J1240" s="0"/>
    </row>
    <row r="1241" customFormat="false" ht="12.75" hidden="false" customHeight="false" outlineLevel="0" collapsed="false">
      <c r="D1241" s="0"/>
      <c r="E1241" s="0"/>
      <c r="F1241" s="0"/>
      <c r="G1241" s="0"/>
      <c r="H1241" s="0"/>
      <c r="I1241" s="0"/>
      <c r="J1241" s="0"/>
    </row>
    <row r="1242" customFormat="false" ht="12.75" hidden="false" customHeight="false" outlineLevel="0" collapsed="false">
      <c r="D1242" s="0"/>
      <c r="E1242" s="0"/>
      <c r="F1242" s="0"/>
      <c r="G1242" s="0"/>
      <c r="H1242" s="0"/>
      <c r="I1242" s="0"/>
      <c r="J1242" s="0"/>
    </row>
    <row r="1243" customFormat="false" ht="12.75" hidden="false" customHeight="false" outlineLevel="0" collapsed="false">
      <c r="D1243" s="0"/>
      <c r="E1243" s="0"/>
      <c r="F1243" s="0"/>
      <c r="G1243" s="0"/>
      <c r="H1243" s="0"/>
      <c r="I1243" s="0"/>
      <c r="J1243" s="0"/>
    </row>
    <row r="1244" customFormat="false" ht="12.75" hidden="false" customHeight="false" outlineLevel="0" collapsed="false">
      <c r="D1244" s="0"/>
      <c r="E1244" s="0"/>
      <c r="F1244" s="0"/>
      <c r="G1244" s="0"/>
      <c r="H1244" s="0"/>
      <c r="I1244" s="0"/>
      <c r="J1244" s="0"/>
    </row>
    <row r="1245" customFormat="false" ht="12.75" hidden="false" customHeight="false" outlineLevel="0" collapsed="false">
      <c r="D1245" s="0"/>
      <c r="E1245" s="0"/>
      <c r="F1245" s="0"/>
      <c r="G1245" s="0"/>
      <c r="H1245" s="0"/>
      <c r="I1245" s="0"/>
      <c r="J1245" s="0"/>
    </row>
    <row r="1246" customFormat="false" ht="12.75" hidden="false" customHeight="false" outlineLevel="0" collapsed="false">
      <c r="D1246" s="0"/>
      <c r="E1246" s="0"/>
      <c r="F1246" s="0"/>
      <c r="G1246" s="0"/>
      <c r="H1246" s="0"/>
      <c r="I1246" s="0"/>
      <c r="J1246" s="0"/>
    </row>
    <row r="1247" customFormat="false" ht="12.75" hidden="false" customHeight="false" outlineLevel="0" collapsed="false">
      <c r="D1247" s="0"/>
      <c r="E1247" s="0"/>
      <c r="F1247" s="0"/>
      <c r="G1247" s="0"/>
      <c r="H1247" s="0"/>
      <c r="I1247" s="0"/>
      <c r="J1247" s="0"/>
    </row>
    <row r="1248" customFormat="false" ht="12.75" hidden="false" customHeight="false" outlineLevel="0" collapsed="false">
      <c r="D1248" s="0"/>
      <c r="E1248" s="0"/>
      <c r="F1248" s="0"/>
      <c r="G1248" s="0"/>
      <c r="H1248" s="0"/>
      <c r="I1248" s="0"/>
      <c r="J1248" s="0"/>
    </row>
    <row r="1249" customFormat="false" ht="12.75" hidden="false" customHeight="false" outlineLevel="0" collapsed="false">
      <c r="D1249" s="0"/>
      <c r="E1249" s="0"/>
      <c r="F1249" s="0"/>
      <c r="G1249" s="0"/>
      <c r="H1249" s="0"/>
      <c r="I1249" s="0"/>
      <c r="J1249" s="0"/>
    </row>
    <row r="1250" customFormat="false" ht="12.75" hidden="false" customHeight="false" outlineLevel="0" collapsed="false">
      <c r="D1250" s="0"/>
      <c r="E1250" s="0"/>
      <c r="F1250" s="0"/>
      <c r="G1250" s="0"/>
      <c r="H1250" s="0"/>
      <c r="I1250" s="0"/>
      <c r="J1250" s="0"/>
    </row>
    <row r="1251" customFormat="false" ht="12.75" hidden="false" customHeight="false" outlineLevel="0" collapsed="false">
      <c r="D1251" s="0"/>
      <c r="E1251" s="0"/>
      <c r="F1251" s="0"/>
      <c r="G1251" s="0"/>
      <c r="H1251" s="0"/>
      <c r="I1251" s="0"/>
      <c r="J1251" s="0"/>
    </row>
    <row r="1252" customFormat="false" ht="12.75" hidden="false" customHeight="false" outlineLevel="0" collapsed="false">
      <c r="D1252" s="0"/>
      <c r="E1252" s="0"/>
      <c r="F1252" s="0"/>
      <c r="G1252" s="0"/>
      <c r="H1252" s="0"/>
      <c r="I1252" s="0"/>
      <c r="J1252" s="0"/>
    </row>
    <row r="1253" customFormat="false" ht="12.75" hidden="false" customHeight="false" outlineLevel="0" collapsed="false">
      <c r="D1253" s="0"/>
      <c r="E1253" s="0"/>
      <c r="F1253" s="0"/>
      <c r="G1253" s="0"/>
      <c r="H1253" s="0"/>
      <c r="I1253" s="0"/>
      <c r="J1253" s="0"/>
    </row>
    <row r="1254" customFormat="false" ht="12.75" hidden="false" customHeight="false" outlineLevel="0" collapsed="false">
      <c r="D1254" s="0"/>
      <c r="E1254" s="0"/>
      <c r="F1254" s="0"/>
      <c r="G1254" s="0"/>
      <c r="H1254" s="0"/>
      <c r="I1254" s="0"/>
      <c r="J1254" s="0"/>
    </row>
    <row r="1255" customFormat="false" ht="12.75" hidden="false" customHeight="false" outlineLevel="0" collapsed="false">
      <c r="D1255" s="0"/>
      <c r="E1255" s="0"/>
      <c r="F1255" s="0"/>
      <c r="G1255" s="0"/>
      <c r="H1255" s="0"/>
      <c r="I1255" s="0"/>
      <c r="J1255" s="0"/>
    </row>
    <row r="1256" customFormat="false" ht="12.75" hidden="false" customHeight="false" outlineLevel="0" collapsed="false">
      <c r="D1256" s="0"/>
      <c r="E1256" s="0"/>
      <c r="F1256" s="0"/>
      <c r="G1256" s="0"/>
      <c r="H1256" s="0"/>
      <c r="I1256" s="0"/>
      <c r="J1256" s="0"/>
    </row>
    <row r="1257" customFormat="false" ht="12.75" hidden="false" customHeight="false" outlineLevel="0" collapsed="false">
      <c r="D1257" s="0"/>
      <c r="E1257" s="0"/>
      <c r="F1257" s="0"/>
      <c r="G1257" s="0"/>
      <c r="H1257" s="0"/>
      <c r="I1257" s="0"/>
      <c r="J1257" s="0"/>
    </row>
    <row r="1258" customFormat="false" ht="12.75" hidden="false" customHeight="false" outlineLevel="0" collapsed="false">
      <c r="D1258" s="0"/>
      <c r="E1258" s="0"/>
      <c r="F1258" s="0"/>
      <c r="G1258" s="0"/>
      <c r="H1258" s="0"/>
      <c r="I1258" s="0"/>
      <c r="J1258" s="0"/>
    </row>
    <row r="1259" customFormat="false" ht="12.75" hidden="false" customHeight="false" outlineLevel="0" collapsed="false">
      <c r="D1259" s="0"/>
      <c r="E1259" s="0"/>
      <c r="F1259" s="0"/>
      <c r="G1259" s="0"/>
      <c r="H1259" s="0"/>
      <c r="I1259" s="0"/>
      <c r="J1259" s="0"/>
    </row>
    <row r="1260" customFormat="false" ht="12.75" hidden="false" customHeight="false" outlineLevel="0" collapsed="false">
      <c r="D1260" s="0"/>
      <c r="E1260" s="0"/>
      <c r="F1260" s="0"/>
      <c r="G1260" s="0"/>
      <c r="H1260" s="0"/>
      <c r="I1260" s="0"/>
      <c r="J1260" s="0"/>
    </row>
    <row r="1261" customFormat="false" ht="12.75" hidden="false" customHeight="false" outlineLevel="0" collapsed="false">
      <c r="D1261" s="0"/>
      <c r="E1261" s="0"/>
      <c r="F1261" s="0"/>
      <c r="G1261" s="0"/>
      <c r="H1261" s="0"/>
      <c r="I1261" s="0"/>
      <c r="J1261" s="0"/>
    </row>
    <row r="1262" customFormat="false" ht="12.75" hidden="false" customHeight="false" outlineLevel="0" collapsed="false">
      <c r="D1262" s="0"/>
      <c r="E1262" s="0"/>
      <c r="F1262" s="0"/>
      <c r="G1262" s="0"/>
      <c r="H1262" s="0"/>
      <c r="I1262" s="0"/>
      <c r="J1262" s="0"/>
    </row>
    <row r="1263" customFormat="false" ht="12.75" hidden="false" customHeight="false" outlineLevel="0" collapsed="false">
      <c r="D1263" s="0"/>
      <c r="E1263" s="0"/>
      <c r="F1263" s="0"/>
      <c r="G1263" s="0"/>
      <c r="H1263" s="0"/>
      <c r="I1263" s="0"/>
      <c r="J1263" s="0"/>
    </row>
    <row r="1264" customFormat="false" ht="12.75" hidden="false" customHeight="false" outlineLevel="0" collapsed="false">
      <c r="D1264" s="0"/>
      <c r="E1264" s="0"/>
      <c r="F1264" s="0"/>
      <c r="G1264" s="0"/>
      <c r="H1264" s="0"/>
      <c r="I1264" s="0"/>
      <c r="J1264" s="0"/>
    </row>
    <row r="1265" customFormat="false" ht="12.75" hidden="false" customHeight="false" outlineLevel="0" collapsed="false">
      <c r="D1265" s="0"/>
      <c r="E1265" s="0"/>
      <c r="F1265" s="0"/>
      <c r="G1265" s="0"/>
      <c r="H1265" s="0"/>
      <c r="I1265" s="0"/>
      <c r="J1265" s="0"/>
    </row>
    <row r="1266" customFormat="false" ht="12.75" hidden="false" customHeight="false" outlineLevel="0" collapsed="false">
      <c r="D1266" s="0"/>
      <c r="E1266" s="0"/>
      <c r="F1266" s="0"/>
      <c r="G1266" s="0"/>
      <c r="H1266" s="0"/>
      <c r="I1266" s="0"/>
      <c r="J1266" s="0"/>
    </row>
    <row r="1267" customFormat="false" ht="12.75" hidden="false" customHeight="false" outlineLevel="0" collapsed="false">
      <c r="D1267" s="0"/>
      <c r="E1267" s="0"/>
      <c r="F1267" s="0"/>
      <c r="G1267" s="0"/>
      <c r="H1267" s="0"/>
      <c r="I1267" s="0"/>
      <c r="J1267" s="0"/>
    </row>
    <row r="1268" customFormat="false" ht="12.75" hidden="false" customHeight="false" outlineLevel="0" collapsed="false">
      <c r="D1268" s="0"/>
      <c r="E1268" s="0"/>
      <c r="F1268" s="0"/>
      <c r="G1268" s="0"/>
      <c r="H1268" s="0"/>
      <c r="I1268" s="0"/>
      <c r="J1268" s="0"/>
    </row>
    <row r="1269" customFormat="false" ht="12.75" hidden="false" customHeight="false" outlineLevel="0" collapsed="false">
      <c r="D1269" s="0"/>
      <c r="E1269" s="0"/>
      <c r="F1269" s="0"/>
      <c r="G1269" s="0"/>
      <c r="H1269" s="0"/>
      <c r="I1269" s="0"/>
      <c r="J1269" s="0"/>
    </row>
    <row r="1270" customFormat="false" ht="12.75" hidden="false" customHeight="false" outlineLevel="0" collapsed="false">
      <c r="D1270" s="0"/>
      <c r="E1270" s="0"/>
      <c r="F1270" s="0"/>
      <c r="G1270" s="0"/>
      <c r="H1270" s="0"/>
      <c r="I1270" s="0"/>
      <c r="J1270" s="0"/>
    </row>
    <row r="1271" customFormat="false" ht="12.75" hidden="false" customHeight="false" outlineLevel="0" collapsed="false">
      <c r="D1271" s="0"/>
      <c r="E1271" s="0"/>
      <c r="F1271" s="0"/>
      <c r="G1271" s="0"/>
      <c r="H1271" s="0"/>
      <c r="I1271" s="0"/>
      <c r="J1271" s="0"/>
    </row>
    <row r="1272" customFormat="false" ht="12.75" hidden="false" customHeight="false" outlineLevel="0" collapsed="false">
      <c r="D1272" s="0"/>
      <c r="E1272" s="0"/>
      <c r="F1272" s="0"/>
      <c r="G1272" s="0"/>
      <c r="H1272" s="0"/>
      <c r="I1272" s="0"/>
      <c r="J1272" s="0"/>
    </row>
    <row r="1273" customFormat="false" ht="12.75" hidden="false" customHeight="false" outlineLevel="0" collapsed="false">
      <c r="D1273" s="0"/>
      <c r="E1273" s="0"/>
      <c r="F1273" s="0"/>
      <c r="G1273" s="0"/>
      <c r="H1273" s="0"/>
      <c r="I1273" s="0"/>
      <c r="J1273" s="0"/>
    </row>
    <row r="1274" customFormat="false" ht="12.75" hidden="false" customHeight="false" outlineLevel="0" collapsed="false">
      <c r="D1274" s="0"/>
      <c r="E1274" s="0"/>
      <c r="F1274" s="0"/>
      <c r="G1274" s="0"/>
      <c r="H1274" s="0"/>
      <c r="I1274" s="0"/>
      <c r="J1274" s="0"/>
    </row>
    <row r="1275" customFormat="false" ht="12.75" hidden="false" customHeight="false" outlineLevel="0" collapsed="false">
      <c r="D1275" s="0"/>
      <c r="E1275" s="0"/>
      <c r="F1275" s="0"/>
      <c r="G1275" s="0"/>
      <c r="H1275" s="0"/>
      <c r="I1275" s="0"/>
      <c r="J1275" s="0"/>
    </row>
    <row r="1276" customFormat="false" ht="12.75" hidden="false" customHeight="false" outlineLevel="0" collapsed="false">
      <c r="D1276" s="0"/>
      <c r="E1276" s="0"/>
      <c r="F1276" s="0"/>
      <c r="G1276" s="0"/>
      <c r="H1276" s="0"/>
      <c r="I1276" s="0"/>
      <c r="J1276" s="0"/>
    </row>
    <row r="1277" customFormat="false" ht="12.75" hidden="false" customHeight="false" outlineLevel="0" collapsed="false">
      <c r="D1277" s="0"/>
      <c r="E1277" s="0"/>
      <c r="F1277" s="0"/>
      <c r="G1277" s="0"/>
      <c r="H1277" s="0"/>
      <c r="I1277" s="0"/>
      <c r="J1277" s="0"/>
    </row>
    <row r="1278" customFormat="false" ht="12.75" hidden="false" customHeight="false" outlineLevel="0" collapsed="false">
      <c r="D1278" s="0"/>
      <c r="E1278" s="0"/>
      <c r="F1278" s="0"/>
      <c r="G1278" s="0"/>
      <c r="H1278" s="0"/>
      <c r="I1278" s="0"/>
      <c r="J1278" s="0"/>
    </row>
    <row r="1279" customFormat="false" ht="12.75" hidden="false" customHeight="false" outlineLevel="0" collapsed="false">
      <c r="D1279" s="0"/>
      <c r="E1279" s="0"/>
      <c r="F1279" s="0"/>
      <c r="G1279" s="0"/>
      <c r="H1279" s="0"/>
      <c r="I1279" s="0"/>
      <c r="J1279" s="0"/>
    </row>
    <row r="1280" customFormat="false" ht="12.75" hidden="false" customHeight="false" outlineLevel="0" collapsed="false">
      <c r="D1280" s="0"/>
      <c r="E1280" s="0"/>
      <c r="F1280" s="0"/>
      <c r="G1280" s="0"/>
      <c r="H1280" s="0"/>
      <c r="I1280" s="0"/>
      <c r="J1280" s="0"/>
    </row>
    <row r="1281" customFormat="false" ht="12.75" hidden="false" customHeight="false" outlineLevel="0" collapsed="false">
      <c r="D1281" s="0"/>
      <c r="E1281" s="0"/>
      <c r="F1281" s="0"/>
      <c r="G1281" s="0"/>
      <c r="H1281" s="0"/>
      <c r="I1281" s="0"/>
      <c r="J1281" s="0"/>
    </row>
    <row r="1282" customFormat="false" ht="12.75" hidden="false" customHeight="false" outlineLevel="0" collapsed="false">
      <c r="D1282" s="0"/>
      <c r="E1282" s="0"/>
      <c r="F1282" s="0"/>
      <c r="G1282" s="0"/>
      <c r="H1282" s="0"/>
      <c r="I1282" s="0"/>
      <c r="J1282" s="0"/>
    </row>
    <row r="1283" customFormat="false" ht="12.75" hidden="false" customHeight="false" outlineLevel="0" collapsed="false">
      <c r="D1283" s="0"/>
      <c r="E1283" s="0"/>
      <c r="F1283" s="0"/>
      <c r="G1283" s="0"/>
      <c r="H1283" s="0"/>
      <c r="I1283" s="0"/>
      <c r="J1283" s="0"/>
    </row>
    <row r="1284" customFormat="false" ht="12.75" hidden="false" customHeight="false" outlineLevel="0" collapsed="false">
      <c r="D1284" s="0"/>
      <c r="E1284" s="0"/>
      <c r="F1284" s="0"/>
      <c r="G1284" s="0"/>
      <c r="H1284" s="0"/>
      <c r="I1284" s="0"/>
      <c r="J1284" s="0"/>
    </row>
    <row r="1285" customFormat="false" ht="12.75" hidden="false" customHeight="false" outlineLevel="0" collapsed="false">
      <c r="D1285" s="0"/>
      <c r="E1285" s="0"/>
      <c r="F1285" s="0"/>
      <c r="G1285" s="0"/>
      <c r="H1285" s="0"/>
      <c r="I1285" s="0"/>
      <c r="J1285" s="0"/>
    </row>
    <row r="1286" customFormat="false" ht="12.75" hidden="false" customHeight="false" outlineLevel="0" collapsed="false">
      <c r="D1286" s="0"/>
      <c r="E1286" s="0"/>
      <c r="F1286" s="0"/>
      <c r="G1286" s="0"/>
      <c r="H1286" s="0"/>
      <c r="I1286" s="0"/>
      <c r="J1286" s="0"/>
    </row>
    <row r="1287" customFormat="false" ht="12.75" hidden="false" customHeight="false" outlineLevel="0" collapsed="false">
      <c r="D1287" s="0"/>
      <c r="E1287" s="0"/>
      <c r="F1287" s="0"/>
      <c r="G1287" s="0"/>
      <c r="H1287" s="0"/>
      <c r="I1287" s="0"/>
      <c r="J1287" s="0"/>
    </row>
    <row r="1288" customFormat="false" ht="12.75" hidden="false" customHeight="false" outlineLevel="0" collapsed="false">
      <c r="D1288" s="0"/>
      <c r="E1288" s="0"/>
      <c r="F1288" s="0"/>
      <c r="G1288" s="0"/>
      <c r="H1288" s="0"/>
      <c r="I1288" s="0"/>
      <c r="J1288" s="0"/>
    </row>
    <row r="1289" customFormat="false" ht="12.75" hidden="false" customHeight="false" outlineLevel="0" collapsed="false">
      <c r="D1289" s="0"/>
      <c r="E1289" s="0"/>
      <c r="F1289" s="0"/>
      <c r="G1289" s="0"/>
      <c r="H1289" s="0"/>
      <c r="I1289" s="0"/>
      <c r="J1289" s="0"/>
    </row>
    <row r="1290" customFormat="false" ht="12.75" hidden="false" customHeight="false" outlineLevel="0" collapsed="false">
      <c r="D1290" s="0"/>
      <c r="E1290" s="0"/>
      <c r="F1290" s="0"/>
      <c r="G1290" s="0"/>
      <c r="H1290" s="0"/>
      <c r="I1290" s="0"/>
      <c r="J1290" s="0"/>
    </row>
    <row r="1291" customFormat="false" ht="12.75" hidden="false" customHeight="false" outlineLevel="0" collapsed="false">
      <c r="D1291" s="0"/>
      <c r="E1291" s="0"/>
      <c r="F1291" s="0"/>
      <c r="G1291" s="0"/>
      <c r="H1291" s="0"/>
      <c r="I1291" s="0"/>
      <c r="J1291" s="0"/>
    </row>
    <row r="1292" customFormat="false" ht="12.75" hidden="false" customHeight="false" outlineLevel="0" collapsed="false">
      <c r="D1292" s="0"/>
      <c r="E1292" s="0"/>
      <c r="F1292" s="0"/>
      <c r="G1292" s="0"/>
      <c r="H1292" s="0"/>
      <c r="I1292" s="0"/>
      <c r="J1292" s="0"/>
    </row>
    <row r="1293" customFormat="false" ht="12.75" hidden="false" customHeight="false" outlineLevel="0" collapsed="false">
      <c r="D1293" s="0"/>
      <c r="E1293" s="0"/>
      <c r="F1293" s="0"/>
      <c r="G1293" s="0"/>
      <c r="H1293" s="0"/>
      <c r="I1293" s="0"/>
      <c r="J1293" s="0"/>
    </row>
    <row r="1294" customFormat="false" ht="12.75" hidden="false" customHeight="false" outlineLevel="0" collapsed="false">
      <c r="D1294" s="0"/>
      <c r="E1294" s="0"/>
      <c r="F1294" s="0"/>
      <c r="G1294" s="0"/>
      <c r="H1294" s="0"/>
      <c r="I1294" s="0"/>
      <c r="J1294" s="0"/>
    </row>
    <row r="1295" customFormat="false" ht="12.75" hidden="false" customHeight="false" outlineLevel="0" collapsed="false">
      <c r="D1295" s="0"/>
      <c r="E1295" s="0"/>
      <c r="F1295" s="0"/>
      <c r="G1295" s="0"/>
      <c r="H1295" s="0"/>
      <c r="I1295" s="0"/>
      <c r="J1295" s="0"/>
    </row>
    <row r="1296" customFormat="false" ht="12.75" hidden="false" customHeight="false" outlineLevel="0" collapsed="false">
      <c r="D1296" s="0"/>
      <c r="E1296" s="0"/>
      <c r="F1296" s="0"/>
      <c r="G1296" s="0"/>
      <c r="H1296" s="0"/>
      <c r="I1296" s="0"/>
      <c r="J1296" s="0"/>
    </row>
    <row r="1297" customFormat="false" ht="12.75" hidden="false" customHeight="false" outlineLevel="0" collapsed="false">
      <c r="D1297" s="0"/>
      <c r="E1297" s="0"/>
      <c r="F1297" s="0"/>
      <c r="G1297" s="0"/>
      <c r="H1297" s="0"/>
      <c r="I1297" s="0"/>
      <c r="J1297" s="0"/>
    </row>
    <row r="1298" customFormat="false" ht="12.75" hidden="false" customHeight="false" outlineLevel="0" collapsed="false">
      <c r="D1298" s="0"/>
      <c r="E1298" s="0"/>
      <c r="F1298" s="0"/>
      <c r="G1298" s="0"/>
      <c r="H1298" s="0"/>
      <c r="I1298" s="0"/>
      <c r="J1298" s="0"/>
    </row>
    <row r="1299" customFormat="false" ht="12.75" hidden="false" customHeight="false" outlineLevel="0" collapsed="false">
      <c r="D1299" s="0"/>
      <c r="E1299" s="0"/>
      <c r="F1299" s="0"/>
      <c r="G1299" s="0"/>
      <c r="H1299" s="0"/>
      <c r="I1299" s="0"/>
      <c r="J1299" s="0"/>
    </row>
    <row r="1300" customFormat="false" ht="12.75" hidden="false" customHeight="false" outlineLevel="0" collapsed="false">
      <c r="D1300" s="0"/>
      <c r="E1300" s="0"/>
      <c r="F1300" s="0"/>
      <c r="G1300" s="0"/>
      <c r="H1300" s="0"/>
      <c r="I1300" s="0"/>
      <c r="J1300" s="0"/>
    </row>
    <row r="1301" customFormat="false" ht="12.75" hidden="false" customHeight="false" outlineLevel="0" collapsed="false">
      <c r="D1301" s="0"/>
      <c r="E1301" s="0"/>
      <c r="F1301" s="0"/>
      <c r="G1301" s="0"/>
      <c r="H1301" s="0"/>
      <c r="I1301" s="0"/>
      <c r="J1301" s="0"/>
    </row>
    <row r="1302" customFormat="false" ht="12.75" hidden="false" customHeight="false" outlineLevel="0" collapsed="false">
      <c r="D1302" s="0"/>
      <c r="E1302" s="0"/>
      <c r="F1302" s="0"/>
      <c r="G1302" s="0"/>
      <c r="H1302" s="0"/>
      <c r="I1302" s="0"/>
      <c r="J1302" s="0"/>
    </row>
    <row r="1303" customFormat="false" ht="12.75" hidden="false" customHeight="false" outlineLevel="0" collapsed="false">
      <c r="D1303" s="0"/>
      <c r="E1303" s="0"/>
      <c r="F1303" s="0"/>
      <c r="G1303" s="0"/>
      <c r="H1303" s="0"/>
      <c r="I1303" s="0"/>
      <c r="J1303" s="0"/>
    </row>
    <row r="1304" customFormat="false" ht="12.75" hidden="false" customHeight="false" outlineLevel="0" collapsed="false">
      <c r="D1304" s="0"/>
      <c r="E1304" s="0"/>
      <c r="F1304" s="0"/>
      <c r="G1304" s="0"/>
      <c r="H1304" s="0"/>
      <c r="I1304" s="0"/>
      <c r="J1304" s="0"/>
    </row>
    <row r="1305" customFormat="false" ht="12.75" hidden="false" customHeight="false" outlineLevel="0" collapsed="false">
      <c r="D1305" s="0"/>
      <c r="E1305" s="0"/>
      <c r="F1305" s="0"/>
      <c r="G1305" s="0"/>
      <c r="H1305" s="0"/>
      <c r="I1305" s="0"/>
      <c r="J1305" s="0"/>
    </row>
    <row r="1306" customFormat="false" ht="12.75" hidden="false" customHeight="false" outlineLevel="0" collapsed="false">
      <c r="D1306" s="0"/>
      <c r="E1306" s="0"/>
      <c r="F1306" s="0"/>
      <c r="G1306" s="0"/>
      <c r="H1306" s="0"/>
      <c r="I1306" s="0"/>
      <c r="J1306" s="0"/>
    </row>
    <row r="1307" customFormat="false" ht="12.75" hidden="false" customHeight="false" outlineLevel="0" collapsed="false">
      <c r="D1307" s="0"/>
      <c r="E1307" s="0"/>
      <c r="F1307" s="0"/>
      <c r="G1307" s="0"/>
      <c r="H1307" s="0"/>
      <c r="I1307" s="0"/>
      <c r="J1307" s="0"/>
    </row>
    <row r="1308" customFormat="false" ht="12.75" hidden="false" customHeight="false" outlineLevel="0" collapsed="false">
      <c r="D1308" s="0"/>
      <c r="E1308" s="0"/>
      <c r="F1308" s="0"/>
      <c r="G1308" s="0"/>
      <c r="H1308" s="0"/>
      <c r="I1308" s="0"/>
      <c r="J1308" s="0"/>
    </row>
    <row r="1309" customFormat="false" ht="12.75" hidden="false" customHeight="false" outlineLevel="0" collapsed="false">
      <c r="D1309" s="0"/>
      <c r="E1309" s="0"/>
      <c r="F1309" s="0"/>
      <c r="G1309" s="0"/>
      <c r="H1309" s="0"/>
      <c r="I1309" s="0"/>
      <c r="J1309" s="0"/>
    </row>
    <row r="1310" customFormat="false" ht="12.75" hidden="false" customHeight="false" outlineLevel="0" collapsed="false">
      <c r="D1310" s="0"/>
      <c r="E1310" s="0"/>
      <c r="F1310" s="0"/>
      <c r="G1310" s="0"/>
      <c r="H1310" s="0"/>
      <c r="I1310" s="0"/>
      <c r="J1310" s="0"/>
    </row>
    <row r="1311" customFormat="false" ht="12.75" hidden="false" customHeight="false" outlineLevel="0" collapsed="false">
      <c r="D1311" s="0"/>
      <c r="E1311" s="0"/>
      <c r="F1311" s="0"/>
      <c r="G1311" s="0"/>
      <c r="H1311" s="0"/>
      <c r="I1311" s="0"/>
      <c r="J1311" s="0"/>
    </row>
    <row r="1312" customFormat="false" ht="12.75" hidden="false" customHeight="false" outlineLevel="0" collapsed="false">
      <c r="D1312" s="0"/>
      <c r="E1312" s="0"/>
      <c r="F1312" s="0"/>
      <c r="G1312" s="0"/>
      <c r="H1312" s="0"/>
      <c r="I1312" s="0"/>
      <c r="J1312" s="0"/>
    </row>
    <row r="1313" customFormat="false" ht="12.75" hidden="false" customHeight="false" outlineLevel="0" collapsed="false">
      <c r="D1313" s="0"/>
      <c r="E1313" s="0"/>
      <c r="F1313" s="0"/>
      <c r="G1313" s="0"/>
      <c r="H1313" s="0"/>
      <c r="I1313" s="0"/>
      <c r="J1313" s="0"/>
    </row>
    <row r="1314" customFormat="false" ht="12.75" hidden="false" customHeight="false" outlineLevel="0" collapsed="false">
      <c r="D1314" s="0"/>
      <c r="E1314" s="0"/>
      <c r="F1314" s="0"/>
      <c r="G1314" s="0"/>
      <c r="H1314" s="0"/>
      <c r="I1314" s="0"/>
      <c r="J1314" s="0"/>
    </row>
    <row r="1315" customFormat="false" ht="12.75" hidden="false" customHeight="false" outlineLevel="0" collapsed="false">
      <c r="D1315" s="0"/>
      <c r="E1315" s="0"/>
      <c r="F1315" s="0"/>
      <c r="G1315" s="0"/>
      <c r="H1315" s="0"/>
      <c r="I1315" s="0"/>
      <c r="J1315" s="0"/>
    </row>
    <row r="1316" customFormat="false" ht="12.75" hidden="false" customHeight="false" outlineLevel="0" collapsed="false">
      <c r="D1316" s="0"/>
      <c r="E1316" s="0"/>
      <c r="F1316" s="0"/>
      <c r="G1316" s="0"/>
      <c r="H1316" s="0"/>
      <c r="I1316" s="0"/>
      <c r="J1316" s="0"/>
    </row>
    <row r="1317" customFormat="false" ht="12.75" hidden="false" customHeight="false" outlineLevel="0" collapsed="false">
      <c r="D1317" s="0"/>
      <c r="E1317" s="0"/>
      <c r="F1317" s="0"/>
      <c r="G1317" s="0"/>
      <c r="H1317" s="0"/>
      <c r="I1317" s="0"/>
      <c r="J1317" s="0"/>
    </row>
    <row r="1318" customFormat="false" ht="12.75" hidden="false" customHeight="false" outlineLevel="0" collapsed="false">
      <c r="D1318" s="0"/>
      <c r="E1318" s="0"/>
      <c r="F1318" s="0"/>
      <c r="G1318" s="0"/>
      <c r="H1318" s="0"/>
      <c r="I1318" s="0"/>
      <c r="J1318" s="0"/>
    </row>
    <row r="1319" customFormat="false" ht="12.75" hidden="false" customHeight="false" outlineLevel="0" collapsed="false">
      <c r="D1319" s="0"/>
      <c r="E1319" s="0"/>
      <c r="F1319" s="0"/>
      <c r="G1319" s="0"/>
      <c r="H1319" s="0"/>
      <c r="I1319" s="0"/>
      <c r="J1319" s="0"/>
    </row>
    <row r="1320" customFormat="false" ht="12.75" hidden="false" customHeight="false" outlineLevel="0" collapsed="false">
      <c r="D1320" s="0"/>
      <c r="E1320" s="0"/>
      <c r="F1320" s="0"/>
      <c r="G1320" s="0"/>
      <c r="H1320" s="0"/>
      <c r="I1320" s="0"/>
      <c r="J1320" s="0"/>
    </row>
    <row r="1321" customFormat="false" ht="12.75" hidden="false" customHeight="false" outlineLevel="0" collapsed="false">
      <c r="D1321" s="0"/>
      <c r="E1321" s="0"/>
      <c r="F1321" s="0"/>
      <c r="G1321" s="0"/>
      <c r="H1321" s="0"/>
      <c r="I1321" s="0"/>
      <c r="J1321" s="0"/>
    </row>
    <row r="1322" customFormat="false" ht="12.75" hidden="false" customHeight="false" outlineLevel="0" collapsed="false">
      <c r="D1322" s="0"/>
      <c r="E1322" s="0"/>
      <c r="F1322" s="0"/>
      <c r="G1322" s="0"/>
      <c r="H1322" s="0"/>
      <c r="I1322" s="0"/>
      <c r="J1322" s="0"/>
    </row>
  </sheetData>
  <sheetProtection sheet="true" objects="true" scenarios="true"/>
  <mergeCells count="16">
    <mergeCell ref="BC7:BE7"/>
    <mergeCell ref="BF7:BH7"/>
    <mergeCell ref="BC32:BE32"/>
    <mergeCell ref="BF32:BH32"/>
    <mergeCell ref="BI32:BK32"/>
    <mergeCell ref="BL32:BN32"/>
    <mergeCell ref="BC55:BE55"/>
    <mergeCell ref="BF55:BH55"/>
    <mergeCell ref="BI55:BK55"/>
    <mergeCell ref="BL55:BN55"/>
    <mergeCell ref="BC74:BE74"/>
    <mergeCell ref="BF74:BH74"/>
    <mergeCell ref="BI74:BK74"/>
    <mergeCell ref="BL74:BN74"/>
    <mergeCell ref="BB112:BD112"/>
    <mergeCell ref="BB117:BN11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5" scale="5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U342"/>
  <sheetViews>
    <sheetView showFormulas="false" showGridLines="true" showRowColHeaders="true" showZeros="true" rightToLeft="false" tabSelected="false" showOutlineSymbols="true" defaultGridColor="true" view="normal" topLeftCell="R1" colorId="64" zoomScale="75" zoomScaleNormal="75" zoomScalePageLayoutView="100" workbookViewId="0">
      <selection pane="topLeft" activeCell="AO34" activeCellId="0" sqref="AO34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6.41"/>
    <col collapsed="false" customWidth="true" hidden="true" outlineLevel="0" max="2" min="2" style="0" width="8.7"/>
    <col collapsed="false" customWidth="true" hidden="true" outlineLevel="0" max="3" min="3" style="0" width="6.41"/>
    <col collapsed="false" customWidth="true" hidden="false" outlineLevel="0" max="4" min="4" style="62" width="13.14"/>
    <col collapsed="false" customWidth="true" hidden="false" outlineLevel="0" max="5" min="5" style="62" width="6.7"/>
    <col collapsed="false" customWidth="true" hidden="false" outlineLevel="0" max="6" min="6" style="62" width="6.99"/>
    <col collapsed="false" customWidth="true" hidden="false" outlineLevel="0" max="9" min="7" style="62" width="8.7"/>
    <col collapsed="false" customWidth="true" hidden="false" outlineLevel="0" max="10" min="10" style="62" width="5.99"/>
    <col collapsed="false" customWidth="true" hidden="false" outlineLevel="0" max="11" min="11" style="0" width="6.13"/>
    <col collapsed="false" customWidth="true" hidden="false" outlineLevel="0" max="14" min="12" style="0" width="7.14"/>
    <col collapsed="false" customWidth="true" hidden="false" outlineLevel="0" max="15" min="15" style="0" width="10.85"/>
    <col collapsed="false" customWidth="true" hidden="false" outlineLevel="0" max="18" min="16" style="0" width="12.42"/>
    <col collapsed="false" customWidth="true" hidden="false" outlineLevel="0" max="19" min="19" style="0" width="9.7"/>
    <col collapsed="false" customWidth="true" hidden="false" outlineLevel="0" max="20" min="20" style="62" width="12.42"/>
    <col collapsed="false" customWidth="true" hidden="false" outlineLevel="0" max="21" min="21" style="62" width="4.56"/>
    <col collapsed="false" customWidth="true" hidden="false" outlineLevel="0" max="22" min="22" style="62" width="8.56"/>
    <col collapsed="false" customWidth="true" hidden="false" outlineLevel="0" max="23" min="23" style="62" width="6.7"/>
    <col collapsed="false" customWidth="true" hidden="false" outlineLevel="0" max="24" min="24" style="62" width="6.13"/>
    <col collapsed="false" customWidth="true" hidden="false" outlineLevel="0" max="25" min="25" style="62" width="6.99"/>
    <col collapsed="false" customWidth="true" hidden="false" outlineLevel="0" max="26" min="26" style="62" width="7.28"/>
    <col collapsed="false" customWidth="true" hidden="false" outlineLevel="0" max="27" min="27" style="62" width="6.13"/>
    <col collapsed="false" customWidth="true" hidden="false" outlineLevel="0" max="28" min="28" style="62" width="5.99"/>
    <col collapsed="false" customWidth="true" hidden="false" outlineLevel="0" max="29" min="29" style="0" width="6.13"/>
    <col collapsed="false" customWidth="true" hidden="false" outlineLevel="0" max="30" min="30" style="0" width="7.14"/>
    <col collapsed="false" customWidth="true" hidden="false" outlineLevel="0" max="31" min="31" style="0" width="6.13"/>
    <col collapsed="false" customWidth="true" hidden="false" outlineLevel="0" max="32" min="32" style="0" width="5.99"/>
    <col collapsed="false" customWidth="true" hidden="false" outlineLevel="0" max="33" min="33" style="62" width="5.99"/>
    <col collapsed="false" customWidth="true" hidden="false" outlineLevel="0" max="34" min="34" style="0" width="6.13"/>
    <col collapsed="false" customWidth="true" hidden="false" outlineLevel="0" max="35" min="35" style="0" width="7.14"/>
    <col collapsed="false" customWidth="true" hidden="false" outlineLevel="0" max="36" min="36" style="0" width="6.13"/>
    <col collapsed="false" customWidth="true" hidden="false" outlineLevel="0" max="38" min="37" style="0" width="5.99"/>
    <col collapsed="false" customWidth="true" hidden="false" outlineLevel="0" max="39" min="39" style="0" width="6.99"/>
    <col collapsed="false" customWidth="true" hidden="false" outlineLevel="0" max="40" min="40" style="0" width="7.7"/>
    <col collapsed="false" customWidth="true" hidden="false" outlineLevel="0" max="41" min="41" style="0" width="8.28"/>
    <col collapsed="false" customWidth="true" hidden="false" outlineLevel="0" max="42" min="42" style="0" width="9.56"/>
    <col collapsed="false" customWidth="true" hidden="false" outlineLevel="0" max="45" min="43" style="0" width="6.99"/>
    <col collapsed="false" customWidth="true" hidden="false" outlineLevel="0" max="46" min="46" style="0" width="6.56"/>
    <col collapsed="false" customWidth="true" hidden="false" outlineLevel="0" max="47" min="47" style="0" width="6.13"/>
    <col collapsed="false" customWidth="true" hidden="false" outlineLevel="0" max="51" min="48" style="0" width="6.99"/>
    <col collapsed="false" customWidth="true" hidden="false" outlineLevel="0" max="52" min="52" style="0" width="12.56"/>
    <col collapsed="false" customWidth="true" hidden="false" outlineLevel="0" max="53" min="53" style="62" width="4.56"/>
    <col collapsed="false" customWidth="true" hidden="false" outlineLevel="0" max="54" min="54" style="0" width="10.28"/>
    <col collapsed="false" customWidth="true" hidden="false" outlineLevel="0" max="66" min="61" style="0" width="7.99"/>
    <col collapsed="false" customWidth="true" hidden="false" outlineLevel="0" max="67" min="67" style="0" width="6.99"/>
    <col collapsed="false" customWidth="true" hidden="false" outlineLevel="0" max="68" min="68" style="0" width="3.42"/>
    <col collapsed="false" customWidth="true" hidden="false" outlineLevel="0" max="69" min="69" style="63" width="8.7"/>
    <col collapsed="false" customWidth="true" hidden="false" outlineLevel="0" max="70" min="70" style="63" width="9.99"/>
    <col collapsed="false" customWidth="true" hidden="false" outlineLevel="0" max="71" min="71" style="64" width="12.56"/>
    <col collapsed="false" customWidth="true" hidden="false" outlineLevel="0" max="76" min="72" style="63" width="12.42"/>
    <col collapsed="false" customWidth="true" hidden="false" outlineLevel="0" max="77" min="77" style="0" width="3.85"/>
    <col collapsed="false" customWidth="true" hidden="false" outlineLevel="0" max="80" min="80" style="63" width="7.56"/>
    <col collapsed="false" customWidth="true" hidden="false" outlineLevel="0" max="82" min="81" style="63" width="8.41"/>
    <col collapsed="false" customWidth="true" hidden="false" outlineLevel="0" max="83" min="83" style="63" width="8.14"/>
    <col collapsed="false" customWidth="true" hidden="false" outlineLevel="0" max="84" min="84" style="0" width="4.41"/>
    <col collapsed="false" customWidth="true" hidden="false" outlineLevel="0" max="85" min="85" style="0" width="9.7"/>
    <col collapsed="false" customWidth="true" hidden="false" outlineLevel="0" max="97" min="86" style="65" width="7.99"/>
    <col collapsed="false" customWidth="true" hidden="false" outlineLevel="0" max="98" min="98" style="0" width="3.85"/>
    <col collapsed="false" customWidth="true" hidden="false" outlineLevel="0" max="111" min="100" style="65" width="7.42"/>
    <col collapsed="false" customWidth="true" hidden="false" outlineLevel="0" max="112" min="112" style="0" width="3.56"/>
    <col collapsed="false" customWidth="true" hidden="false" outlineLevel="0" max="125" min="114" style="65" width="9.14"/>
  </cols>
  <sheetData>
    <row r="1" customFormat="false" ht="12.75" hidden="false" customHeight="false" outlineLevel="0" collapsed="false">
      <c r="A1" s="2"/>
      <c r="B1" s="3"/>
      <c r="C1" s="3"/>
      <c r="D1" s="66" t="s">
        <v>140</v>
      </c>
      <c r="E1" s="51" t="s">
        <v>60</v>
      </c>
      <c r="F1" s="3"/>
      <c r="G1" s="3"/>
      <c r="H1" s="3"/>
      <c r="I1" s="67" t="s">
        <v>141</v>
      </c>
      <c r="J1" s="51" t="s">
        <v>62</v>
      </c>
      <c r="K1" s="3"/>
      <c r="L1" s="3"/>
      <c r="M1" s="3"/>
      <c r="N1" s="3"/>
      <c r="O1" s="51" t="s">
        <v>63</v>
      </c>
      <c r="P1" s="68"/>
      <c r="Q1" s="68"/>
      <c r="R1" s="68"/>
      <c r="S1" s="69" t="s">
        <v>64</v>
      </c>
      <c r="T1" s="70" t="n">
        <f aca="false">SUM(T3:T255)</f>
        <v>0</v>
      </c>
      <c r="W1" s="51" t="s">
        <v>65</v>
      </c>
      <c r="X1" s="3"/>
      <c r="Y1" s="3"/>
      <c r="Z1" s="3"/>
      <c r="AA1" s="71"/>
      <c r="AB1" s="51" t="s">
        <v>66</v>
      </c>
      <c r="AC1" s="3"/>
      <c r="AD1" s="3"/>
      <c r="AE1" s="3"/>
      <c r="AF1" s="53"/>
      <c r="AG1" s="51" t="s">
        <v>67</v>
      </c>
      <c r="AH1" s="3"/>
      <c r="AI1" s="3"/>
      <c r="AJ1" s="3"/>
      <c r="AK1" s="53"/>
      <c r="AL1" s="72" t="s">
        <v>68</v>
      </c>
      <c r="AM1" s="53"/>
      <c r="AN1" s="72" t="s">
        <v>69</v>
      </c>
      <c r="AO1" s="33"/>
      <c r="AP1" s="33"/>
      <c r="AQ1" s="73" t="s">
        <v>70</v>
      </c>
      <c r="AR1" s="33"/>
      <c r="AS1" s="33"/>
      <c r="AT1" s="73" t="s">
        <v>71</v>
      </c>
      <c r="AU1" s="33"/>
      <c r="AV1" s="33"/>
      <c r="AW1" s="73" t="s">
        <v>72</v>
      </c>
      <c r="AX1" s="33"/>
      <c r="AY1" s="33"/>
      <c r="AZ1" s="73" t="s">
        <v>73</v>
      </c>
      <c r="BA1" s="74"/>
      <c r="BQ1" s="75"/>
      <c r="BR1" s="76" t="n">
        <f aca="false">COUNTA(OperatingCurve!$BS:$BS)-1</f>
        <v>263</v>
      </c>
      <c r="BS1" s="77"/>
      <c r="BT1" s="51" t="s">
        <v>63</v>
      </c>
      <c r="BU1" s="68"/>
      <c r="BV1" s="68"/>
      <c r="BW1" s="68"/>
      <c r="BX1" s="78"/>
      <c r="BZ1" s="79" t="s">
        <v>74</v>
      </c>
      <c r="CA1" s="68"/>
      <c r="CB1" s="68"/>
      <c r="CC1" s="68"/>
      <c r="CD1" s="68"/>
      <c r="CE1" s="78"/>
    </row>
    <row r="2" customFormat="false" ht="27.75" hidden="false" customHeight="true" outlineLevel="0" collapsed="false">
      <c r="A2" s="80" t="s">
        <v>75</v>
      </c>
      <c r="B2" s="80" t="s">
        <v>76</v>
      </c>
      <c r="C2" s="3" t="s">
        <v>77</v>
      </c>
      <c r="D2" s="80" t="s">
        <v>78</v>
      </c>
      <c r="E2" s="81" t="s">
        <v>79</v>
      </c>
      <c r="F2" s="80" t="s">
        <v>80</v>
      </c>
      <c r="G2" s="80" t="s">
        <v>81</v>
      </c>
      <c r="H2" s="80" t="s">
        <v>82</v>
      </c>
      <c r="I2" s="80" t="s">
        <v>83</v>
      </c>
      <c r="J2" s="81" t="s">
        <v>79</v>
      </c>
      <c r="K2" s="80" t="s">
        <v>80</v>
      </c>
      <c r="L2" s="80" t="s">
        <v>81</v>
      </c>
      <c r="M2" s="80" t="s">
        <v>82</v>
      </c>
      <c r="N2" s="80" t="s">
        <v>83</v>
      </c>
      <c r="O2" s="82" t="s">
        <v>51</v>
      </c>
      <c r="P2" s="83" t="s">
        <v>52</v>
      </c>
      <c r="Q2" s="83" t="s">
        <v>84</v>
      </c>
      <c r="R2" s="83" t="s">
        <v>53</v>
      </c>
      <c r="S2" s="83" t="s">
        <v>85</v>
      </c>
      <c r="T2" s="84" t="s">
        <v>86</v>
      </c>
      <c r="W2" s="81" t="s">
        <v>79</v>
      </c>
      <c r="X2" s="80" t="s">
        <v>80</v>
      </c>
      <c r="Y2" s="80" t="s">
        <v>81</v>
      </c>
      <c r="Z2" s="80" t="s">
        <v>82</v>
      </c>
      <c r="AA2" s="80" t="s">
        <v>83</v>
      </c>
      <c r="AB2" s="81" t="s">
        <v>79</v>
      </c>
      <c r="AC2" s="80" t="s">
        <v>80</v>
      </c>
      <c r="AD2" s="80" t="s">
        <v>81</v>
      </c>
      <c r="AE2" s="80" t="s">
        <v>82</v>
      </c>
      <c r="AF2" s="85" t="s">
        <v>83</v>
      </c>
      <c r="AG2" s="81" t="s">
        <v>79</v>
      </c>
      <c r="AH2" s="80" t="s">
        <v>80</v>
      </c>
      <c r="AI2" s="80" t="s">
        <v>81</v>
      </c>
      <c r="AJ2" s="80" t="s">
        <v>82</v>
      </c>
      <c r="AK2" s="85" t="s">
        <v>83</v>
      </c>
      <c r="AL2" s="86" t="s">
        <v>87</v>
      </c>
      <c r="AM2" s="85" t="s">
        <v>88</v>
      </c>
      <c r="AN2" s="86" t="s">
        <v>89</v>
      </c>
      <c r="AO2" s="86" t="s">
        <v>82</v>
      </c>
      <c r="AP2" s="86" t="s">
        <v>83</v>
      </c>
      <c r="AQ2" s="81" t="s">
        <v>89</v>
      </c>
      <c r="AR2" s="86" t="s">
        <v>82</v>
      </c>
      <c r="AS2" s="86" t="s">
        <v>83</v>
      </c>
      <c r="AT2" s="81" t="s">
        <v>89</v>
      </c>
      <c r="AU2" s="86" t="s">
        <v>82</v>
      </c>
      <c r="AV2" s="86" t="s">
        <v>83</v>
      </c>
      <c r="AW2" s="81" t="s">
        <v>89</v>
      </c>
      <c r="AX2" s="86" t="s">
        <v>82</v>
      </c>
      <c r="AY2" s="86" t="s">
        <v>83</v>
      </c>
      <c r="AZ2" s="81" t="s">
        <v>90</v>
      </c>
      <c r="BA2" s="74"/>
      <c r="BQ2" s="87" t="s">
        <v>91</v>
      </c>
      <c r="BR2" s="88" t="s">
        <v>58</v>
      </c>
      <c r="BS2" s="81" t="s">
        <v>92</v>
      </c>
      <c r="BT2" s="82" t="s">
        <v>51</v>
      </c>
      <c r="BU2" s="83" t="s">
        <v>93</v>
      </c>
      <c r="BV2" s="89" t="s">
        <v>84</v>
      </c>
      <c r="BW2" s="83" t="s">
        <v>53</v>
      </c>
      <c r="BX2" s="84" t="s">
        <v>85</v>
      </c>
      <c r="BZ2" s="81" t="s">
        <v>92</v>
      </c>
      <c r="CA2" s="86" t="s">
        <v>51</v>
      </c>
      <c r="CB2" s="86" t="s">
        <v>52</v>
      </c>
      <c r="CC2" s="86" t="s">
        <v>84</v>
      </c>
      <c r="CD2" s="86" t="s">
        <v>53</v>
      </c>
      <c r="CE2" s="85" t="s">
        <v>85</v>
      </c>
      <c r="CG2" s="90" t="s">
        <v>94</v>
      </c>
      <c r="CU2" s="90" t="s">
        <v>95</v>
      </c>
      <c r="DI2" s="90" t="s">
        <v>96</v>
      </c>
    </row>
    <row r="3" customFormat="false" ht="12.75" hidden="false" customHeight="false" outlineLevel="0" collapsed="false">
      <c r="A3" s="91" t="n">
        <f aca="true">IF(ISERROR(MATCH(D3,iRefDt,0)),"",MATCH(D3,iRefDt,0))</f>
        <v>3</v>
      </c>
      <c r="B3" s="92" t="n">
        <f aca="false">MATCH(YEAR(D3),iSpreads)</f>
        <v>1</v>
      </c>
      <c r="C3" s="0" t="n">
        <f aca="false">MONTH(D3)</f>
        <v>1</v>
      </c>
      <c r="D3" s="93" t="n">
        <f aca="false">TopCurrDate+1</f>
        <v>36909</v>
      </c>
      <c r="E3" s="94" t="n">
        <f aca="false">VLOOKUP($D3,tblPriorPrice,2)</f>
        <v>182.964004516602</v>
      </c>
      <c r="F3" s="95" t="n">
        <f aca="false">+[2]OperatingCurve!$D3</f>
        <v>0</v>
      </c>
      <c r="G3" s="96" t="n">
        <f aca="false">IF(EnergyCurve!G3&lt;200,0.001*EnergyCurve!G3+1,1.2)*EnergyCurve!G3</f>
        <v>141.876</v>
      </c>
      <c r="H3" s="96" t="n">
        <f aca="false">IF(EnergyCurve!H3&lt;200,0.001*EnergyCurve!H3+1,1.2)*EnergyCurve!H3</f>
        <v>135.641</v>
      </c>
      <c r="I3" s="96" t="n">
        <f aca="false">IF(EnergyCurve!I3&lt;200,0.001*EnergyCurve!I3+1,1.2)*EnergyCurve!I3</f>
        <v>173.801</v>
      </c>
      <c r="J3" s="94" t="n">
        <f aca="false">VLOOKUP($D3,tblPriorPrice,3)</f>
        <v>0</v>
      </c>
      <c r="K3" s="95" t="n">
        <f aca="false">+[2]OperatingCurve!$G3</f>
        <v>0</v>
      </c>
      <c r="L3" s="96" t="n">
        <f aca="false">J3+K3</f>
        <v>0</v>
      </c>
      <c r="M3" s="96" t="n">
        <f aca="false">L3</f>
        <v>0</v>
      </c>
      <c r="N3" s="96" t="n">
        <f aca="false">L3</f>
        <v>0</v>
      </c>
      <c r="O3" s="58" t="n">
        <f aca="true">IF($A3="",0,INDEX(tblPosn,$A3,2))</f>
        <v>0</v>
      </c>
      <c r="P3" s="59" t="n">
        <f aca="true">IF($A3="",0,INDEX(tblPosn,$A3,3))</f>
        <v>0</v>
      </c>
      <c r="Q3" s="59" t="n">
        <f aca="true">IF($A3="",0,INDEX(tblPosn,$A3,4))</f>
        <v>0</v>
      </c>
      <c r="R3" s="59" t="n">
        <f aca="true">IF($A3="",0,INDEX(tblPosn,$A3,5))</f>
        <v>0</v>
      </c>
      <c r="S3" s="59" t="n">
        <f aca="true">IF($A3="",0,INDEX(tblPosn,$A3,6))</f>
        <v>0</v>
      </c>
      <c r="T3" s="98" t="n">
        <f aca="false">O3*F3+P3*K3+R3*AC3+S3*AH3+Q3*X3</f>
        <v>0</v>
      </c>
      <c r="V3" s="99"/>
      <c r="W3" s="100"/>
      <c r="X3" s="101" t="n">
        <f aca="false">F3</f>
        <v>0</v>
      </c>
      <c r="Y3" s="102"/>
      <c r="Z3" s="102"/>
      <c r="AA3" s="102"/>
      <c r="AB3" s="100"/>
      <c r="AC3" s="101" t="n">
        <f aca="false">F3</f>
        <v>0</v>
      </c>
      <c r="AD3" s="102"/>
      <c r="AE3" s="102"/>
      <c r="AF3" s="103"/>
      <c r="AG3" s="100"/>
      <c r="AH3" s="101" t="n">
        <f aca="false">IF(MONTH(D3)=MONTH($V$34),$AH$34,$AH$33)</f>
        <v>0</v>
      </c>
      <c r="AI3" s="102"/>
      <c r="AJ3" s="102"/>
      <c r="AK3" s="103"/>
      <c r="AL3" s="104"/>
      <c r="AM3" s="103"/>
      <c r="AN3" s="104"/>
      <c r="AO3" s="104"/>
      <c r="AP3" s="104"/>
      <c r="AQ3" s="100"/>
      <c r="AR3" s="104"/>
      <c r="AS3" s="104"/>
      <c r="AT3" s="100"/>
      <c r="AU3" s="104"/>
      <c r="AV3" s="104"/>
      <c r="AW3" s="100"/>
      <c r="AX3" s="104"/>
      <c r="AY3" s="104"/>
      <c r="AZ3" s="100"/>
      <c r="BA3" s="74"/>
      <c r="BB3" s="105" t="s">
        <v>94</v>
      </c>
      <c r="BC3" s="106"/>
      <c r="BD3" s="107"/>
      <c r="BQ3" s="108" t="n">
        <v>36907.7428240741</v>
      </c>
      <c r="BR3" s="109" t="n">
        <v>36907.7434606482</v>
      </c>
      <c r="BS3" s="110" t="n">
        <v>36907</v>
      </c>
      <c r="BT3" s="111" t="n">
        <v>0</v>
      </c>
      <c r="BU3" s="112" t="n">
        <v>0</v>
      </c>
      <c r="BV3" s="112" t="n">
        <v>0</v>
      </c>
      <c r="BW3" s="112" t="n">
        <v>0</v>
      </c>
      <c r="BX3" s="113" t="n">
        <v>0</v>
      </c>
      <c r="BY3" s="114"/>
      <c r="BZ3" s="115" t="n">
        <v>36908</v>
      </c>
      <c r="CA3" s="116" t="n">
        <v>153.225006103516</v>
      </c>
      <c r="CB3" s="116" t="n">
        <v>0</v>
      </c>
      <c r="CC3" s="116"/>
      <c r="CD3" s="116"/>
      <c r="CE3" s="117"/>
      <c r="CG3" s="105" t="s">
        <v>51</v>
      </c>
      <c r="CH3" s="118"/>
      <c r="CI3" s="118"/>
      <c r="CJ3" s="119"/>
      <c r="CU3" s="105" t="s">
        <v>51</v>
      </c>
      <c r="CV3" s="118"/>
      <c r="CW3" s="118"/>
      <c r="CX3" s="119"/>
      <c r="DI3" s="105" t="s">
        <v>51</v>
      </c>
      <c r="DJ3" s="118"/>
      <c r="DK3" s="118"/>
      <c r="DL3" s="119"/>
    </row>
    <row r="4" customFormat="false" ht="12.75" hidden="false" customHeight="false" outlineLevel="0" collapsed="false">
      <c r="A4" s="91" t="n">
        <f aca="true">IF(ISERROR(MATCH(D4,iRefDt,0)),"",MATCH(D4,iRefDt,0))</f>
        <v>4</v>
      </c>
      <c r="B4" s="92" t="n">
        <f aca="false">MATCH(YEAR(D4),iSpreads)</f>
        <v>1</v>
      </c>
      <c r="C4" s="0" t="n">
        <f aca="false">MONTH(D4)</f>
        <v>1</v>
      </c>
      <c r="D4" s="93" t="n">
        <f aca="false">D3+1</f>
        <v>36910</v>
      </c>
      <c r="E4" s="94" t="n">
        <f aca="false">VLOOKUP($D4,tblPriorPrice,2)</f>
        <v>182.964004516602</v>
      </c>
      <c r="F4" s="95" t="n">
        <f aca="false">+[2]OperatingCurve!$D4</f>
        <v>0</v>
      </c>
      <c r="G4" s="96" t="n">
        <f aca="false">IF(EnergyCurve!G4&lt;200,0.001*EnergyCurve!G4+1,1.2)*EnergyCurve!G4</f>
        <v>157.044</v>
      </c>
      <c r="H4" s="96" t="n">
        <f aca="false">IF(EnergyCurve!H4&lt;200,0.001*EnergyCurve!H4+1,1.2)*EnergyCurve!H4</f>
        <v>150.689</v>
      </c>
      <c r="I4" s="96" t="n">
        <f aca="false">IF(EnergyCurve!I4&lt;200,0.001*EnergyCurve!I4+1,1.2)*EnergyCurve!I4</f>
        <v>189.569</v>
      </c>
      <c r="J4" s="94" t="n">
        <f aca="false">VLOOKUP($D4,tblPriorPrice,3)</f>
        <v>0</v>
      </c>
      <c r="K4" s="95" t="n">
        <f aca="false">+[2]OperatingCurve!$G4</f>
        <v>0</v>
      </c>
      <c r="L4" s="96" t="n">
        <f aca="false">J4+K4</f>
        <v>0</v>
      </c>
      <c r="M4" s="96" t="n">
        <f aca="false">L4</f>
        <v>0</v>
      </c>
      <c r="N4" s="96" t="n">
        <f aca="false">L4</f>
        <v>0</v>
      </c>
      <c r="O4" s="58" t="n">
        <f aca="true">IF($A4="",0,INDEX(tblPosn,$A4,2))</f>
        <v>0</v>
      </c>
      <c r="P4" s="59" t="n">
        <f aca="true">IF($A4="",0,INDEX(tblPosn,$A4,3))</f>
        <v>0</v>
      </c>
      <c r="Q4" s="59" t="n">
        <f aca="true">IF($A4="",0,INDEX(tblPosn,$A4,4))</f>
        <v>0</v>
      </c>
      <c r="R4" s="59" t="n">
        <f aca="true">IF($A4="",0,INDEX(tblPosn,$A4,5))</f>
        <v>0</v>
      </c>
      <c r="S4" s="59" t="n">
        <f aca="true">IF($A4="",0,INDEX(tblPosn,$A4,6))</f>
        <v>0</v>
      </c>
      <c r="T4" s="98" t="n">
        <f aca="false">O4*F4+P4*K4+R4*AC4+S4*AH4+Q4*X4</f>
        <v>0</v>
      </c>
      <c r="V4" s="99"/>
      <c r="W4" s="100"/>
      <c r="X4" s="101" t="n">
        <f aca="false">F4</f>
        <v>0</v>
      </c>
      <c r="Y4" s="102"/>
      <c r="Z4" s="102"/>
      <c r="AA4" s="102"/>
      <c r="AB4" s="100"/>
      <c r="AC4" s="101" t="n">
        <f aca="false">F4</f>
        <v>0</v>
      </c>
      <c r="AD4" s="102"/>
      <c r="AE4" s="102"/>
      <c r="AF4" s="103"/>
      <c r="AG4" s="100"/>
      <c r="AH4" s="101" t="n">
        <f aca="false">IF(MONTH(D4)=MONTH($V$34),$AH$34,$AH$33)</f>
        <v>0</v>
      </c>
      <c r="AI4" s="102"/>
      <c r="AJ4" s="102"/>
      <c r="AK4" s="103"/>
      <c r="AL4" s="104"/>
      <c r="AM4" s="103"/>
      <c r="AN4" s="104"/>
      <c r="AO4" s="104"/>
      <c r="AP4" s="104"/>
      <c r="AQ4" s="100"/>
      <c r="AR4" s="104"/>
      <c r="AS4" s="104"/>
      <c r="AT4" s="100"/>
      <c r="AU4" s="104"/>
      <c r="AV4" s="104"/>
      <c r="AW4" s="100"/>
      <c r="AX4" s="104"/>
      <c r="AY4" s="104"/>
      <c r="AZ4" s="100"/>
      <c r="BA4" s="74"/>
      <c r="BB4" s="120" t="s">
        <v>97</v>
      </c>
      <c r="BC4" s="121" t="n">
        <v>1</v>
      </c>
      <c r="BD4" s="122" t="s">
        <v>98</v>
      </c>
      <c r="BQ4" s="108" t="n">
        <v>36907.7428240741</v>
      </c>
      <c r="BR4" s="109" t="n">
        <v>36907.7434606482</v>
      </c>
      <c r="BS4" s="110" t="n">
        <v>36908</v>
      </c>
      <c r="BT4" s="111" t="n">
        <v>0</v>
      </c>
      <c r="BU4" s="112" t="n">
        <v>0</v>
      </c>
      <c r="BV4" s="112" t="n">
        <v>0</v>
      </c>
      <c r="BW4" s="112" t="n">
        <v>0</v>
      </c>
      <c r="BX4" s="113" t="n">
        <v>0</v>
      </c>
      <c r="BY4" s="114"/>
      <c r="BZ4" s="115" t="n">
        <v>36909</v>
      </c>
      <c r="CA4" s="116" t="n">
        <v>182.964004516602</v>
      </c>
      <c r="CB4" s="116" t="n">
        <v>0</v>
      </c>
      <c r="CC4" s="116"/>
      <c r="CD4" s="116"/>
      <c r="CE4" s="117"/>
      <c r="CG4" s="123" t="s">
        <v>99</v>
      </c>
      <c r="CH4" s="124" t="s">
        <v>100</v>
      </c>
      <c r="CI4" s="124" t="s">
        <v>101</v>
      </c>
      <c r="CJ4" s="124" t="s">
        <v>102</v>
      </c>
      <c r="CK4" s="124" t="s">
        <v>103</v>
      </c>
      <c r="CL4" s="124" t="s">
        <v>104</v>
      </c>
      <c r="CM4" s="124" t="s">
        <v>105</v>
      </c>
      <c r="CN4" s="124" t="s">
        <v>106</v>
      </c>
      <c r="CO4" s="124" t="s">
        <v>107</v>
      </c>
      <c r="CP4" s="124" t="s">
        <v>108</v>
      </c>
      <c r="CQ4" s="124" t="s">
        <v>109</v>
      </c>
      <c r="CR4" s="124" t="s">
        <v>110</v>
      </c>
      <c r="CS4" s="124" t="s">
        <v>111</v>
      </c>
      <c r="CU4" s="125" t="s">
        <v>99</v>
      </c>
      <c r="CV4" s="126" t="s">
        <v>100</v>
      </c>
      <c r="CW4" s="126" t="s">
        <v>101</v>
      </c>
      <c r="CX4" s="126" t="s">
        <v>102</v>
      </c>
      <c r="CY4" s="126" t="s">
        <v>103</v>
      </c>
      <c r="CZ4" s="126" t="s">
        <v>104</v>
      </c>
      <c r="DA4" s="126" t="s">
        <v>105</v>
      </c>
      <c r="DB4" s="126" t="s">
        <v>106</v>
      </c>
      <c r="DC4" s="126" t="s">
        <v>107</v>
      </c>
      <c r="DD4" s="126" t="s">
        <v>108</v>
      </c>
      <c r="DE4" s="126" t="s">
        <v>109</v>
      </c>
      <c r="DF4" s="126" t="s">
        <v>110</v>
      </c>
      <c r="DG4" s="126" t="s">
        <v>111</v>
      </c>
      <c r="DI4" s="125" t="s">
        <v>99</v>
      </c>
      <c r="DJ4" s="126" t="s">
        <v>100</v>
      </c>
      <c r="DK4" s="126" t="s">
        <v>101</v>
      </c>
      <c r="DL4" s="126" t="s">
        <v>102</v>
      </c>
      <c r="DM4" s="126" t="s">
        <v>103</v>
      </c>
      <c r="DN4" s="126" t="s">
        <v>104</v>
      </c>
      <c r="DO4" s="126" t="s">
        <v>105</v>
      </c>
      <c r="DP4" s="126" t="s">
        <v>106</v>
      </c>
      <c r="DQ4" s="126" t="s">
        <v>107</v>
      </c>
      <c r="DR4" s="126" t="s">
        <v>108</v>
      </c>
      <c r="DS4" s="126" t="s">
        <v>109</v>
      </c>
      <c r="DT4" s="126" t="s">
        <v>110</v>
      </c>
      <c r="DU4" s="126" t="s">
        <v>111</v>
      </c>
    </row>
    <row r="5" customFormat="false" ht="12.75" hidden="false" customHeight="false" outlineLevel="0" collapsed="false">
      <c r="A5" s="91" t="str">
        <f aca="true">IF(ISERROR(MATCH(D5,iRefDt,0)),"",MATCH(D5,iRefDt,0))</f>
        <v/>
      </c>
      <c r="B5" s="92" t="n">
        <f aca="false">MATCH(YEAR(D5),iSpreads)</f>
        <v>1</v>
      </c>
      <c r="C5" s="0" t="n">
        <f aca="false">MONTH(D5)</f>
        <v>1</v>
      </c>
      <c r="D5" s="93" t="n">
        <f aca="false">D4+1</f>
        <v>36911</v>
      </c>
      <c r="E5" s="94" t="n">
        <f aca="false">VLOOKUP($D5,tblPriorPrice,2)</f>
        <v>146.899993896484</v>
      </c>
      <c r="F5" s="95" t="n">
        <f aca="false">+[2]OperatingCurve!$D5</f>
        <v>0</v>
      </c>
      <c r="G5" s="96" t="n">
        <f aca="false">IF(EnergyCurve!G5&lt;200,0.001*EnergyCurve!G5+1,1.2)*EnergyCurve!G5</f>
        <v>134.4</v>
      </c>
      <c r="H5" s="96" t="n">
        <f aca="false">IF(EnergyCurve!H5&lt;200,0.001*EnergyCurve!H5+1,1.2)*EnergyCurve!H5</f>
        <v>128.225</v>
      </c>
      <c r="I5" s="96" t="n">
        <f aca="false">IF(EnergyCurve!I5&lt;200,0.001*EnergyCurve!I5+1,1.2)*EnergyCurve!I5</f>
        <v>166.025</v>
      </c>
      <c r="J5" s="94" t="n">
        <f aca="false">VLOOKUP($D5,tblPriorPrice,3)</f>
        <v>0</v>
      </c>
      <c r="K5" s="95" t="n">
        <f aca="false">+[2]OperatingCurve!$G5</f>
        <v>0</v>
      </c>
      <c r="L5" s="96" t="n">
        <f aca="false">J5+K5</f>
        <v>0</v>
      </c>
      <c r="M5" s="96" t="n">
        <f aca="false">L5</f>
        <v>0</v>
      </c>
      <c r="N5" s="96" t="n">
        <f aca="false">L5</f>
        <v>0</v>
      </c>
      <c r="O5" s="58" t="n">
        <f aca="true">IF($A5="",0,INDEX(tblPosn,$A5,2))</f>
        <v>0</v>
      </c>
      <c r="P5" s="59" t="n">
        <f aca="true">IF($A5="",0,INDEX(tblPosn,$A5,3))</f>
        <v>0</v>
      </c>
      <c r="Q5" s="59" t="n">
        <f aca="true">IF($A5="",0,INDEX(tblPosn,$A5,4))</f>
        <v>0</v>
      </c>
      <c r="R5" s="59" t="n">
        <f aca="true">IF($A5="",0,INDEX(tblPosn,$A5,5))</f>
        <v>0</v>
      </c>
      <c r="S5" s="59" t="n">
        <f aca="true">IF($A5="",0,INDEX(tblPosn,$A5,6))</f>
        <v>0</v>
      </c>
      <c r="T5" s="98" t="n">
        <f aca="false">O5*F5+P5*K5+R5*AC5+S5*AH5+Q5*X5</f>
        <v>0</v>
      </c>
      <c r="V5" s="99"/>
      <c r="W5" s="100"/>
      <c r="X5" s="101" t="n">
        <f aca="false">F5</f>
        <v>0</v>
      </c>
      <c r="Y5" s="102"/>
      <c r="Z5" s="102"/>
      <c r="AA5" s="102"/>
      <c r="AB5" s="100"/>
      <c r="AC5" s="101" t="n">
        <f aca="false">F5</f>
        <v>0</v>
      </c>
      <c r="AD5" s="102"/>
      <c r="AE5" s="102"/>
      <c r="AF5" s="103"/>
      <c r="AG5" s="100"/>
      <c r="AH5" s="101" t="n">
        <f aca="false">IF(MONTH(D5)=MONTH($V$34),$AH$34,$AH$33)</f>
        <v>0</v>
      </c>
      <c r="AI5" s="102"/>
      <c r="AJ5" s="102"/>
      <c r="AK5" s="103"/>
      <c r="AL5" s="104"/>
      <c r="AM5" s="103"/>
      <c r="AN5" s="104"/>
      <c r="AO5" s="104"/>
      <c r="AP5" s="104"/>
      <c r="AQ5" s="100"/>
      <c r="AR5" s="104"/>
      <c r="AS5" s="104"/>
      <c r="AT5" s="100"/>
      <c r="AU5" s="104"/>
      <c r="AV5" s="104"/>
      <c r="AW5" s="100"/>
      <c r="AX5" s="104"/>
      <c r="AY5" s="104"/>
      <c r="AZ5" s="100"/>
      <c r="BA5" s="74"/>
      <c r="BB5" s="120" t="s">
        <v>112</v>
      </c>
      <c r="BC5" s="127" t="n">
        <v>1</v>
      </c>
      <c r="BD5" s="122" t="s">
        <v>113</v>
      </c>
      <c r="BQ5" s="108" t="n">
        <v>36907.7428240741</v>
      </c>
      <c r="BR5" s="109" t="n">
        <v>36907.7432986111</v>
      </c>
      <c r="BS5" s="110" t="n">
        <v>36909</v>
      </c>
      <c r="BT5" s="111" t="n">
        <v>0</v>
      </c>
      <c r="BU5" s="112" t="n">
        <v>0</v>
      </c>
      <c r="BV5" s="112" t="n">
        <v>0</v>
      </c>
      <c r="BW5" s="112" t="n">
        <v>0</v>
      </c>
      <c r="BX5" s="113" t="n">
        <v>0</v>
      </c>
      <c r="BY5" s="114"/>
      <c r="BZ5" s="115" t="n">
        <v>36910</v>
      </c>
      <c r="CA5" s="116" t="n">
        <v>182.964004516602</v>
      </c>
      <c r="CB5" s="116" t="n">
        <v>0</v>
      </c>
      <c r="CC5" s="116"/>
      <c r="CD5" s="116"/>
      <c r="CE5" s="117"/>
      <c r="CG5" s="128" t="n">
        <f aca="false">BB10</f>
        <v>2001</v>
      </c>
      <c r="CH5" s="129" t="n">
        <v>0</v>
      </c>
      <c r="CI5" s="130" t="n">
        <v>0</v>
      </c>
      <c r="CJ5" s="130" t="n">
        <v>0</v>
      </c>
      <c r="CK5" s="130" t="n">
        <v>0</v>
      </c>
      <c r="CL5" s="130" t="n">
        <v>0</v>
      </c>
      <c r="CM5" s="130" t="n">
        <v>0</v>
      </c>
      <c r="CN5" s="130" t="n">
        <v>0</v>
      </c>
      <c r="CO5" s="130" t="n">
        <v>0</v>
      </c>
      <c r="CP5" s="130" t="n">
        <v>0</v>
      </c>
      <c r="CQ5" s="130" t="n">
        <v>0</v>
      </c>
      <c r="CR5" s="130" t="n">
        <v>0</v>
      </c>
      <c r="CS5" s="131" t="n">
        <v>0</v>
      </c>
      <c r="CU5" s="128" t="n">
        <f aca="false">BB10</f>
        <v>2001</v>
      </c>
      <c r="CV5" s="129" t="n">
        <v>0</v>
      </c>
      <c r="CW5" s="130" t="n">
        <v>0</v>
      </c>
      <c r="CX5" s="130" t="n">
        <v>0</v>
      </c>
      <c r="CY5" s="130" t="n">
        <v>0</v>
      </c>
      <c r="CZ5" s="130" t="n">
        <v>0</v>
      </c>
      <c r="DA5" s="130" t="n">
        <v>0</v>
      </c>
      <c r="DB5" s="130" t="n">
        <v>0</v>
      </c>
      <c r="DC5" s="130" t="n">
        <v>0</v>
      </c>
      <c r="DD5" s="130" t="n">
        <v>0</v>
      </c>
      <c r="DE5" s="130" t="n">
        <v>0</v>
      </c>
      <c r="DF5" s="130" t="n">
        <v>0</v>
      </c>
      <c r="DG5" s="131" t="n">
        <v>0</v>
      </c>
      <c r="DI5" s="128" t="n">
        <f aca="false">BB10</f>
        <v>2001</v>
      </c>
      <c r="DJ5" s="129" t="n">
        <v>0</v>
      </c>
      <c r="DK5" s="130" t="n">
        <v>0</v>
      </c>
      <c r="DL5" s="130" t="n">
        <v>0</v>
      </c>
      <c r="DM5" s="130" t="n">
        <v>0</v>
      </c>
      <c r="DN5" s="130" t="n">
        <v>0</v>
      </c>
      <c r="DO5" s="130" t="n">
        <v>0</v>
      </c>
      <c r="DP5" s="130" t="n">
        <v>0</v>
      </c>
      <c r="DQ5" s="130" t="n">
        <v>0</v>
      </c>
      <c r="DR5" s="130" t="n">
        <v>0</v>
      </c>
      <c r="DS5" s="130" t="n">
        <v>0</v>
      </c>
      <c r="DT5" s="130" t="n">
        <v>0</v>
      </c>
      <c r="DU5" s="131" t="n">
        <v>0</v>
      </c>
    </row>
    <row r="6" customFormat="false" ht="12.75" hidden="false" customHeight="false" outlineLevel="0" collapsed="false">
      <c r="A6" s="91" t="str">
        <f aca="true">IF(ISERROR(MATCH(D6,iRefDt,0)),"",MATCH(D6,iRefDt,0))</f>
        <v/>
      </c>
      <c r="B6" s="92" t="n">
        <f aca="false">MATCH(YEAR(D6),iSpreads)</f>
        <v>1</v>
      </c>
      <c r="C6" s="0" t="n">
        <f aca="false">MONTH(D6)</f>
        <v>1</v>
      </c>
      <c r="D6" s="93" t="n">
        <f aca="false">D5+1</f>
        <v>36912</v>
      </c>
      <c r="E6" s="94" t="n">
        <f aca="false">VLOOKUP($D6,tblPriorPrice,2)</f>
        <v>134.399993896484</v>
      </c>
      <c r="F6" s="95" t="n">
        <f aca="false">+[2]OperatingCurve!$D6</f>
        <v>0</v>
      </c>
      <c r="G6" s="96" t="n">
        <f aca="false">IF(EnergyCurve!G6&lt;200,0.001*EnergyCurve!G6+1,1.2)*EnergyCurve!G6</f>
        <v>122.1</v>
      </c>
      <c r="H6" s="96" t="n">
        <f aca="false">IF(EnergyCurve!H6&lt;200,0.001*EnergyCurve!H6+1,1.2)*EnergyCurve!H6</f>
        <v>116.025</v>
      </c>
      <c r="I6" s="96" t="n">
        <f aca="false">IF(EnergyCurve!I6&lt;200,0.001*EnergyCurve!I6+1,1.2)*EnergyCurve!I6</f>
        <v>153.225</v>
      </c>
      <c r="J6" s="94" t="n">
        <f aca="false">VLOOKUP($D6,tblPriorPrice,3)</f>
        <v>0</v>
      </c>
      <c r="K6" s="95" t="n">
        <f aca="false">+[2]OperatingCurve!$G6</f>
        <v>0</v>
      </c>
      <c r="L6" s="96" t="n">
        <f aca="false">J6+K6</f>
        <v>0</v>
      </c>
      <c r="M6" s="96" t="n">
        <f aca="false">L6</f>
        <v>0</v>
      </c>
      <c r="N6" s="96" t="n">
        <f aca="false">L6</f>
        <v>0</v>
      </c>
      <c r="O6" s="58" t="n">
        <f aca="true">IF($A6="",0,INDEX(tblPosn,$A6,2))</f>
        <v>0</v>
      </c>
      <c r="P6" s="59" t="n">
        <f aca="true">IF($A6="",0,INDEX(tblPosn,$A6,3))</f>
        <v>0</v>
      </c>
      <c r="Q6" s="59" t="n">
        <f aca="true">IF($A6="",0,INDEX(tblPosn,$A6,4))</f>
        <v>0</v>
      </c>
      <c r="R6" s="59" t="n">
        <f aca="true">IF($A6="",0,INDEX(tblPosn,$A6,5))</f>
        <v>0</v>
      </c>
      <c r="S6" s="59" t="n">
        <f aca="true">IF($A6="",0,INDEX(tblPosn,$A6,6))</f>
        <v>0</v>
      </c>
      <c r="T6" s="98" t="n">
        <f aca="false">O6*F6+P6*K6+R6*AC6+S6*AH6+Q6*X6</f>
        <v>0</v>
      </c>
      <c r="V6" s="99"/>
      <c r="W6" s="100"/>
      <c r="X6" s="101" t="n">
        <f aca="false">F6</f>
        <v>0</v>
      </c>
      <c r="Y6" s="102"/>
      <c r="Z6" s="102"/>
      <c r="AA6" s="102"/>
      <c r="AB6" s="100"/>
      <c r="AC6" s="101" t="n">
        <f aca="false">F6</f>
        <v>0</v>
      </c>
      <c r="AD6" s="102"/>
      <c r="AE6" s="102"/>
      <c r="AF6" s="103"/>
      <c r="AG6" s="100"/>
      <c r="AH6" s="101" t="n">
        <f aca="false">IF(MONTH(D6)=MONTH($V$34),$AH$34,$AH$33)</f>
        <v>0</v>
      </c>
      <c r="AI6" s="102"/>
      <c r="AJ6" s="102"/>
      <c r="AK6" s="103"/>
      <c r="AL6" s="104"/>
      <c r="AM6" s="103"/>
      <c r="AN6" s="104"/>
      <c r="AO6" s="104"/>
      <c r="AP6" s="104"/>
      <c r="AQ6" s="100"/>
      <c r="AR6" s="104"/>
      <c r="AS6" s="104"/>
      <c r="AT6" s="100"/>
      <c r="AU6" s="104"/>
      <c r="AV6" s="104"/>
      <c r="AW6" s="100"/>
      <c r="AX6" s="104"/>
      <c r="AY6" s="104"/>
      <c r="AZ6" s="100"/>
      <c r="BA6" s="74"/>
      <c r="BB6" s="132" t="s">
        <v>114</v>
      </c>
      <c r="BC6" s="133" t="n">
        <v>1</v>
      </c>
      <c r="BD6" s="134"/>
      <c r="BQ6" s="108" t="n">
        <v>36907.7428240741</v>
      </c>
      <c r="BR6" s="109" t="n">
        <v>36907.7432986111</v>
      </c>
      <c r="BS6" s="110" t="n">
        <v>36910</v>
      </c>
      <c r="BT6" s="111" t="n">
        <v>0</v>
      </c>
      <c r="BU6" s="112" t="n">
        <v>0</v>
      </c>
      <c r="BV6" s="112" t="n">
        <v>0</v>
      </c>
      <c r="BW6" s="112" t="n">
        <v>0</v>
      </c>
      <c r="BX6" s="113" t="n">
        <v>0</v>
      </c>
      <c r="BY6" s="114"/>
      <c r="BZ6" s="115" t="n">
        <v>36911</v>
      </c>
      <c r="CA6" s="116" t="n">
        <v>146.899993896484</v>
      </c>
      <c r="CB6" s="116" t="n">
        <v>0</v>
      </c>
      <c r="CC6" s="116"/>
      <c r="CD6" s="116"/>
      <c r="CE6" s="117"/>
      <c r="CG6" s="135" t="n">
        <f aca="false">BB11</f>
        <v>2002</v>
      </c>
      <c r="CH6" s="136" t="n">
        <v>0</v>
      </c>
      <c r="CI6" s="137" t="n">
        <v>0</v>
      </c>
      <c r="CJ6" s="137" t="n">
        <v>0</v>
      </c>
      <c r="CK6" s="137" t="n">
        <v>0</v>
      </c>
      <c r="CL6" s="137" t="n">
        <v>0</v>
      </c>
      <c r="CM6" s="137" t="n">
        <v>0</v>
      </c>
      <c r="CN6" s="137" t="n">
        <v>0</v>
      </c>
      <c r="CO6" s="137" t="n">
        <v>0</v>
      </c>
      <c r="CP6" s="137" t="n">
        <v>0</v>
      </c>
      <c r="CQ6" s="137" t="n">
        <v>0</v>
      </c>
      <c r="CR6" s="137" t="n">
        <v>0</v>
      </c>
      <c r="CS6" s="138" t="n">
        <v>0</v>
      </c>
      <c r="CU6" s="135" t="n">
        <f aca="false">BB11</f>
        <v>2002</v>
      </c>
      <c r="CV6" s="136" t="n">
        <v>0</v>
      </c>
      <c r="CW6" s="137" t="n">
        <v>0</v>
      </c>
      <c r="CX6" s="137" t="n">
        <v>0</v>
      </c>
      <c r="CY6" s="137" t="n">
        <v>0</v>
      </c>
      <c r="CZ6" s="137" t="n">
        <v>0</v>
      </c>
      <c r="DA6" s="137" t="n">
        <v>0</v>
      </c>
      <c r="DB6" s="137" t="n">
        <v>0</v>
      </c>
      <c r="DC6" s="137" t="n">
        <v>0</v>
      </c>
      <c r="DD6" s="137" t="n">
        <v>0</v>
      </c>
      <c r="DE6" s="137" t="n">
        <v>0</v>
      </c>
      <c r="DF6" s="137" t="n">
        <v>0</v>
      </c>
      <c r="DG6" s="138" t="n">
        <v>0</v>
      </c>
      <c r="DI6" s="135" t="n">
        <f aca="false">BB11</f>
        <v>2002</v>
      </c>
      <c r="DJ6" s="136" t="n">
        <v>0</v>
      </c>
      <c r="DK6" s="137" t="n">
        <v>0</v>
      </c>
      <c r="DL6" s="137" t="n">
        <v>0</v>
      </c>
      <c r="DM6" s="137" t="n">
        <v>0</v>
      </c>
      <c r="DN6" s="137" t="n">
        <v>0</v>
      </c>
      <c r="DO6" s="137" t="n">
        <v>0</v>
      </c>
      <c r="DP6" s="137" t="n">
        <v>0</v>
      </c>
      <c r="DQ6" s="137" t="n">
        <v>0</v>
      </c>
      <c r="DR6" s="137" t="n">
        <v>0</v>
      </c>
      <c r="DS6" s="137" t="n">
        <v>0</v>
      </c>
      <c r="DT6" s="137" t="n">
        <v>0</v>
      </c>
      <c r="DU6" s="138" t="n">
        <v>0</v>
      </c>
    </row>
    <row r="7" customFormat="false" ht="12.75" hidden="false" customHeight="false" outlineLevel="0" collapsed="false">
      <c r="A7" s="91" t="n">
        <f aca="true">IF(ISERROR(MATCH(D7,iRefDt,0)),"",MATCH(D7,iRefDt,0))</f>
        <v>5</v>
      </c>
      <c r="B7" s="92" t="n">
        <f aca="false">MATCH(YEAR(D7),iSpreads)</f>
        <v>1</v>
      </c>
      <c r="C7" s="0" t="n">
        <f aca="false">MONTH(D7)</f>
        <v>1</v>
      </c>
      <c r="D7" s="93" t="n">
        <f aca="false">D6+1</f>
        <v>36913</v>
      </c>
      <c r="E7" s="94" t="n">
        <f aca="false">VLOOKUP($D7,tblPriorPrice,2)</f>
        <v>182.964004516602</v>
      </c>
      <c r="F7" s="95" t="n">
        <f aca="false">+[2]OperatingCurve!$D7</f>
        <v>0</v>
      </c>
      <c r="G7" s="96" t="n">
        <f aca="false">IF(EnergyCurve!G7&lt;200,0.001*EnergyCurve!G7+1,1.2)*EnergyCurve!G7</f>
        <v>157.044</v>
      </c>
      <c r="H7" s="96" t="n">
        <f aca="false">IF(EnergyCurve!H7&lt;200,0.001*EnergyCurve!H7+1,1.2)*EnergyCurve!H7</f>
        <v>150.689</v>
      </c>
      <c r="I7" s="96" t="n">
        <f aca="false">IF(EnergyCurve!I7&lt;200,0.001*EnergyCurve!I7+1,1.2)*EnergyCurve!I7</f>
        <v>189.569</v>
      </c>
      <c r="J7" s="94" t="n">
        <f aca="false">VLOOKUP($D7,tblPriorPrice,3)</f>
        <v>0</v>
      </c>
      <c r="K7" s="95" t="n">
        <f aca="false">+[2]OperatingCurve!$G7</f>
        <v>0</v>
      </c>
      <c r="L7" s="96" t="n">
        <f aca="false">J7+K7</f>
        <v>0</v>
      </c>
      <c r="M7" s="96" t="n">
        <f aca="false">L7</f>
        <v>0</v>
      </c>
      <c r="N7" s="96" t="n">
        <f aca="false">L7</f>
        <v>0</v>
      </c>
      <c r="O7" s="58" t="n">
        <f aca="true">IF($A7="",0,INDEX(tblPosn,$A7,2))</f>
        <v>0</v>
      </c>
      <c r="P7" s="59" t="n">
        <f aca="true">IF($A7="",0,INDEX(tblPosn,$A7,3))</f>
        <v>0</v>
      </c>
      <c r="Q7" s="59" t="n">
        <f aca="true">IF($A7="",0,INDEX(tblPosn,$A7,4))</f>
        <v>0</v>
      </c>
      <c r="R7" s="59" t="n">
        <f aca="true">IF($A7="",0,INDEX(tblPosn,$A7,5))</f>
        <v>0</v>
      </c>
      <c r="S7" s="59" t="n">
        <f aca="true">IF($A7="",0,INDEX(tblPosn,$A7,6))</f>
        <v>0</v>
      </c>
      <c r="T7" s="98" t="n">
        <f aca="false">O7*F7+P7*K7+R7*AC7+S7*AH7+Q7*X7</f>
        <v>0</v>
      </c>
      <c r="V7" s="99"/>
      <c r="W7" s="100"/>
      <c r="X7" s="101" t="n">
        <f aca="false">F7</f>
        <v>0</v>
      </c>
      <c r="Y7" s="102"/>
      <c r="Z7" s="102"/>
      <c r="AA7" s="102"/>
      <c r="AB7" s="100"/>
      <c r="AC7" s="101" t="n">
        <f aca="false">F7</f>
        <v>0</v>
      </c>
      <c r="AD7" s="102"/>
      <c r="AE7" s="102"/>
      <c r="AF7" s="103"/>
      <c r="AG7" s="100"/>
      <c r="AH7" s="101" t="n">
        <f aca="false">IF(MONTH(D7)=MONTH($V$34),$AH$34,$AH$33)</f>
        <v>0</v>
      </c>
      <c r="AI7" s="102"/>
      <c r="AJ7" s="102"/>
      <c r="AK7" s="103"/>
      <c r="AL7" s="104"/>
      <c r="AM7" s="103"/>
      <c r="AN7" s="104"/>
      <c r="AO7" s="104"/>
      <c r="AP7" s="104"/>
      <c r="AQ7" s="100"/>
      <c r="AR7" s="104"/>
      <c r="AS7" s="104"/>
      <c r="AT7" s="100"/>
      <c r="AU7" s="104"/>
      <c r="AV7" s="104"/>
      <c r="AW7" s="100"/>
      <c r="AX7" s="104"/>
      <c r="AY7" s="104"/>
      <c r="AZ7" s="100"/>
      <c r="BA7" s="74"/>
      <c r="BB7" s="139" t="s">
        <v>115</v>
      </c>
      <c r="BC7" s="140" t="s">
        <v>51</v>
      </c>
      <c r="BD7" s="140"/>
      <c r="BE7" s="140"/>
      <c r="BF7" s="140" t="s">
        <v>116</v>
      </c>
      <c r="BG7" s="140"/>
      <c r="BH7" s="140"/>
      <c r="BQ7" s="108" t="n">
        <v>36907.7428240741</v>
      </c>
      <c r="BR7" s="109" t="n">
        <v>36907.7432986111</v>
      </c>
      <c r="BS7" s="110" t="n">
        <v>36913</v>
      </c>
      <c r="BT7" s="111" t="n">
        <v>0</v>
      </c>
      <c r="BU7" s="112" t="n">
        <v>0</v>
      </c>
      <c r="BV7" s="112" t="n">
        <v>0</v>
      </c>
      <c r="BW7" s="112" t="n">
        <v>0</v>
      </c>
      <c r="BX7" s="113" t="n">
        <v>0</v>
      </c>
      <c r="BY7" s="114"/>
      <c r="BZ7" s="115" t="n">
        <v>36912</v>
      </c>
      <c r="CA7" s="116" t="n">
        <v>134.399993896484</v>
      </c>
      <c r="CB7" s="116" t="n">
        <v>0</v>
      </c>
      <c r="CC7" s="116"/>
      <c r="CD7" s="116"/>
      <c r="CE7" s="117"/>
      <c r="CG7" s="135" t="n">
        <f aca="false">BB12</f>
        <v>2003</v>
      </c>
      <c r="CH7" s="136" t="n">
        <v>0</v>
      </c>
      <c r="CI7" s="137" t="n">
        <v>0</v>
      </c>
      <c r="CJ7" s="137" t="n">
        <v>0</v>
      </c>
      <c r="CK7" s="137" t="n">
        <v>0</v>
      </c>
      <c r="CL7" s="137" t="n">
        <v>0</v>
      </c>
      <c r="CM7" s="137" t="n">
        <v>0</v>
      </c>
      <c r="CN7" s="137" t="n">
        <v>0</v>
      </c>
      <c r="CO7" s="137" t="n">
        <v>0</v>
      </c>
      <c r="CP7" s="137" t="n">
        <v>0</v>
      </c>
      <c r="CQ7" s="137" t="n">
        <v>0</v>
      </c>
      <c r="CR7" s="137" t="n">
        <v>0</v>
      </c>
      <c r="CS7" s="138" t="n">
        <v>0</v>
      </c>
      <c r="CU7" s="135" t="n">
        <f aca="false">BB12</f>
        <v>2003</v>
      </c>
      <c r="CV7" s="136" t="n">
        <v>0</v>
      </c>
      <c r="CW7" s="137" t="n">
        <v>0</v>
      </c>
      <c r="CX7" s="137" t="n">
        <v>0</v>
      </c>
      <c r="CY7" s="137" t="n">
        <v>0</v>
      </c>
      <c r="CZ7" s="137" t="n">
        <v>0</v>
      </c>
      <c r="DA7" s="137" t="n">
        <v>0</v>
      </c>
      <c r="DB7" s="137" t="n">
        <v>0</v>
      </c>
      <c r="DC7" s="137" t="n">
        <v>0</v>
      </c>
      <c r="DD7" s="137" t="n">
        <v>0</v>
      </c>
      <c r="DE7" s="137" t="n">
        <v>0</v>
      </c>
      <c r="DF7" s="137" t="n">
        <v>0</v>
      </c>
      <c r="DG7" s="138" t="n">
        <v>0</v>
      </c>
      <c r="DH7" s="0" t="s">
        <v>117</v>
      </c>
      <c r="DI7" s="135" t="n">
        <f aca="false">BB12</f>
        <v>2003</v>
      </c>
      <c r="DJ7" s="136" t="n">
        <v>0</v>
      </c>
      <c r="DK7" s="137" t="n">
        <v>0</v>
      </c>
      <c r="DL7" s="137" t="n">
        <v>0</v>
      </c>
      <c r="DM7" s="137" t="n">
        <v>0</v>
      </c>
      <c r="DN7" s="137" t="n">
        <v>0</v>
      </c>
      <c r="DO7" s="137" t="n">
        <v>0</v>
      </c>
      <c r="DP7" s="137" t="n">
        <v>0</v>
      </c>
      <c r="DQ7" s="137" t="n">
        <v>0</v>
      </c>
      <c r="DR7" s="137" t="n">
        <v>0</v>
      </c>
      <c r="DS7" s="137" t="n">
        <v>0</v>
      </c>
      <c r="DT7" s="137" t="n">
        <v>0</v>
      </c>
      <c r="DU7" s="138" t="n">
        <v>0</v>
      </c>
    </row>
    <row r="8" customFormat="false" ht="12.75" hidden="false" customHeight="false" outlineLevel="0" collapsed="false">
      <c r="A8" s="91" t="n">
        <f aca="true">IF(ISERROR(MATCH(D8,iRefDt,0)),"",MATCH(D8,iRefDt,0))</f>
        <v>6</v>
      </c>
      <c r="B8" s="92" t="n">
        <f aca="false">MATCH(YEAR(D8),iSpreads)</f>
        <v>1</v>
      </c>
      <c r="C8" s="0" t="n">
        <f aca="false">MONTH(D8)</f>
        <v>1</v>
      </c>
      <c r="D8" s="93" t="n">
        <f aca="false">D7+1</f>
        <v>36914</v>
      </c>
      <c r="E8" s="94" t="n">
        <f aca="false">VLOOKUP($D8,tblPriorPrice,2)</f>
        <v>182.964004516602</v>
      </c>
      <c r="F8" s="95" t="n">
        <f aca="false">+[2]OperatingCurve!$D8</f>
        <v>0</v>
      </c>
      <c r="G8" s="96" t="n">
        <f aca="false">IF(EnergyCurve!G8&lt;200,0.001*EnergyCurve!G8+1,1.2)*EnergyCurve!G8</f>
        <v>157.044</v>
      </c>
      <c r="H8" s="96" t="n">
        <f aca="false">IF(EnergyCurve!H8&lt;200,0.001*EnergyCurve!H8+1,1.2)*EnergyCurve!H8</f>
        <v>150.689</v>
      </c>
      <c r="I8" s="96" t="n">
        <f aca="false">IF(EnergyCurve!I8&lt;200,0.001*EnergyCurve!I8+1,1.2)*EnergyCurve!I8</f>
        <v>189.569</v>
      </c>
      <c r="J8" s="94" t="n">
        <f aca="false">VLOOKUP($D8,tblPriorPrice,3)</f>
        <v>0</v>
      </c>
      <c r="K8" s="95" t="n">
        <f aca="false">+[2]OperatingCurve!$G8</f>
        <v>0</v>
      </c>
      <c r="L8" s="96" t="n">
        <f aca="false">J8+K8</f>
        <v>0</v>
      </c>
      <c r="M8" s="96" t="n">
        <f aca="false">L8</f>
        <v>0</v>
      </c>
      <c r="N8" s="96" t="n">
        <f aca="false">L8</f>
        <v>0</v>
      </c>
      <c r="O8" s="58" t="n">
        <f aca="true">IF($A8="",0,INDEX(tblPosn,$A8,2))</f>
        <v>0</v>
      </c>
      <c r="P8" s="59" t="n">
        <f aca="true">IF($A8="",0,INDEX(tblPosn,$A8,3))</f>
        <v>0</v>
      </c>
      <c r="Q8" s="59" t="n">
        <f aca="true">IF($A8="",0,INDEX(tblPosn,$A8,4))</f>
        <v>0</v>
      </c>
      <c r="R8" s="59" t="n">
        <f aca="true">IF($A8="",0,INDEX(tblPosn,$A8,5))</f>
        <v>0</v>
      </c>
      <c r="S8" s="59" t="n">
        <f aca="true">IF($A8="",0,INDEX(tblPosn,$A8,6))</f>
        <v>0</v>
      </c>
      <c r="T8" s="98" t="n">
        <f aca="false">O8*F8+P8*K8+R8*AC8+S8*AH8+Q8*X8</f>
        <v>0</v>
      </c>
      <c r="V8" s="99"/>
      <c r="W8" s="100"/>
      <c r="X8" s="101" t="n">
        <f aca="false">F8</f>
        <v>0</v>
      </c>
      <c r="Y8" s="102"/>
      <c r="Z8" s="102"/>
      <c r="AA8" s="102"/>
      <c r="AB8" s="100"/>
      <c r="AC8" s="101" t="n">
        <f aca="false">F8</f>
        <v>0</v>
      </c>
      <c r="AD8" s="102"/>
      <c r="AE8" s="102"/>
      <c r="AF8" s="103"/>
      <c r="AG8" s="100"/>
      <c r="AH8" s="101" t="n">
        <f aca="false">IF(MONTH(D8)=MONTH($V$34),$AH$34,$AH$33)</f>
        <v>0</v>
      </c>
      <c r="AI8" s="102"/>
      <c r="AJ8" s="102"/>
      <c r="AK8" s="103"/>
      <c r="AL8" s="104"/>
      <c r="AM8" s="103"/>
      <c r="AN8" s="104"/>
      <c r="AO8" s="104"/>
      <c r="AP8" s="104"/>
      <c r="AQ8" s="100"/>
      <c r="AR8" s="104"/>
      <c r="AS8" s="104"/>
      <c r="AT8" s="100"/>
      <c r="AU8" s="104"/>
      <c r="AV8" s="104"/>
      <c r="AW8" s="100"/>
      <c r="AX8" s="104"/>
      <c r="AY8" s="104"/>
      <c r="AZ8" s="100"/>
      <c r="BA8" s="74"/>
      <c r="BB8" s="123"/>
      <c r="BC8" s="123" t="s">
        <v>118</v>
      </c>
      <c r="BD8" s="141" t="s">
        <v>119</v>
      </c>
      <c r="BE8" s="141" t="s">
        <v>89</v>
      </c>
      <c r="BF8" s="123" t="s">
        <v>118</v>
      </c>
      <c r="BG8" s="141" t="s">
        <v>119</v>
      </c>
      <c r="BH8" s="141" t="s">
        <v>89</v>
      </c>
      <c r="BQ8" s="108" t="n">
        <v>36907.7428240741</v>
      </c>
      <c r="BR8" s="109" t="n">
        <v>36907.7432986111</v>
      </c>
      <c r="BS8" s="110" t="n">
        <v>36914</v>
      </c>
      <c r="BT8" s="111" t="n">
        <v>0</v>
      </c>
      <c r="BU8" s="112" t="n">
        <v>0</v>
      </c>
      <c r="BV8" s="112" t="n">
        <v>0</v>
      </c>
      <c r="BW8" s="112" t="n">
        <v>0</v>
      </c>
      <c r="BX8" s="113" t="n">
        <v>0</v>
      </c>
      <c r="BY8" s="114"/>
      <c r="BZ8" s="115" t="n">
        <v>36913</v>
      </c>
      <c r="CA8" s="116" t="n">
        <v>182.964004516602</v>
      </c>
      <c r="CB8" s="116" t="n">
        <v>0</v>
      </c>
      <c r="CC8" s="116"/>
      <c r="CD8" s="116"/>
      <c r="CE8" s="117"/>
      <c r="CG8" s="135" t="n">
        <f aca="false">BB13</f>
        <v>2004</v>
      </c>
      <c r="CH8" s="136" t="n">
        <v>0</v>
      </c>
      <c r="CI8" s="137" t="n">
        <v>0</v>
      </c>
      <c r="CJ8" s="137" t="n">
        <v>0</v>
      </c>
      <c r="CK8" s="137" t="n">
        <v>0</v>
      </c>
      <c r="CL8" s="137" t="n">
        <v>0</v>
      </c>
      <c r="CM8" s="137" t="n">
        <v>0</v>
      </c>
      <c r="CN8" s="137" t="n">
        <v>0</v>
      </c>
      <c r="CO8" s="137" t="n">
        <v>0</v>
      </c>
      <c r="CP8" s="137" t="n">
        <v>0</v>
      </c>
      <c r="CQ8" s="137" t="n">
        <v>0</v>
      </c>
      <c r="CR8" s="137" t="n">
        <v>0</v>
      </c>
      <c r="CS8" s="138" t="n">
        <v>0</v>
      </c>
      <c r="CU8" s="135" t="n">
        <f aca="false">BB13</f>
        <v>2004</v>
      </c>
      <c r="CV8" s="136" t="n">
        <v>0</v>
      </c>
      <c r="CW8" s="137" t="n">
        <v>0</v>
      </c>
      <c r="CX8" s="137" t="n">
        <v>0</v>
      </c>
      <c r="CY8" s="137" t="n">
        <v>0</v>
      </c>
      <c r="CZ8" s="137" t="n">
        <v>0</v>
      </c>
      <c r="DA8" s="137" t="n">
        <v>0</v>
      </c>
      <c r="DB8" s="137" t="n">
        <v>0</v>
      </c>
      <c r="DC8" s="137" t="n">
        <v>0</v>
      </c>
      <c r="DD8" s="137" t="n">
        <v>0</v>
      </c>
      <c r="DE8" s="137" t="n">
        <v>0</v>
      </c>
      <c r="DF8" s="137" t="n">
        <v>0</v>
      </c>
      <c r="DG8" s="138" t="n">
        <v>0</v>
      </c>
      <c r="DI8" s="135" t="n">
        <f aca="false">BB13</f>
        <v>2004</v>
      </c>
      <c r="DJ8" s="136" t="n">
        <v>0</v>
      </c>
      <c r="DK8" s="137" t="n">
        <v>0</v>
      </c>
      <c r="DL8" s="137" t="n">
        <v>0</v>
      </c>
      <c r="DM8" s="137" t="n">
        <v>0</v>
      </c>
      <c r="DN8" s="137" t="n">
        <v>0</v>
      </c>
      <c r="DO8" s="137" t="n">
        <v>0</v>
      </c>
      <c r="DP8" s="137" t="n">
        <v>0</v>
      </c>
      <c r="DQ8" s="137" t="n">
        <v>0</v>
      </c>
      <c r="DR8" s="137" t="n">
        <v>0</v>
      </c>
      <c r="DS8" s="137" t="n">
        <v>0</v>
      </c>
      <c r="DT8" s="137" t="n">
        <v>0</v>
      </c>
      <c r="DU8" s="138" t="n">
        <v>0</v>
      </c>
    </row>
    <row r="9" customFormat="false" ht="12.75" hidden="false" customHeight="false" outlineLevel="0" collapsed="false">
      <c r="A9" s="91" t="n">
        <f aca="true">IF(ISERROR(MATCH(D9,iRefDt,0)),"",MATCH(D9,iRefDt,0))</f>
        <v>7</v>
      </c>
      <c r="B9" s="92" t="n">
        <f aca="false">MATCH(YEAR(D9),iSpreads)</f>
        <v>1</v>
      </c>
      <c r="C9" s="0" t="n">
        <f aca="false">MONTH(D9)</f>
        <v>1</v>
      </c>
      <c r="D9" s="93" t="n">
        <f aca="false">D8+1</f>
        <v>36915</v>
      </c>
      <c r="E9" s="94" t="n">
        <f aca="false">VLOOKUP($D9,tblPriorPrice,2)</f>
        <v>182.964004516602</v>
      </c>
      <c r="F9" s="95" t="n">
        <f aca="false">+[2]OperatingCurve!$D9</f>
        <v>0</v>
      </c>
      <c r="G9" s="96" t="n">
        <f aca="false">IF(EnergyCurve!G9&lt;200,0.001*EnergyCurve!G9+1,1.2)*EnergyCurve!G9</f>
        <v>157.044</v>
      </c>
      <c r="H9" s="96" t="n">
        <f aca="false">IF(EnergyCurve!H9&lt;200,0.001*EnergyCurve!H9+1,1.2)*EnergyCurve!H9</f>
        <v>150.689</v>
      </c>
      <c r="I9" s="96" t="n">
        <f aca="false">IF(EnergyCurve!I9&lt;200,0.001*EnergyCurve!I9+1,1.2)*EnergyCurve!I9</f>
        <v>189.569</v>
      </c>
      <c r="J9" s="94" t="n">
        <f aca="false">VLOOKUP($D9,tblPriorPrice,3)</f>
        <v>0</v>
      </c>
      <c r="K9" s="95" t="n">
        <f aca="false">+[2]OperatingCurve!$G9</f>
        <v>0</v>
      </c>
      <c r="L9" s="96" t="n">
        <f aca="false">J9+K9</f>
        <v>0</v>
      </c>
      <c r="M9" s="96" t="n">
        <f aca="false">L9</f>
        <v>0</v>
      </c>
      <c r="N9" s="96" t="n">
        <f aca="false">L9</f>
        <v>0</v>
      </c>
      <c r="O9" s="58" t="n">
        <f aca="true">IF($A9="",0,INDEX(tblPosn,$A9,2))</f>
        <v>0</v>
      </c>
      <c r="P9" s="59" t="n">
        <f aca="true">IF($A9="",0,INDEX(tblPosn,$A9,3))</f>
        <v>0</v>
      </c>
      <c r="Q9" s="59" t="n">
        <f aca="true">IF($A9="",0,INDEX(tblPosn,$A9,4))</f>
        <v>0</v>
      </c>
      <c r="R9" s="59" t="n">
        <f aca="true">IF($A9="",0,INDEX(tblPosn,$A9,5))</f>
        <v>0</v>
      </c>
      <c r="S9" s="59" t="n">
        <f aca="true">IF($A9="",0,INDEX(tblPosn,$A9,6))</f>
        <v>0</v>
      </c>
      <c r="T9" s="98" t="n">
        <f aca="false">O9*F9+P9*K9+R9*AC9+S9*AH9+Q9*X9</f>
        <v>0</v>
      </c>
      <c r="V9" s="99"/>
      <c r="W9" s="100"/>
      <c r="X9" s="101" t="n">
        <f aca="false">F9</f>
        <v>0</v>
      </c>
      <c r="Y9" s="102"/>
      <c r="Z9" s="102"/>
      <c r="AA9" s="102"/>
      <c r="AB9" s="100"/>
      <c r="AC9" s="101" t="n">
        <f aca="false">F9</f>
        <v>0</v>
      </c>
      <c r="AD9" s="102"/>
      <c r="AE9" s="102"/>
      <c r="AF9" s="103"/>
      <c r="AG9" s="100"/>
      <c r="AH9" s="101" t="n">
        <f aca="false">IF(MONTH(D9)=MONTH($V$34),$AH$34,$AH$33)</f>
        <v>0</v>
      </c>
      <c r="AI9" s="102"/>
      <c r="AJ9" s="102"/>
      <c r="AK9" s="103"/>
      <c r="AL9" s="104"/>
      <c r="AM9" s="103"/>
      <c r="AN9" s="104"/>
      <c r="AO9" s="104"/>
      <c r="AP9" s="104"/>
      <c r="AQ9" s="100"/>
      <c r="AR9" s="104"/>
      <c r="AS9" s="104"/>
      <c r="AT9" s="100"/>
      <c r="AU9" s="104"/>
      <c r="AV9" s="104"/>
      <c r="AW9" s="100"/>
      <c r="AX9" s="104"/>
      <c r="AY9" s="104"/>
      <c r="AZ9" s="100"/>
      <c r="BA9" s="74"/>
      <c r="BB9" s="142" t="s">
        <v>99</v>
      </c>
      <c r="BC9" s="142" t="s">
        <v>120</v>
      </c>
      <c r="BD9" s="143" t="s">
        <v>120</v>
      </c>
      <c r="BE9" s="143" t="s">
        <v>121</v>
      </c>
      <c r="BF9" s="142" t="s">
        <v>120</v>
      </c>
      <c r="BG9" s="143" t="s">
        <v>120</v>
      </c>
      <c r="BH9" s="143" t="s">
        <v>121</v>
      </c>
      <c r="BQ9" s="108" t="n">
        <v>36907.7428240741</v>
      </c>
      <c r="BR9" s="109" t="n">
        <v>36907.7432986111</v>
      </c>
      <c r="BS9" s="110" t="n">
        <v>36915</v>
      </c>
      <c r="BT9" s="111" t="n">
        <v>0</v>
      </c>
      <c r="BU9" s="112" t="n">
        <v>0</v>
      </c>
      <c r="BV9" s="112" t="n">
        <v>0</v>
      </c>
      <c r="BW9" s="112" t="n">
        <v>0</v>
      </c>
      <c r="BX9" s="113" t="n">
        <v>0</v>
      </c>
      <c r="BY9" s="114"/>
      <c r="BZ9" s="115" t="n">
        <v>36914</v>
      </c>
      <c r="CA9" s="116" t="n">
        <v>182.964004516602</v>
      </c>
      <c r="CB9" s="116" t="n">
        <v>0</v>
      </c>
      <c r="CC9" s="116"/>
      <c r="CD9" s="116"/>
      <c r="CE9" s="117"/>
      <c r="CG9" s="135" t="n">
        <f aca="false">BB14</f>
        <v>2005</v>
      </c>
      <c r="CH9" s="136" t="n">
        <v>0</v>
      </c>
      <c r="CI9" s="137" t="n">
        <v>0</v>
      </c>
      <c r="CJ9" s="137" t="n">
        <v>0</v>
      </c>
      <c r="CK9" s="137" t="n">
        <v>0</v>
      </c>
      <c r="CL9" s="137" t="n">
        <v>0</v>
      </c>
      <c r="CM9" s="137" t="n">
        <v>0</v>
      </c>
      <c r="CN9" s="137" t="n">
        <v>0</v>
      </c>
      <c r="CO9" s="137" t="n">
        <v>0</v>
      </c>
      <c r="CP9" s="137" t="n">
        <v>0</v>
      </c>
      <c r="CQ9" s="137" t="n">
        <v>0</v>
      </c>
      <c r="CR9" s="137" t="n">
        <v>0</v>
      </c>
      <c r="CS9" s="138" t="n">
        <v>0</v>
      </c>
      <c r="CU9" s="135" t="n">
        <f aca="false">BB14</f>
        <v>2005</v>
      </c>
      <c r="CV9" s="136" t="n">
        <v>0</v>
      </c>
      <c r="CW9" s="137" t="n">
        <v>0</v>
      </c>
      <c r="CX9" s="137" t="n">
        <v>0</v>
      </c>
      <c r="CY9" s="137" t="n">
        <v>0</v>
      </c>
      <c r="CZ9" s="137" t="n">
        <v>0</v>
      </c>
      <c r="DA9" s="137" t="n">
        <v>0</v>
      </c>
      <c r="DB9" s="137" t="n">
        <v>0</v>
      </c>
      <c r="DC9" s="137" t="n">
        <v>0</v>
      </c>
      <c r="DD9" s="137" t="n">
        <v>0</v>
      </c>
      <c r="DE9" s="137" t="n">
        <v>0</v>
      </c>
      <c r="DF9" s="137" t="n">
        <v>0</v>
      </c>
      <c r="DG9" s="138" t="n">
        <v>0</v>
      </c>
      <c r="DI9" s="135" t="n">
        <f aca="false">BB14</f>
        <v>2005</v>
      </c>
      <c r="DJ9" s="136" t="n">
        <v>0</v>
      </c>
      <c r="DK9" s="137" t="n">
        <v>0</v>
      </c>
      <c r="DL9" s="137" t="n">
        <v>0</v>
      </c>
      <c r="DM9" s="137" t="n">
        <v>0</v>
      </c>
      <c r="DN9" s="137" t="n">
        <v>0</v>
      </c>
      <c r="DO9" s="137" t="n">
        <v>0</v>
      </c>
      <c r="DP9" s="137" t="n">
        <v>0</v>
      </c>
      <c r="DQ9" s="137" t="n">
        <v>0</v>
      </c>
      <c r="DR9" s="137" t="n">
        <v>0</v>
      </c>
      <c r="DS9" s="137" t="n">
        <v>0</v>
      </c>
      <c r="DT9" s="137" t="n">
        <v>0</v>
      </c>
      <c r="DU9" s="138" t="n">
        <v>0</v>
      </c>
    </row>
    <row r="10" customFormat="false" ht="12.75" hidden="false" customHeight="false" outlineLevel="0" collapsed="false">
      <c r="A10" s="91" t="n">
        <f aca="true">IF(ISERROR(MATCH(D10,iRefDt,0)),"",MATCH(D10,iRefDt,0))</f>
        <v>8</v>
      </c>
      <c r="B10" s="92" t="n">
        <f aca="false">MATCH(YEAR(D10),iSpreads)</f>
        <v>1</v>
      </c>
      <c r="C10" s="0" t="n">
        <f aca="false">MONTH(D10)</f>
        <v>1</v>
      </c>
      <c r="D10" s="93" t="n">
        <f aca="false">D9+1</f>
        <v>36916</v>
      </c>
      <c r="E10" s="94" t="n">
        <f aca="false">VLOOKUP($D10,tblPriorPrice,2)</f>
        <v>182.964004516602</v>
      </c>
      <c r="F10" s="95" t="n">
        <f aca="false">+[2]OperatingCurve!$D10</f>
        <v>0</v>
      </c>
      <c r="G10" s="96" t="n">
        <f aca="false">IF(EnergyCurve!G10&lt;200,0.001*EnergyCurve!G10+1,1.2)*EnergyCurve!G10</f>
        <v>157.044</v>
      </c>
      <c r="H10" s="96" t="n">
        <f aca="false">IF(EnergyCurve!H10&lt;200,0.001*EnergyCurve!H10+1,1.2)*EnergyCurve!H10</f>
        <v>150.689</v>
      </c>
      <c r="I10" s="96" t="n">
        <f aca="false">IF(EnergyCurve!I10&lt;200,0.001*EnergyCurve!I10+1,1.2)*EnergyCurve!I10</f>
        <v>189.569</v>
      </c>
      <c r="J10" s="94" t="n">
        <f aca="false">VLOOKUP($D10,tblPriorPrice,3)</f>
        <v>0</v>
      </c>
      <c r="K10" s="95" t="n">
        <f aca="false">+[2]OperatingCurve!$G10</f>
        <v>0</v>
      </c>
      <c r="L10" s="96" t="n">
        <f aca="false">J10+K10</f>
        <v>0</v>
      </c>
      <c r="M10" s="96" t="n">
        <f aca="false">L10</f>
        <v>0</v>
      </c>
      <c r="N10" s="96" t="n">
        <f aca="false">L10</f>
        <v>0</v>
      </c>
      <c r="O10" s="58" t="n">
        <f aca="true">IF($A10="",0,INDEX(tblPosn,$A10,2))</f>
        <v>0</v>
      </c>
      <c r="P10" s="59" t="n">
        <f aca="true">IF($A10="",0,INDEX(tblPosn,$A10,3))</f>
        <v>0</v>
      </c>
      <c r="Q10" s="59" t="n">
        <f aca="true">IF($A10="",0,INDEX(tblPosn,$A10,4))</f>
        <v>0</v>
      </c>
      <c r="R10" s="59" t="n">
        <f aca="true">IF($A10="",0,INDEX(tblPosn,$A10,5))</f>
        <v>0</v>
      </c>
      <c r="S10" s="59" t="n">
        <f aca="true">IF($A10="",0,INDEX(tblPosn,$A10,6))</f>
        <v>0</v>
      </c>
      <c r="T10" s="98" t="n">
        <f aca="false">O10*F10+P10*K10+R10*AC10+S10*AH10+Q10*X10</f>
        <v>0</v>
      </c>
      <c r="V10" s="99"/>
      <c r="W10" s="100"/>
      <c r="X10" s="101" t="n">
        <f aca="false">F10</f>
        <v>0</v>
      </c>
      <c r="Y10" s="102"/>
      <c r="Z10" s="102"/>
      <c r="AA10" s="102"/>
      <c r="AB10" s="100"/>
      <c r="AC10" s="101" t="n">
        <f aca="false">F10</f>
        <v>0</v>
      </c>
      <c r="AD10" s="102"/>
      <c r="AE10" s="102"/>
      <c r="AF10" s="103"/>
      <c r="AG10" s="100"/>
      <c r="AH10" s="101" t="n">
        <f aca="false">IF(MONTH(D10)=MONTH($V$34),$AH$34,$AH$33)</f>
        <v>0</v>
      </c>
      <c r="AI10" s="102"/>
      <c r="AJ10" s="102"/>
      <c r="AK10" s="103"/>
      <c r="AL10" s="104"/>
      <c r="AM10" s="103"/>
      <c r="AN10" s="104"/>
      <c r="AO10" s="104"/>
      <c r="AP10" s="104"/>
      <c r="AQ10" s="100"/>
      <c r="AR10" s="104"/>
      <c r="AS10" s="104"/>
      <c r="AT10" s="100"/>
      <c r="AU10" s="104"/>
      <c r="AV10" s="104"/>
      <c r="AW10" s="100"/>
      <c r="AX10" s="104"/>
      <c r="AY10" s="104"/>
      <c r="AZ10" s="100"/>
      <c r="BA10" s="74"/>
      <c r="BB10" s="144" t="n">
        <v>2001</v>
      </c>
      <c r="BC10" s="145" t="n">
        <v>0</v>
      </c>
      <c r="BD10" s="146" t="n">
        <v>0</v>
      </c>
      <c r="BE10" s="147" t="n">
        <v>0</v>
      </c>
      <c r="BF10" s="146" t="n">
        <v>0</v>
      </c>
      <c r="BG10" s="146" t="n">
        <v>0</v>
      </c>
      <c r="BH10" s="147" t="n">
        <v>0</v>
      </c>
      <c r="BQ10" s="108" t="n">
        <v>36907.7428240741</v>
      </c>
      <c r="BR10" s="109" t="n">
        <v>36907.7432986111</v>
      </c>
      <c r="BS10" s="110" t="n">
        <v>36916</v>
      </c>
      <c r="BT10" s="111" t="n">
        <v>0</v>
      </c>
      <c r="BU10" s="112" t="n">
        <v>0</v>
      </c>
      <c r="BV10" s="112" t="n">
        <v>0</v>
      </c>
      <c r="BW10" s="112" t="n">
        <v>0</v>
      </c>
      <c r="BX10" s="113" t="n">
        <v>0</v>
      </c>
      <c r="BY10" s="114"/>
      <c r="BZ10" s="115" t="n">
        <v>36915</v>
      </c>
      <c r="CA10" s="116" t="n">
        <v>182.964004516602</v>
      </c>
      <c r="CB10" s="116" t="n">
        <v>0</v>
      </c>
      <c r="CC10" s="116"/>
      <c r="CD10" s="116"/>
      <c r="CE10" s="117"/>
      <c r="CG10" s="135" t="n">
        <f aca="false">BB15</f>
        <v>2006</v>
      </c>
      <c r="CH10" s="136" t="n">
        <v>0</v>
      </c>
      <c r="CI10" s="137" t="n">
        <v>0</v>
      </c>
      <c r="CJ10" s="137" t="n">
        <v>0</v>
      </c>
      <c r="CK10" s="137" t="n">
        <v>0</v>
      </c>
      <c r="CL10" s="137" t="n">
        <v>0</v>
      </c>
      <c r="CM10" s="137" t="n">
        <v>0</v>
      </c>
      <c r="CN10" s="137" t="n">
        <v>0</v>
      </c>
      <c r="CO10" s="137" t="n">
        <v>0</v>
      </c>
      <c r="CP10" s="137" t="n">
        <v>0</v>
      </c>
      <c r="CQ10" s="137" t="n">
        <v>0</v>
      </c>
      <c r="CR10" s="137" t="n">
        <v>0</v>
      </c>
      <c r="CS10" s="138" t="n">
        <v>0</v>
      </c>
      <c r="CU10" s="135" t="n">
        <f aca="false">BB15</f>
        <v>2006</v>
      </c>
      <c r="CV10" s="136" t="n">
        <v>0</v>
      </c>
      <c r="CW10" s="137" t="n">
        <v>0</v>
      </c>
      <c r="CX10" s="137" t="n">
        <v>0</v>
      </c>
      <c r="CY10" s="137" t="n">
        <v>0</v>
      </c>
      <c r="CZ10" s="137" t="n">
        <v>0</v>
      </c>
      <c r="DA10" s="137" t="n">
        <v>0</v>
      </c>
      <c r="DB10" s="137" t="n">
        <v>0</v>
      </c>
      <c r="DC10" s="137" t="n">
        <v>0</v>
      </c>
      <c r="DD10" s="137" t="n">
        <v>0</v>
      </c>
      <c r="DE10" s="137" t="n">
        <v>0</v>
      </c>
      <c r="DF10" s="137" t="n">
        <v>0</v>
      </c>
      <c r="DG10" s="138" t="n">
        <v>0</v>
      </c>
      <c r="DI10" s="135" t="n">
        <f aca="false">BB15</f>
        <v>2006</v>
      </c>
      <c r="DJ10" s="136" t="n">
        <v>0</v>
      </c>
      <c r="DK10" s="137" t="n">
        <v>0</v>
      </c>
      <c r="DL10" s="137" t="n">
        <v>0</v>
      </c>
      <c r="DM10" s="137" t="n">
        <v>0</v>
      </c>
      <c r="DN10" s="137" t="n">
        <v>0</v>
      </c>
      <c r="DO10" s="137" t="n">
        <v>0</v>
      </c>
      <c r="DP10" s="137" t="n">
        <v>0</v>
      </c>
      <c r="DQ10" s="137" t="n">
        <v>0</v>
      </c>
      <c r="DR10" s="137" t="n">
        <v>0</v>
      </c>
      <c r="DS10" s="137" t="n">
        <v>0</v>
      </c>
      <c r="DT10" s="137" t="n">
        <v>0</v>
      </c>
      <c r="DU10" s="138" t="n">
        <v>0</v>
      </c>
    </row>
    <row r="11" customFormat="false" ht="12.75" hidden="false" customHeight="false" outlineLevel="0" collapsed="false">
      <c r="A11" s="91" t="n">
        <f aca="true">IF(ISERROR(MATCH(D11,iRefDt,0)),"",MATCH(D11,iRefDt,0))</f>
        <v>9</v>
      </c>
      <c r="B11" s="92" t="n">
        <f aca="false">MATCH(YEAR(D11),iSpreads)</f>
        <v>1</v>
      </c>
      <c r="C11" s="0" t="n">
        <f aca="false">MONTH(D11)</f>
        <v>1</v>
      </c>
      <c r="D11" s="93" t="n">
        <f aca="false">D10+1</f>
        <v>36917</v>
      </c>
      <c r="E11" s="94" t="n">
        <f aca="false">VLOOKUP($D11,tblPriorPrice,2)</f>
        <v>182.964004516602</v>
      </c>
      <c r="F11" s="95" t="n">
        <f aca="false">+[2]OperatingCurve!$D11</f>
        <v>0</v>
      </c>
      <c r="G11" s="96" t="n">
        <f aca="false">IF(EnergyCurve!G11&lt;200,0.001*EnergyCurve!G11+1,1.2)*EnergyCurve!G11</f>
        <v>157.044</v>
      </c>
      <c r="H11" s="96" t="n">
        <f aca="false">IF(EnergyCurve!H11&lt;200,0.001*EnergyCurve!H11+1,1.2)*EnergyCurve!H11</f>
        <v>150.689</v>
      </c>
      <c r="I11" s="96" t="n">
        <f aca="false">IF(EnergyCurve!I11&lt;200,0.001*EnergyCurve!I11+1,1.2)*EnergyCurve!I11</f>
        <v>189.569</v>
      </c>
      <c r="J11" s="94" t="n">
        <f aca="false">VLOOKUP($D11,tblPriorPrice,3)</f>
        <v>0</v>
      </c>
      <c r="K11" s="95" t="n">
        <f aca="false">+[2]OperatingCurve!$G11</f>
        <v>0</v>
      </c>
      <c r="L11" s="96" t="n">
        <f aca="false">J11+K11</f>
        <v>0</v>
      </c>
      <c r="M11" s="96" t="n">
        <f aca="false">L11</f>
        <v>0</v>
      </c>
      <c r="N11" s="96" t="n">
        <f aca="false">L11</f>
        <v>0</v>
      </c>
      <c r="O11" s="58" t="n">
        <f aca="true">IF($A11="",0,INDEX(tblPosn,$A11,2))</f>
        <v>0</v>
      </c>
      <c r="P11" s="59" t="n">
        <f aca="true">IF($A11="",0,INDEX(tblPosn,$A11,3))</f>
        <v>0</v>
      </c>
      <c r="Q11" s="59" t="n">
        <f aca="true">IF($A11="",0,INDEX(tblPosn,$A11,4))</f>
        <v>0</v>
      </c>
      <c r="R11" s="59" t="n">
        <f aca="true">IF($A11="",0,INDEX(tblPosn,$A11,5))</f>
        <v>0</v>
      </c>
      <c r="S11" s="59" t="n">
        <f aca="true">IF($A11="",0,INDEX(tblPosn,$A11,6))</f>
        <v>0</v>
      </c>
      <c r="T11" s="98" t="n">
        <f aca="false">O11*F11+P11*K11+R11*AC11+S11*AH11+Q11*X11</f>
        <v>0</v>
      </c>
      <c r="V11" s="99"/>
      <c r="W11" s="100"/>
      <c r="X11" s="101" t="n">
        <f aca="false">F11</f>
        <v>0</v>
      </c>
      <c r="Y11" s="102"/>
      <c r="Z11" s="102"/>
      <c r="AA11" s="102"/>
      <c r="AB11" s="100"/>
      <c r="AC11" s="101" t="n">
        <f aca="false">F11</f>
        <v>0</v>
      </c>
      <c r="AD11" s="102"/>
      <c r="AE11" s="102"/>
      <c r="AF11" s="103"/>
      <c r="AG11" s="100"/>
      <c r="AH11" s="101" t="n">
        <f aca="false">IF(MONTH(D11)=MONTH($V$34),$AH$34,$AH$33)</f>
        <v>0</v>
      </c>
      <c r="AI11" s="102"/>
      <c r="AJ11" s="102"/>
      <c r="AK11" s="103"/>
      <c r="AL11" s="104"/>
      <c r="AM11" s="103"/>
      <c r="AN11" s="104"/>
      <c r="AO11" s="104"/>
      <c r="AP11" s="104"/>
      <c r="AQ11" s="100"/>
      <c r="AR11" s="104"/>
      <c r="AS11" s="104"/>
      <c r="AT11" s="100"/>
      <c r="AU11" s="104"/>
      <c r="AV11" s="104"/>
      <c r="AW11" s="100"/>
      <c r="AX11" s="104"/>
      <c r="AY11" s="104"/>
      <c r="AZ11" s="100"/>
      <c r="BA11" s="74"/>
      <c r="BB11" s="148" t="n">
        <f aca="false">BB10+1</f>
        <v>2002</v>
      </c>
      <c r="BC11" s="145" t="n">
        <v>0</v>
      </c>
      <c r="BD11" s="146" t="n">
        <v>0</v>
      </c>
      <c r="BE11" s="147" t="n">
        <v>0</v>
      </c>
      <c r="BF11" s="146" t="n">
        <v>0</v>
      </c>
      <c r="BG11" s="146" t="n">
        <v>0</v>
      </c>
      <c r="BH11" s="147" t="n">
        <v>0</v>
      </c>
      <c r="BQ11" s="108" t="n">
        <v>36907.7428240741</v>
      </c>
      <c r="BR11" s="109" t="n">
        <v>36907.7432986111</v>
      </c>
      <c r="BS11" s="110" t="n">
        <v>36917</v>
      </c>
      <c r="BT11" s="111" t="n">
        <v>0</v>
      </c>
      <c r="BU11" s="112" t="n">
        <v>0</v>
      </c>
      <c r="BV11" s="112" t="n">
        <v>0</v>
      </c>
      <c r="BW11" s="112" t="n">
        <v>0</v>
      </c>
      <c r="BX11" s="113" t="n">
        <v>0</v>
      </c>
      <c r="BY11" s="114"/>
      <c r="BZ11" s="115" t="n">
        <v>36916</v>
      </c>
      <c r="CA11" s="116" t="n">
        <v>182.964004516602</v>
      </c>
      <c r="CB11" s="116" t="n">
        <v>0</v>
      </c>
      <c r="CC11" s="116"/>
      <c r="CD11" s="116"/>
      <c r="CE11" s="117"/>
      <c r="CG11" s="135" t="n">
        <f aca="false">BB16</f>
        <v>2007</v>
      </c>
      <c r="CH11" s="136" t="n">
        <v>0</v>
      </c>
      <c r="CI11" s="137" t="n">
        <v>0</v>
      </c>
      <c r="CJ11" s="137" t="n">
        <v>0</v>
      </c>
      <c r="CK11" s="137" t="n">
        <v>0</v>
      </c>
      <c r="CL11" s="137" t="n">
        <v>0</v>
      </c>
      <c r="CM11" s="137" t="n">
        <v>0</v>
      </c>
      <c r="CN11" s="137" t="n">
        <v>0</v>
      </c>
      <c r="CO11" s="137" t="n">
        <v>0</v>
      </c>
      <c r="CP11" s="137" t="n">
        <v>0</v>
      </c>
      <c r="CQ11" s="137" t="n">
        <v>0</v>
      </c>
      <c r="CR11" s="137" t="n">
        <v>0</v>
      </c>
      <c r="CS11" s="138" t="n">
        <v>0</v>
      </c>
      <c r="CU11" s="135" t="n">
        <f aca="false">BB16</f>
        <v>2007</v>
      </c>
      <c r="CV11" s="136" t="n">
        <v>0</v>
      </c>
      <c r="CW11" s="137" t="n">
        <v>0</v>
      </c>
      <c r="CX11" s="137" t="n">
        <v>0</v>
      </c>
      <c r="CY11" s="137" t="n">
        <v>0</v>
      </c>
      <c r="CZ11" s="137" t="n">
        <v>0</v>
      </c>
      <c r="DA11" s="137" t="n">
        <v>0</v>
      </c>
      <c r="DB11" s="137" t="n">
        <v>0</v>
      </c>
      <c r="DC11" s="137" t="n">
        <v>0</v>
      </c>
      <c r="DD11" s="137" t="n">
        <v>0</v>
      </c>
      <c r="DE11" s="137" t="n">
        <v>0</v>
      </c>
      <c r="DF11" s="137" t="n">
        <v>0</v>
      </c>
      <c r="DG11" s="138" t="n">
        <v>0</v>
      </c>
      <c r="DI11" s="135" t="n">
        <f aca="false">BB16</f>
        <v>2007</v>
      </c>
      <c r="DJ11" s="136" t="n">
        <v>0</v>
      </c>
      <c r="DK11" s="137" t="n">
        <v>0</v>
      </c>
      <c r="DL11" s="137" t="n">
        <v>0</v>
      </c>
      <c r="DM11" s="137" t="n">
        <v>0</v>
      </c>
      <c r="DN11" s="137" t="n">
        <v>0</v>
      </c>
      <c r="DO11" s="137" t="n">
        <v>0</v>
      </c>
      <c r="DP11" s="137" t="n">
        <v>0</v>
      </c>
      <c r="DQ11" s="137" t="n">
        <v>0</v>
      </c>
      <c r="DR11" s="137" t="n">
        <v>0</v>
      </c>
      <c r="DS11" s="137" t="n">
        <v>0</v>
      </c>
      <c r="DT11" s="137" t="n">
        <v>0</v>
      </c>
      <c r="DU11" s="138" t="n">
        <v>0</v>
      </c>
    </row>
    <row r="12" customFormat="false" ht="12.75" hidden="false" customHeight="false" outlineLevel="0" collapsed="false">
      <c r="A12" s="91" t="str">
        <f aca="true">IF(ISERROR(MATCH(D12,iRefDt,0)),"",MATCH(D12,iRefDt,0))</f>
        <v/>
      </c>
      <c r="B12" s="92" t="n">
        <f aca="false">MATCH(YEAR(D12),iSpreads)</f>
        <v>1</v>
      </c>
      <c r="C12" s="0" t="n">
        <f aca="false">MONTH(D12)</f>
        <v>1</v>
      </c>
      <c r="D12" s="93" t="n">
        <f aca="false">D11+1</f>
        <v>36918</v>
      </c>
      <c r="E12" s="94" t="n">
        <f aca="false">VLOOKUP($D12,tblPriorPrice,2)</f>
        <v>146.899993896484</v>
      </c>
      <c r="F12" s="95" t="n">
        <f aca="false">+[2]OperatingCurve!$D12</f>
        <v>0</v>
      </c>
      <c r="G12" s="96" t="n">
        <f aca="false">IF(EnergyCurve!G12&lt;200,0.001*EnergyCurve!G12+1,1.2)*EnergyCurve!G12</f>
        <v>134.4</v>
      </c>
      <c r="H12" s="96" t="n">
        <f aca="false">IF(EnergyCurve!H12&lt;200,0.001*EnergyCurve!H12+1,1.2)*EnergyCurve!H12</f>
        <v>128.225</v>
      </c>
      <c r="I12" s="96" t="n">
        <f aca="false">IF(EnergyCurve!I12&lt;200,0.001*EnergyCurve!I12+1,1.2)*EnergyCurve!I12</f>
        <v>166.025</v>
      </c>
      <c r="J12" s="94" t="n">
        <f aca="false">VLOOKUP($D12,tblPriorPrice,3)</f>
        <v>0</v>
      </c>
      <c r="K12" s="95" t="n">
        <f aca="false">+[2]OperatingCurve!$G12</f>
        <v>0</v>
      </c>
      <c r="L12" s="96" t="n">
        <f aca="false">J12+K12</f>
        <v>0</v>
      </c>
      <c r="M12" s="96" t="n">
        <f aca="false">L12</f>
        <v>0</v>
      </c>
      <c r="N12" s="96" t="n">
        <f aca="false">L12</f>
        <v>0</v>
      </c>
      <c r="O12" s="58" t="n">
        <f aca="true">IF($A12="",0,INDEX(tblPosn,$A12,2))</f>
        <v>0</v>
      </c>
      <c r="P12" s="59" t="n">
        <f aca="true">IF($A12="",0,INDEX(tblPosn,$A12,3))</f>
        <v>0</v>
      </c>
      <c r="Q12" s="59" t="n">
        <f aca="true">IF($A12="",0,INDEX(tblPosn,$A12,4))</f>
        <v>0</v>
      </c>
      <c r="R12" s="59" t="n">
        <f aca="true">IF($A12="",0,INDEX(tblPosn,$A12,5))</f>
        <v>0</v>
      </c>
      <c r="S12" s="59" t="n">
        <f aca="true">IF($A12="",0,INDEX(tblPosn,$A12,6))</f>
        <v>0</v>
      </c>
      <c r="T12" s="98" t="n">
        <f aca="false">O12*F12+P12*K12+R12*AC12+S12*AH12+Q12*X12</f>
        <v>0</v>
      </c>
      <c r="V12" s="99"/>
      <c r="W12" s="100"/>
      <c r="X12" s="101" t="n">
        <f aca="false">F12</f>
        <v>0</v>
      </c>
      <c r="Y12" s="102"/>
      <c r="Z12" s="102"/>
      <c r="AA12" s="102"/>
      <c r="AB12" s="100"/>
      <c r="AC12" s="101" t="n">
        <f aca="false">F12</f>
        <v>0</v>
      </c>
      <c r="AD12" s="102"/>
      <c r="AE12" s="102"/>
      <c r="AF12" s="103"/>
      <c r="AG12" s="100"/>
      <c r="AH12" s="101" t="n">
        <f aca="false">IF(MONTH(D12)=MONTH($V$34),$AH$34,$AH$33)</f>
        <v>0</v>
      </c>
      <c r="AI12" s="102"/>
      <c r="AJ12" s="102"/>
      <c r="AK12" s="103"/>
      <c r="AL12" s="104"/>
      <c r="AM12" s="103"/>
      <c r="AN12" s="104"/>
      <c r="AO12" s="104"/>
      <c r="AP12" s="104"/>
      <c r="AQ12" s="100"/>
      <c r="AR12" s="104"/>
      <c r="AS12" s="104"/>
      <c r="AT12" s="100"/>
      <c r="AU12" s="104"/>
      <c r="AV12" s="104"/>
      <c r="AW12" s="100"/>
      <c r="AX12" s="104"/>
      <c r="AY12" s="104"/>
      <c r="AZ12" s="100"/>
      <c r="BA12" s="74"/>
      <c r="BB12" s="148" t="n">
        <f aca="false">BB11+1</f>
        <v>2003</v>
      </c>
      <c r="BC12" s="145" t="n">
        <v>0</v>
      </c>
      <c r="BD12" s="146" t="n">
        <v>0</v>
      </c>
      <c r="BE12" s="147" t="n">
        <v>0</v>
      </c>
      <c r="BF12" s="146" t="n">
        <v>0</v>
      </c>
      <c r="BG12" s="146" t="n">
        <v>0</v>
      </c>
      <c r="BH12" s="147" t="n">
        <v>0</v>
      </c>
      <c r="BQ12" s="108" t="n">
        <v>36907.7428240741</v>
      </c>
      <c r="BR12" s="109" t="n">
        <v>36907.7432986111</v>
      </c>
      <c r="BS12" s="110" t="n">
        <v>36920</v>
      </c>
      <c r="BT12" s="111" t="n">
        <v>0</v>
      </c>
      <c r="BU12" s="112" t="n">
        <v>0</v>
      </c>
      <c r="BV12" s="112" t="n">
        <v>0</v>
      </c>
      <c r="BW12" s="112" t="n">
        <v>0</v>
      </c>
      <c r="BX12" s="113" t="n">
        <v>0</v>
      </c>
      <c r="BY12" s="114"/>
      <c r="BZ12" s="115" t="n">
        <v>36917</v>
      </c>
      <c r="CA12" s="116" t="n">
        <v>182.964004516602</v>
      </c>
      <c r="CB12" s="116" t="n">
        <v>0</v>
      </c>
      <c r="CC12" s="116"/>
      <c r="CD12" s="116"/>
      <c r="CE12" s="117"/>
      <c r="CG12" s="135" t="n">
        <f aca="false">BB17</f>
        <v>2008</v>
      </c>
      <c r="CH12" s="136" t="n">
        <v>0</v>
      </c>
      <c r="CI12" s="137" t="n">
        <v>0</v>
      </c>
      <c r="CJ12" s="137" t="n">
        <v>0</v>
      </c>
      <c r="CK12" s="137" t="n">
        <v>0</v>
      </c>
      <c r="CL12" s="137" t="n">
        <v>0</v>
      </c>
      <c r="CM12" s="137" t="n">
        <v>0</v>
      </c>
      <c r="CN12" s="137" t="n">
        <v>0</v>
      </c>
      <c r="CO12" s="137" t="n">
        <v>0</v>
      </c>
      <c r="CP12" s="137" t="n">
        <v>0</v>
      </c>
      <c r="CQ12" s="137" t="n">
        <v>0</v>
      </c>
      <c r="CR12" s="137" t="n">
        <v>0</v>
      </c>
      <c r="CS12" s="138" t="n">
        <v>0</v>
      </c>
      <c r="CU12" s="135" t="n">
        <f aca="false">BB17</f>
        <v>2008</v>
      </c>
      <c r="CV12" s="136" t="n">
        <v>0</v>
      </c>
      <c r="CW12" s="137" t="n">
        <v>0</v>
      </c>
      <c r="CX12" s="137" t="n">
        <v>0</v>
      </c>
      <c r="CY12" s="137" t="n">
        <v>0</v>
      </c>
      <c r="CZ12" s="137" t="n">
        <v>0</v>
      </c>
      <c r="DA12" s="137" t="n">
        <v>0</v>
      </c>
      <c r="DB12" s="137" t="n">
        <v>0</v>
      </c>
      <c r="DC12" s="137" t="n">
        <v>0</v>
      </c>
      <c r="DD12" s="137" t="n">
        <v>0</v>
      </c>
      <c r="DE12" s="137" t="n">
        <v>0</v>
      </c>
      <c r="DF12" s="137" t="n">
        <v>0</v>
      </c>
      <c r="DG12" s="138" t="n">
        <v>0</v>
      </c>
      <c r="DI12" s="135" t="n">
        <f aca="false">BB17</f>
        <v>2008</v>
      </c>
      <c r="DJ12" s="136" t="n">
        <v>0</v>
      </c>
      <c r="DK12" s="137" t="n">
        <v>0</v>
      </c>
      <c r="DL12" s="137" t="n">
        <v>0</v>
      </c>
      <c r="DM12" s="137" t="n">
        <v>0</v>
      </c>
      <c r="DN12" s="137" t="n">
        <v>0</v>
      </c>
      <c r="DO12" s="137" t="n">
        <v>0</v>
      </c>
      <c r="DP12" s="137" t="n">
        <v>0</v>
      </c>
      <c r="DQ12" s="137" t="n">
        <v>0</v>
      </c>
      <c r="DR12" s="137" t="n">
        <v>0</v>
      </c>
      <c r="DS12" s="137" t="n">
        <v>0</v>
      </c>
      <c r="DT12" s="137" t="n">
        <v>0</v>
      </c>
      <c r="DU12" s="138" t="n">
        <v>0</v>
      </c>
    </row>
    <row r="13" customFormat="false" ht="12.75" hidden="false" customHeight="false" outlineLevel="0" collapsed="false">
      <c r="A13" s="91" t="str">
        <f aca="true">IF(ISERROR(MATCH(D13,iRefDt,0)),"",MATCH(D13,iRefDt,0))</f>
        <v/>
      </c>
      <c r="B13" s="92" t="n">
        <f aca="false">MATCH(YEAR(D13),iSpreads)</f>
        <v>1</v>
      </c>
      <c r="C13" s="0" t="n">
        <f aca="false">MONTH(D13)</f>
        <v>1</v>
      </c>
      <c r="D13" s="93" t="n">
        <f aca="false">D12+1</f>
        <v>36919</v>
      </c>
      <c r="E13" s="94" t="n">
        <f aca="false">VLOOKUP($D13,tblPriorPrice,2)</f>
        <v>134.399993896484</v>
      </c>
      <c r="F13" s="95" t="n">
        <f aca="false">+[2]OperatingCurve!$D13</f>
        <v>0</v>
      </c>
      <c r="G13" s="96" t="n">
        <f aca="false">IF(EnergyCurve!G13&lt;200,0.001*EnergyCurve!G13+1,1.2)*EnergyCurve!G13</f>
        <v>122.1</v>
      </c>
      <c r="H13" s="96" t="n">
        <f aca="false">IF(EnergyCurve!H13&lt;200,0.001*EnergyCurve!H13+1,1.2)*EnergyCurve!H13</f>
        <v>116.025</v>
      </c>
      <c r="I13" s="96" t="n">
        <f aca="false">IF(EnergyCurve!I13&lt;200,0.001*EnergyCurve!I13+1,1.2)*EnergyCurve!I13</f>
        <v>153.225</v>
      </c>
      <c r="J13" s="94" t="n">
        <f aca="false">VLOOKUP($D13,tblPriorPrice,3)</f>
        <v>0</v>
      </c>
      <c r="K13" s="95" t="n">
        <f aca="false">+[2]OperatingCurve!$G13</f>
        <v>0</v>
      </c>
      <c r="L13" s="96" t="n">
        <f aca="false">J13+K13</f>
        <v>0</v>
      </c>
      <c r="M13" s="96" t="n">
        <f aca="false">L13</f>
        <v>0</v>
      </c>
      <c r="N13" s="96" t="n">
        <f aca="false">L13</f>
        <v>0</v>
      </c>
      <c r="O13" s="58" t="n">
        <f aca="true">IF($A13="",0,INDEX(tblPosn,$A13,2))</f>
        <v>0</v>
      </c>
      <c r="P13" s="59" t="n">
        <f aca="true">IF($A13="",0,INDEX(tblPosn,$A13,3))</f>
        <v>0</v>
      </c>
      <c r="Q13" s="59" t="n">
        <f aca="true">IF($A13="",0,INDEX(tblPosn,$A13,4))</f>
        <v>0</v>
      </c>
      <c r="R13" s="59" t="n">
        <f aca="true">IF($A13="",0,INDEX(tblPosn,$A13,5))</f>
        <v>0</v>
      </c>
      <c r="S13" s="59" t="n">
        <f aca="true">IF($A13="",0,INDEX(tblPosn,$A13,6))</f>
        <v>0</v>
      </c>
      <c r="T13" s="98" t="n">
        <f aca="false">O13*F13+P13*K13+R13*AC13+S13*AH13+Q13*X13</f>
        <v>0</v>
      </c>
      <c r="V13" s="99"/>
      <c r="W13" s="100"/>
      <c r="X13" s="101" t="n">
        <f aca="false">F13</f>
        <v>0</v>
      </c>
      <c r="Y13" s="102"/>
      <c r="Z13" s="102"/>
      <c r="AA13" s="102"/>
      <c r="AB13" s="100"/>
      <c r="AC13" s="101" t="n">
        <f aca="false">F13</f>
        <v>0</v>
      </c>
      <c r="AD13" s="102"/>
      <c r="AE13" s="102"/>
      <c r="AF13" s="103"/>
      <c r="AG13" s="100"/>
      <c r="AH13" s="101" t="n">
        <f aca="false">IF(MONTH(D13)=MONTH($V$34),$AH$34,$AH$33)</f>
        <v>0</v>
      </c>
      <c r="AI13" s="102"/>
      <c r="AJ13" s="102"/>
      <c r="AK13" s="103"/>
      <c r="AL13" s="104"/>
      <c r="AM13" s="103"/>
      <c r="AN13" s="104"/>
      <c r="AO13" s="104"/>
      <c r="AP13" s="104"/>
      <c r="AQ13" s="100"/>
      <c r="AR13" s="104"/>
      <c r="AS13" s="104"/>
      <c r="AT13" s="100"/>
      <c r="AU13" s="104"/>
      <c r="AV13" s="104"/>
      <c r="AW13" s="100"/>
      <c r="AX13" s="104"/>
      <c r="AY13" s="104"/>
      <c r="AZ13" s="100"/>
      <c r="BA13" s="74"/>
      <c r="BB13" s="148" t="n">
        <f aca="false">BB12+1</f>
        <v>2004</v>
      </c>
      <c r="BC13" s="145" t="n">
        <v>0</v>
      </c>
      <c r="BD13" s="146" t="n">
        <v>0</v>
      </c>
      <c r="BE13" s="147" t="n">
        <v>0</v>
      </c>
      <c r="BF13" s="146" t="n">
        <v>0</v>
      </c>
      <c r="BG13" s="146" t="n">
        <v>0</v>
      </c>
      <c r="BH13" s="147" t="n">
        <v>0</v>
      </c>
      <c r="BQ13" s="108" t="n">
        <v>36907.7428240741</v>
      </c>
      <c r="BR13" s="109" t="n">
        <v>36907.7432986111</v>
      </c>
      <c r="BS13" s="110" t="n">
        <v>36921</v>
      </c>
      <c r="BT13" s="111" t="n">
        <v>0</v>
      </c>
      <c r="BU13" s="112" t="n">
        <v>0</v>
      </c>
      <c r="BV13" s="112" t="n">
        <v>0</v>
      </c>
      <c r="BW13" s="112" t="n">
        <v>0</v>
      </c>
      <c r="BX13" s="113" t="n">
        <v>0</v>
      </c>
      <c r="BY13" s="114"/>
      <c r="BZ13" s="115" t="n">
        <v>36918</v>
      </c>
      <c r="CA13" s="116" t="n">
        <v>146.899993896484</v>
      </c>
      <c r="CB13" s="116" t="n">
        <v>0</v>
      </c>
      <c r="CC13" s="116"/>
      <c r="CD13" s="116"/>
      <c r="CE13" s="117"/>
      <c r="CG13" s="135" t="n">
        <f aca="false">BB18</f>
        <v>2009</v>
      </c>
      <c r="CH13" s="136" t="n">
        <v>0</v>
      </c>
      <c r="CI13" s="137" t="n">
        <v>0</v>
      </c>
      <c r="CJ13" s="137" t="n">
        <v>0</v>
      </c>
      <c r="CK13" s="137" t="n">
        <v>0</v>
      </c>
      <c r="CL13" s="137" t="n">
        <v>0</v>
      </c>
      <c r="CM13" s="137" t="n">
        <v>0</v>
      </c>
      <c r="CN13" s="137" t="n">
        <v>0</v>
      </c>
      <c r="CO13" s="137" t="n">
        <v>0</v>
      </c>
      <c r="CP13" s="137" t="n">
        <v>0</v>
      </c>
      <c r="CQ13" s="137" t="n">
        <v>0</v>
      </c>
      <c r="CR13" s="137" t="n">
        <v>0</v>
      </c>
      <c r="CS13" s="138" t="n">
        <v>0</v>
      </c>
      <c r="CU13" s="135" t="n">
        <f aca="false">BB18</f>
        <v>2009</v>
      </c>
      <c r="CV13" s="136" t="n">
        <v>0</v>
      </c>
      <c r="CW13" s="137" t="n">
        <v>0</v>
      </c>
      <c r="CX13" s="137" t="n">
        <v>0</v>
      </c>
      <c r="CY13" s="137" t="n">
        <v>0</v>
      </c>
      <c r="CZ13" s="137" t="n">
        <v>0</v>
      </c>
      <c r="DA13" s="137" t="n">
        <v>0</v>
      </c>
      <c r="DB13" s="137" t="n">
        <v>0</v>
      </c>
      <c r="DC13" s="137" t="n">
        <v>0</v>
      </c>
      <c r="DD13" s="137" t="n">
        <v>0</v>
      </c>
      <c r="DE13" s="137" t="n">
        <v>0</v>
      </c>
      <c r="DF13" s="137" t="n">
        <v>0</v>
      </c>
      <c r="DG13" s="138" t="n">
        <v>0</v>
      </c>
      <c r="DI13" s="135" t="n">
        <f aca="false">BB18</f>
        <v>2009</v>
      </c>
      <c r="DJ13" s="136" t="n">
        <v>0</v>
      </c>
      <c r="DK13" s="137" t="n">
        <v>0</v>
      </c>
      <c r="DL13" s="137" t="n">
        <v>0</v>
      </c>
      <c r="DM13" s="137" t="n">
        <v>0</v>
      </c>
      <c r="DN13" s="137" t="n">
        <v>0</v>
      </c>
      <c r="DO13" s="137" t="n">
        <v>0</v>
      </c>
      <c r="DP13" s="137" t="n">
        <v>0</v>
      </c>
      <c r="DQ13" s="137" t="n">
        <v>0</v>
      </c>
      <c r="DR13" s="137" t="n">
        <v>0</v>
      </c>
      <c r="DS13" s="137" t="n">
        <v>0</v>
      </c>
      <c r="DT13" s="137" t="n">
        <v>0</v>
      </c>
      <c r="DU13" s="138" t="n">
        <v>0</v>
      </c>
    </row>
    <row r="14" customFormat="false" ht="12.75" hidden="false" customHeight="false" outlineLevel="0" collapsed="false">
      <c r="A14" s="91" t="n">
        <f aca="true">IF(ISERROR(MATCH(D14,iRefDt,0)),"",MATCH(D14,iRefDt,0))</f>
        <v>10</v>
      </c>
      <c r="B14" s="92" t="n">
        <f aca="false">MATCH(YEAR(D14),iSpreads)</f>
        <v>1</v>
      </c>
      <c r="C14" s="0" t="n">
        <f aca="false">MONTH(D14)</f>
        <v>1</v>
      </c>
      <c r="D14" s="93" t="n">
        <f aca="false">D13+1</f>
        <v>36920</v>
      </c>
      <c r="E14" s="94" t="n">
        <f aca="false">VLOOKUP($D14,tblPriorPrice,2)</f>
        <v>182.964004516602</v>
      </c>
      <c r="F14" s="95" t="n">
        <f aca="false">+[2]OperatingCurve!$D14</f>
        <v>0</v>
      </c>
      <c r="G14" s="96" t="n">
        <f aca="false">IF(EnergyCurve!G14&lt;200,0.001*EnergyCurve!G14+1,1.2)*EnergyCurve!G14</f>
        <v>157.044</v>
      </c>
      <c r="H14" s="96" t="n">
        <f aca="false">IF(EnergyCurve!H14&lt;200,0.001*EnergyCurve!H14+1,1.2)*EnergyCurve!H14</f>
        <v>150.689</v>
      </c>
      <c r="I14" s="96" t="n">
        <f aca="false">IF(EnergyCurve!I14&lt;200,0.001*EnergyCurve!I14+1,1.2)*EnergyCurve!I14</f>
        <v>189.569</v>
      </c>
      <c r="J14" s="94" t="n">
        <f aca="false">VLOOKUP($D14,tblPriorPrice,3)</f>
        <v>0</v>
      </c>
      <c r="K14" s="95" t="n">
        <f aca="false">+[2]OperatingCurve!$G14</f>
        <v>0</v>
      </c>
      <c r="L14" s="96" t="n">
        <f aca="false">J14+K14</f>
        <v>0</v>
      </c>
      <c r="M14" s="96" t="n">
        <f aca="false">L14</f>
        <v>0</v>
      </c>
      <c r="N14" s="96" t="n">
        <f aca="false">L14</f>
        <v>0</v>
      </c>
      <c r="O14" s="58" t="n">
        <f aca="true">IF($A14="",0,INDEX(tblPosn,$A14,2))</f>
        <v>0</v>
      </c>
      <c r="P14" s="59" t="n">
        <f aca="true">IF($A14="",0,INDEX(tblPosn,$A14,3))</f>
        <v>0</v>
      </c>
      <c r="Q14" s="59" t="n">
        <f aca="true">IF($A14="",0,INDEX(tblPosn,$A14,4))</f>
        <v>0</v>
      </c>
      <c r="R14" s="59" t="n">
        <f aca="true">IF($A14="",0,INDEX(tblPosn,$A14,5))</f>
        <v>0</v>
      </c>
      <c r="S14" s="59" t="n">
        <f aca="true">IF($A14="",0,INDEX(tblPosn,$A14,6))</f>
        <v>0</v>
      </c>
      <c r="T14" s="98" t="n">
        <f aca="false">O14*F14+P14*K14+R14*AC14+S14*AH14+Q14*X14</f>
        <v>0</v>
      </c>
      <c r="V14" s="99"/>
      <c r="W14" s="100"/>
      <c r="X14" s="101" t="n">
        <f aca="false">F14</f>
        <v>0</v>
      </c>
      <c r="Y14" s="102"/>
      <c r="Z14" s="102"/>
      <c r="AA14" s="102"/>
      <c r="AB14" s="100"/>
      <c r="AC14" s="101" t="n">
        <f aca="false">F14</f>
        <v>0</v>
      </c>
      <c r="AD14" s="102"/>
      <c r="AE14" s="102"/>
      <c r="AF14" s="103"/>
      <c r="AG14" s="100"/>
      <c r="AH14" s="101" t="n">
        <f aca="false">IF(MONTH(D14)=MONTH($V$34),$AH$34,$AH$33)</f>
        <v>0</v>
      </c>
      <c r="AI14" s="102"/>
      <c r="AJ14" s="102"/>
      <c r="AK14" s="103"/>
      <c r="AL14" s="104"/>
      <c r="AM14" s="103"/>
      <c r="AN14" s="104"/>
      <c r="AO14" s="104"/>
      <c r="AP14" s="104"/>
      <c r="AQ14" s="100"/>
      <c r="AR14" s="104"/>
      <c r="AS14" s="104"/>
      <c r="AT14" s="100"/>
      <c r="AU14" s="104"/>
      <c r="AV14" s="104"/>
      <c r="AW14" s="100"/>
      <c r="AX14" s="104"/>
      <c r="AY14" s="104"/>
      <c r="AZ14" s="100"/>
      <c r="BA14" s="74"/>
      <c r="BB14" s="148" t="n">
        <f aca="false">BB13+1</f>
        <v>2005</v>
      </c>
      <c r="BC14" s="145" t="n">
        <v>0</v>
      </c>
      <c r="BD14" s="146" t="n">
        <v>0</v>
      </c>
      <c r="BE14" s="147" t="n">
        <v>0</v>
      </c>
      <c r="BF14" s="146" t="n">
        <v>0</v>
      </c>
      <c r="BG14" s="146" t="n">
        <v>0</v>
      </c>
      <c r="BH14" s="147" t="n">
        <v>0</v>
      </c>
      <c r="BQ14" s="108" t="n">
        <v>36907.7428240741</v>
      </c>
      <c r="BR14" s="109" t="n">
        <v>36907.7432986111</v>
      </c>
      <c r="BS14" s="110" t="n">
        <v>36922</v>
      </c>
      <c r="BT14" s="111" t="n">
        <v>0</v>
      </c>
      <c r="BU14" s="112" t="n">
        <v>0</v>
      </c>
      <c r="BV14" s="112" t="n">
        <v>0</v>
      </c>
      <c r="BW14" s="112" t="n">
        <v>0</v>
      </c>
      <c r="BX14" s="113" t="n">
        <v>0</v>
      </c>
      <c r="BY14" s="114"/>
      <c r="BZ14" s="115" t="n">
        <v>36919</v>
      </c>
      <c r="CA14" s="116" t="n">
        <v>134.399993896484</v>
      </c>
      <c r="CB14" s="116" t="n">
        <v>0</v>
      </c>
      <c r="CC14" s="116"/>
      <c r="CD14" s="116"/>
      <c r="CE14" s="117"/>
      <c r="CG14" s="135" t="n">
        <f aca="false">BB19</f>
        <v>2010</v>
      </c>
      <c r="CH14" s="136" t="n">
        <v>0</v>
      </c>
      <c r="CI14" s="137" t="n">
        <v>0</v>
      </c>
      <c r="CJ14" s="137" t="n">
        <v>0</v>
      </c>
      <c r="CK14" s="137" t="n">
        <v>0</v>
      </c>
      <c r="CL14" s="137" t="n">
        <v>0</v>
      </c>
      <c r="CM14" s="137" t="n">
        <v>0</v>
      </c>
      <c r="CN14" s="137" t="n">
        <v>0</v>
      </c>
      <c r="CO14" s="137" t="n">
        <v>0</v>
      </c>
      <c r="CP14" s="137" t="n">
        <v>0</v>
      </c>
      <c r="CQ14" s="137" t="n">
        <v>0</v>
      </c>
      <c r="CR14" s="137" t="n">
        <v>0</v>
      </c>
      <c r="CS14" s="138" t="n">
        <v>0</v>
      </c>
      <c r="CU14" s="135" t="n">
        <f aca="false">BB19</f>
        <v>2010</v>
      </c>
      <c r="CV14" s="136" t="n">
        <v>0</v>
      </c>
      <c r="CW14" s="137" t="n">
        <v>0</v>
      </c>
      <c r="CX14" s="137" t="n">
        <v>0</v>
      </c>
      <c r="CY14" s="137" t="n">
        <v>0</v>
      </c>
      <c r="CZ14" s="137" t="n">
        <v>0</v>
      </c>
      <c r="DA14" s="137" t="n">
        <v>0</v>
      </c>
      <c r="DB14" s="137" t="n">
        <v>0</v>
      </c>
      <c r="DC14" s="137" t="n">
        <v>0</v>
      </c>
      <c r="DD14" s="137" t="n">
        <v>0</v>
      </c>
      <c r="DE14" s="137" t="n">
        <v>0</v>
      </c>
      <c r="DF14" s="137" t="n">
        <v>0</v>
      </c>
      <c r="DG14" s="138" t="n">
        <v>0</v>
      </c>
      <c r="DI14" s="135" t="n">
        <f aca="false">BB19</f>
        <v>2010</v>
      </c>
      <c r="DJ14" s="136" t="n">
        <v>0</v>
      </c>
      <c r="DK14" s="137" t="n">
        <v>0</v>
      </c>
      <c r="DL14" s="137" t="n">
        <v>0</v>
      </c>
      <c r="DM14" s="137" t="n">
        <v>0</v>
      </c>
      <c r="DN14" s="137" t="n">
        <v>0</v>
      </c>
      <c r="DO14" s="137" t="n">
        <v>0</v>
      </c>
      <c r="DP14" s="137" t="n">
        <v>0</v>
      </c>
      <c r="DQ14" s="137" t="n">
        <v>0</v>
      </c>
      <c r="DR14" s="137" t="n">
        <v>0</v>
      </c>
      <c r="DS14" s="137" t="n">
        <v>0</v>
      </c>
      <c r="DT14" s="137" t="n">
        <v>0</v>
      </c>
      <c r="DU14" s="138" t="n">
        <v>0</v>
      </c>
    </row>
    <row r="15" customFormat="false" ht="12.75" hidden="false" customHeight="false" outlineLevel="0" collapsed="false">
      <c r="A15" s="91" t="n">
        <f aca="true">IF(ISERROR(MATCH(D15,iRefDt,0)),"",MATCH(D15,iRefDt,0))</f>
        <v>11</v>
      </c>
      <c r="B15" s="92" t="n">
        <f aca="false">MATCH(YEAR(D15),iSpreads)</f>
        <v>1</v>
      </c>
      <c r="C15" s="0" t="n">
        <f aca="false">MONTH(D15)</f>
        <v>1</v>
      </c>
      <c r="D15" s="93" t="n">
        <f aca="false">D14+1</f>
        <v>36921</v>
      </c>
      <c r="E15" s="94" t="n">
        <f aca="false">VLOOKUP($D15,tblPriorPrice,2)</f>
        <v>182.964004516602</v>
      </c>
      <c r="F15" s="95" t="n">
        <f aca="false">+[2]OperatingCurve!$D15</f>
        <v>0</v>
      </c>
      <c r="G15" s="96" t="n">
        <f aca="false">IF(EnergyCurve!G15&lt;200,0.001*EnergyCurve!G15+1,1.2)*EnergyCurve!G15</f>
        <v>157.044</v>
      </c>
      <c r="H15" s="96" t="n">
        <f aca="false">IF(EnergyCurve!H15&lt;200,0.001*EnergyCurve!H15+1,1.2)*EnergyCurve!H15</f>
        <v>150.689</v>
      </c>
      <c r="I15" s="96" t="n">
        <f aca="false">IF(EnergyCurve!I15&lt;200,0.001*EnergyCurve!I15+1,1.2)*EnergyCurve!I15</f>
        <v>189.569</v>
      </c>
      <c r="J15" s="94" t="n">
        <f aca="false">VLOOKUP($D15,tblPriorPrice,3)</f>
        <v>0</v>
      </c>
      <c r="K15" s="95" t="n">
        <f aca="false">+[2]OperatingCurve!$G15</f>
        <v>0</v>
      </c>
      <c r="L15" s="96" t="n">
        <f aca="false">J15+K15</f>
        <v>0</v>
      </c>
      <c r="M15" s="96" t="n">
        <f aca="false">L15</f>
        <v>0</v>
      </c>
      <c r="N15" s="96" t="n">
        <f aca="false">L15</f>
        <v>0</v>
      </c>
      <c r="O15" s="58" t="n">
        <f aca="true">IF($A15="",0,INDEX(tblPosn,$A15,2))</f>
        <v>0</v>
      </c>
      <c r="P15" s="59" t="n">
        <f aca="true">IF($A15="",0,INDEX(tblPosn,$A15,3))</f>
        <v>0</v>
      </c>
      <c r="Q15" s="59" t="n">
        <f aca="true">IF($A15="",0,INDEX(tblPosn,$A15,4))</f>
        <v>0</v>
      </c>
      <c r="R15" s="59" t="n">
        <f aca="true">IF($A15="",0,INDEX(tblPosn,$A15,5))</f>
        <v>0</v>
      </c>
      <c r="S15" s="59" t="n">
        <f aca="true">IF($A15="",0,INDEX(tblPosn,$A15,6))</f>
        <v>0</v>
      </c>
      <c r="T15" s="98" t="n">
        <f aca="false">O15*F15+P15*K15+R15*AC15+S15*AH15+Q15*X15</f>
        <v>0</v>
      </c>
      <c r="V15" s="99"/>
      <c r="W15" s="100"/>
      <c r="X15" s="101" t="n">
        <f aca="false">F15</f>
        <v>0</v>
      </c>
      <c r="Y15" s="102"/>
      <c r="Z15" s="102"/>
      <c r="AA15" s="102"/>
      <c r="AB15" s="100"/>
      <c r="AC15" s="101" t="n">
        <f aca="false">F15</f>
        <v>0</v>
      </c>
      <c r="AD15" s="102"/>
      <c r="AE15" s="102"/>
      <c r="AF15" s="103"/>
      <c r="AG15" s="100"/>
      <c r="AH15" s="101" t="n">
        <f aca="false">IF(MONTH(D15)=MONTH($V$34),$AH$34,$AH$33)</f>
        <v>0</v>
      </c>
      <c r="AI15" s="102"/>
      <c r="AJ15" s="102"/>
      <c r="AK15" s="103"/>
      <c r="AL15" s="104"/>
      <c r="AM15" s="103"/>
      <c r="AN15" s="104"/>
      <c r="AO15" s="104"/>
      <c r="AP15" s="104"/>
      <c r="AQ15" s="100"/>
      <c r="AR15" s="104"/>
      <c r="AS15" s="104"/>
      <c r="AT15" s="100"/>
      <c r="AU15" s="104"/>
      <c r="AV15" s="104"/>
      <c r="AW15" s="100"/>
      <c r="AX15" s="104"/>
      <c r="AY15" s="104"/>
      <c r="AZ15" s="100"/>
      <c r="BA15" s="74"/>
      <c r="BB15" s="148" t="n">
        <f aca="false">BB14+1</f>
        <v>2006</v>
      </c>
      <c r="BC15" s="145" t="n">
        <v>0</v>
      </c>
      <c r="BD15" s="146" t="n">
        <v>0</v>
      </c>
      <c r="BE15" s="147" t="n">
        <v>0</v>
      </c>
      <c r="BF15" s="146" t="n">
        <v>0</v>
      </c>
      <c r="BG15" s="146" t="n">
        <v>0</v>
      </c>
      <c r="BH15" s="147" t="n">
        <v>0</v>
      </c>
      <c r="BQ15" s="108" t="n">
        <v>36907.7428240741</v>
      </c>
      <c r="BR15" s="109" t="n">
        <v>36907.7432986111</v>
      </c>
      <c r="BS15" s="110" t="n">
        <v>36923</v>
      </c>
      <c r="BT15" s="111" t="n">
        <v>0</v>
      </c>
      <c r="BU15" s="112" t="n">
        <v>0</v>
      </c>
      <c r="BV15" s="112" t="n">
        <v>0</v>
      </c>
      <c r="BW15" s="112" t="n">
        <v>0</v>
      </c>
      <c r="BX15" s="113" t="n">
        <v>0</v>
      </c>
      <c r="BY15" s="114"/>
      <c r="BZ15" s="115" t="n">
        <v>36920</v>
      </c>
      <c r="CA15" s="116" t="n">
        <v>182.964004516602</v>
      </c>
      <c r="CB15" s="116" t="n">
        <v>0</v>
      </c>
      <c r="CC15" s="116"/>
      <c r="CD15" s="116"/>
      <c r="CE15" s="117"/>
      <c r="CG15" s="135" t="n">
        <f aca="false">BB20</f>
        <v>2011</v>
      </c>
      <c r="CH15" s="136" t="n">
        <v>0</v>
      </c>
      <c r="CI15" s="137" t="n">
        <v>0</v>
      </c>
      <c r="CJ15" s="137" t="n">
        <v>0</v>
      </c>
      <c r="CK15" s="137" t="n">
        <v>0</v>
      </c>
      <c r="CL15" s="137" t="n">
        <v>0</v>
      </c>
      <c r="CM15" s="137" t="n">
        <v>0</v>
      </c>
      <c r="CN15" s="137" t="n">
        <v>0</v>
      </c>
      <c r="CO15" s="137" t="n">
        <v>0</v>
      </c>
      <c r="CP15" s="137" t="n">
        <v>0</v>
      </c>
      <c r="CQ15" s="137" t="n">
        <v>0</v>
      </c>
      <c r="CR15" s="137" t="n">
        <v>0</v>
      </c>
      <c r="CS15" s="138" t="n">
        <v>0</v>
      </c>
      <c r="CU15" s="135" t="n">
        <f aca="false">BB20</f>
        <v>2011</v>
      </c>
      <c r="CV15" s="136" t="n">
        <v>0</v>
      </c>
      <c r="CW15" s="137" t="n">
        <v>0</v>
      </c>
      <c r="CX15" s="137" t="n">
        <v>0</v>
      </c>
      <c r="CY15" s="137" t="n">
        <v>0</v>
      </c>
      <c r="CZ15" s="137" t="n">
        <v>0</v>
      </c>
      <c r="DA15" s="137" t="n">
        <v>0</v>
      </c>
      <c r="DB15" s="137" t="n">
        <v>0</v>
      </c>
      <c r="DC15" s="137" t="n">
        <v>0</v>
      </c>
      <c r="DD15" s="137" t="n">
        <v>0</v>
      </c>
      <c r="DE15" s="137" t="n">
        <v>0</v>
      </c>
      <c r="DF15" s="137" t="n">
        <v>0</v>
      </c>
      <c r="DG15" s="138" t="n">
        <v>0</v>
      </c>
      <c r="DI15" s="135" t="n">
        <f aca="false">BB20</f>
        <v>2011</v>
      </c>
      <c r="DJ15" s="136" t="n">
        <v>0</v>
      </c>
      <c r="DK15" s="137" t="n">
        <v>0</v>
      </c>
      <c r="DL15" s="137" t="n">
        <v>0</v>
      </c>
      <c r="DM15" s="137" t="n">
        <v>0</v>
      </c>
      <c r="DN15" s="137" t="n">
        <v>0</v>
      </c>
      <c r="DO15" s="137" t="n">
        <v>0</v>
      </c>
      <c r="DP15" s="137" t="n">
        <v>0</v>
      </c>
      <c r="DQ15" s="137" t="n">
        <v>0</v>
      </c>
      <c r="DR15" s="137" t="n">
        <v>0</v>
      </c>
      <c r="DS15" s="137" t="n">
        <v>0</v>
      </c>
      <c r="DT15" s="137" t="n">
        <v>0</v>
      </c>
      <c r="DU15" s="138" t="n">
        <v>0</v>
      </c>
    </row>
    <row r="16" customFormat="false" ht="12.75" hidden="false" customHeight="false" outlineLevel="0" collapsed="false">
      <c r="A16" s="91" t="n">
        <f aca="true">IF(ISERROR(MATCH(D16,iRefDt,0)),"",MATCH(D16,iRefDt,0))</f>
        <v>12</v>
      </c>
      <c r="B16" s="92" t="n">
        <f aca="false">MATCH(YEAR(D16),iSpreads)</f>
        <v>1</v>
      </c>
      <c r="C16" s="0" t="n">
        <f aca="false">MONTH(D16)</f>
        <v>1</v>
      </c>
      <c r="D16" s="93" t="n">
        <f aca="false">D15+1</f>
        <v>36922</v>
      </c>
      <c r="E16" s="94" t="n">
        <f aca="false">VLOOKUP($D16,tblPriorPrice,2)</f>
        <v>182.964004516602</v>
      </c>
      <c r="F16" s="95" t="n">
        <f aca="false">+[2]OperatingCurve!$D16</f>
        <v>0</v>
      </c>
      <c r="G16" s="96" t="n">
        <f aca="false">IF(EnergyCurve!G16&lt;200,0.001*EnergyCurve!G16+1,1.2)*EnergyCurve!G16</f>
        <v>157.044</v>
      </c>
      <c r="H16" s="96" t="n">
        <f aca="false">IF(EnergyCurve!H16&lt;200,0.001*EnergyCurve!H16+1,1.2)*EnergyCurve!H16</f>
        <v>150.689</v>
      </c>
      <c r="I16" s="96" t="n">
        <f aca="false">IF(EnergyCurve!I16&lt;200,0.001*EnergyCurve!I16+1,1.2)*EnergyCurve!I16</f>
        <v>189.569</v>
      </c>
      <c r="J16" s="94" t="n">
        <f aca="false">VLOOKUP($D16,tblPriorPrice,3)</f>
        <v>0</v>
      </c>
      <c r="K16" s="95" t="n">
        <f aca="false">+[2]OperatingCurve!$G16</f>
        <v>0</v>
      </c>
      <c r="L16" s="96" t="n">
        <f aca="false">J16+K16</f>
        <v>0</v>
      </c>
      <c r="M16" s="96" t="n">
        <f aca="false">L16</f>
        <v>0</v>
      </c>
      <c r="N16" s="96" t="n">
        <f aca="false">L16</f>
        <v>0</v>
      </c>
      <c r="O16" s="58" t="n">
        <f aca="true">IF($A16="",0,INDEX(tblPosn,$A16,2))</f>
        <v>0</v>
      </c>
      <c r="P16" s="59" t="n">
        <f aca="true">IF($A16="",0,INDEX(tblPosn,$A16,3))</f>
        <v>0</v>
      </c>
      <c r="Q16" s="59" t="n">
        <f aca="true">IF($A16="",0,INDEX(tblPosn,$A16,4))</f>
        <v>0</v>
      </c>
      <c r="R16" s="59" t="n">
        <f aca="true">IF($A16="",0,INDEX(tblPosn,$A16,5))</f>
        <v>0</v>
      </c>
      <c r="S16" s="59" t="n">
        <f aca="true">IF($A16="",0,INDEX(tblPosn,$A16,6))</f>
        <v>0</v>
      </c>
      <c r="T16" s="98" t="n">
        <f aca="false">O16*F16+P16*K16+R16*AC16+S16*AH16+Q16*X16</f>
        <v>0</v>
      </c>
      <c r="V16" s="99"/>
      <c r="W16" s="100"/>
      <c r="X16" s="101" t="n">
        <f aca="false">F16</f>
        <v>0</v>
      </c>
      <c r="Y16" s="102"/>
      <c r="Z16" s="102"/>
      <c r="AA16" s="102"/>
      <c r="AB16" s="100"/>
      <c r="AC16" s="101" t="n">
        <f aca="false">F16</f>
        <v>0</v>
      </c>
      <c r="AD16" s="102"/>
      <c r="AE16" s="102"/>
      <c r="AF16" s="103"/>
      <c r="AG16" s="100"/>
      <c r="AH16" s="101" t="n">
        <f aca="false">IF(MONTH(D16)=MONTH($V$34),$AH$34,$AH$33)</f>
        <v>0</v>
      </c>
      <c r="AI16" s="102"/>
      <c r="AJ16" s="102"/>
      <c r="AK16" s="103"/>
      <c r="AL16" s="104"/>
      <c r="AM16" s="103"/>
      <c r="AN16" s="104"/>
      <c r="AO16" s="104"/>
      <c r="AP16" s="104"/>
      <c r="AQ16" s="100"/>
      <c r="AR16" s="104"/>
      <c r="AS16" s="104"/>
      <c r="AT16" s="100"/>
      <c r="AU16" s="104"/>
      <c r="AV16" s="104"/>
      <c r="AW16" s="100"/>
      <c r="AX16" s="104"/>
      <c r="AY16" s="104"/>
      <c r="AZ16" s="100"/>
      <c r="BA16" s="74"/>
      <c r="BB16" s="148" t="n">
        <f aca="false">BB15+1</f>
        <v>2007</v>
      </c>
      <c r="BC16" s="145" t="n">
        <v>0</v>
      </c>
      <c r="BD16" s="146" t="n">
        <v>0</v>
      </c>
      <c r="BE16" s="147" t="n">
        <v>0</v>
      </c>
      <c r="BF16" s="146" t="n">
        <v>0</v>
      </c>
      <c r="BG16" s="146" t="n">
        <v>0</v>
      </c>
      <c r="BH16" s="147" t="n">
        <v>0</v>
      </c>
      <c r="BQ16" s="108" t="n">
        <v>36907.7428240741</v>
      </c>
      <c r="BR16" s="109" t="n">
        <v>36907.7432986111</v>
      </c>
      <c r="BS16" s="110" t="n">
        <v>36924</v>
      </c>
      <c r="BT16" s="111" t="n">
        <v>0</v>
      </c>
      <c r="BU16" s="112" t="n">
        <v>0</v>
      </c>
      <c r="BV16" s="112" t="n">
        <v>0</v>
      </c>
      <c r="BW16" s="112" t="n">
        <v>0</v>
      </c>
      <c r="BX16" s="113" t="n">
        <v>0</v>
      </c>
      <c r="BY16" s="114"/>
      <c r="BZ16" s="115" t="n">
        <v>36921</v>
      </c>
      <c r="CA16" s="116" t="n">
        <v>182.964004516602</v>
      </c>
      <c r="CB16" s="116" t="n">
        <v>0</v>
      </c>
      <c r="CC16" s="116"/>
      <c r="CD16" s="116"/>
      <c r="CE16" s="117"/>
      <c r="CG16" s="135" t="n">
        <f aca="false">BB21</f>
        <v>2012</v>
      </c>
      <c r="CH16" s="136" t="n">
        <v>0</v>
      </c>
      <c r="CI16" s="137" t="n">
        <v>0</v>
      </c>
      <c r="CJ16" s="137" t="n">
        <v>0</v>
      </c>
      <c r="CK16" s="137" t="n">
        <v>0</v>
      </c>
      <c r="CL16" s="137" t="n">
        <v>0</v>
      </c>
      <c r="CM16" s="137" t="n">
        <v>0</v>
      </c>
      <c r="CN16" s="137" t="n">
        <v>0</v>
      </c>
      <c r="CO16" s="137" t="n">
        <v>0</v>
      </c>
      <c r="CP16" s="137" t="n">
        <v>0</v>
      </c>
      <c r="CQ16" s="137" t="n">
        <v>0</v>
      </c>
      <c r="CR16" s="137" t="n">
        <v>0</v>
      </c>
      <c r="CS16" s="138" t="n">
        <v>0</v>
      </c>
      <c r="CU16" s="135" t="n">
        <f aca="false">BB21</f>
        <v>2012</v>
      </c>
      <c r="CV16" s="136" t="n">
        <v>0</v>
      </c>
      <c r="CW16" s="137" t="n">
        <v>0</v>
      </c>
      <c r="CX16" s="137" t="n">
        <v>0</v>
      </c>
      <c r="CY16" s="137" t="n">
        <v>0</v>
      </c>
      <c r="CZ16" s="137" t="n">
        <v>0</v>
      </c>
      <c r="DA16" s="137" t="n">
        <v>0</v>
      </c>
      <c r="DB16" s="137" t="n">
        <v>0</v>
      </c>
      <c r="DC16" s="137" t="n">
        <v>0</v>
      </c>
      <c r="DD16" s="137" t="n">
        <v>0</v>
      </c>
      <c r="DE16" s="137" t="n">
        <v>0</v>
      </c>
      <c r="DF16" s="137" t="n">
        <v>0</v>
      </c>
      <c r="DG16" s="138" t="n">
        <v>0</v>
      </c>
      <c r="DI16" s="135" t="n">
        <f aca="false">BB21</f>
        <v>2012</v>
      </c>
      <c r="DJ16" s="136" t="n">
        <v>0</v>
      </c>
      <c r="DK16" s="137" t="n">
        <v>0</v>
      </c>
      <c r="DL16" s="137" t="n">
        <v>0</v>
      </c>
      <c r="DM16" s="137" t="n">
        <v>0</v>
      </c>
      <c r="DN16" s="137" t="n">
        <v>0</v>
      </c>
      <c r="DO16" s="137" t="n">
        <v>0</v>
      </c>
      <c r="DP16" s="137" t="n">
        <v>0</v>
      </c>
      <c r="DQ16" s="137" t="n">
        <v>0</v>
      </c>
      <c r="DR16" s="137" t="n">
        <v>0</v>
      </c>
      <c r="DS16" s="137" t="n">
        <v>0</v>
      </c>
      <c r="DT16" s="137" t="n">
        <v>0</v>
      </c>
      <c r="DU16" s="138" t="n">
        <v>0</v>
      </c>
    </row>
    <row r="17" customFormat="false" ht="12.75" hidden="false" customHeight="false" outlineLevel="0" collapsed="false">
      <c r="A17" s="91" t="n">
        <f aca="true">IF(ISERROR(MATCH(D17,iRefDt,0)),"",MATCH(D17,iRefDt,0))</f>
        <v>13</v>
      </c>
      <c r="B17" s="92" t="n">
        <f aca="false">MATCH(YEAR(D17),iSpreads)</f>
        <v>1</v>
      </c>
      <c r="C17" s="0" t="n">
        <f aca="false">MONTH(D17)</f>
        <v>2</v>
      </c>
      <c r="D17" s="93" t="n">
        <f aca="false">D16+1</f>
        <v>36923</v>
      </c>
      <c r="E17" s="94" t="n">
        <f aca="false">VLOOKUP($D17,tblPriorPrice,2)</f>
        <v>219.225006103516</v>
      </c>
      <c r="F17" s="95" t="n">
        <f aca="false">+[2]OperatingCurve!$D17</f>
        <v>0</v>
      </c>
      <c r="G17" s="96" t="n">
        <f aca="false">IF(EnergyCurve!G17&lt;200,0.001*EnergyCurve!G17+1,1.2)*EnergyCurve!G17</f>
        <v>205.625</v>
      </c>
      <c r="H17" s="96" t="n">
        <f aca="false">IF(EnergyCurve!H17&lt;200,0.001*EnergyCurve!H17+1,1.2)*EnergyCurve!H17</f>
        <v>198.9</v>
      </c>
      <c r="I17" s="96" t="n">
        <f aca="false">IF(EnergyCurve!I17&lt;200,0.001*EnergyCurve!I17+1,1.2)*EnergyCurve!I17</f>
        <v>240</v>
      </c>
      <c r="J17" s="94" t="n">
        <f aca="false">VLOOKUP($D17,tblPriorPrice,3)</f>
        <v>0</v>
      </c>
      <c r="K17" s="95" t="n">
        <f aca="false">+[2]OperatingCurve!$G17</f>
        <v>0</v>
      </c>
      <c r="L17" s="96" t="n">
        <f aca="false">J17+K17</f>
        <v>0</v>
      </c>
      <c r="M17" s="96" t="n">
        <f aca="false">L17</f>
        <v>0</v>
      </c>
      <c r="N17" s="96" t="n">
        <f aca="false">L17</f>
        <v>0</v>
      </c>
      <c r="O17" s="58" t="n">
        <f aca="true">IF($A17="",0,INDEX(tblPosn,$A17,2))</f>
        <v>0</v>
      </c>
      <c r="P17" s="59" t="n">
        <f aca="true">IF($A17="",0,INDEX(tblPosn,$A17,3))</f>
        <v>0</v>
      </c>
      <c r="Q17" s="59" t="n">
        <f aca="true">IF($A17="",0,INDEX(tblPosn,$A17,4))</f>
        <v>0</v>
      </c>
      <c r="R17" s="59" t="n">
        <f aca="true">IF($A17="",0,INDEX(tblPosn,$A17,5))</f>
        <v>0</v>
      </c>
      <c r="S17" s="59" t="n">
        <f aca="true">IF($A17="",0,INDEX(tblPosn,$A17,6))</f>
        <v>0</v>
      </c>
      <c r="T17" s="98" t="n">
        <f aca="false">O17*F17+P17*K17+R17*AC17+S17*AH17+Q17*X17</f>
        <v>0</v>
      </c>
      <c r="V17" s="99"/>
      <c r="W17" s="100"/>
      <c r="X17" s="101" t="n">
        <f aca="false">F17</f>
        <v>0</v>
      </c>
      <c r="Y17" s="102"/>
      <c r="Z17" s="102"/>
      <c r="AA17" s="102"/>
      <c r="AB17" s="100"/>
      <c r="AC17" s="101" t="n">
        <f aca="false">F17</f>
        <v>0</v>
      </c>
      <c r="AD17" s="102"/>
      <c r="AE17" s="102"/>
      <c r="AF17" s="103"/>
      <c r="AG17" s="100"/>
      <c r="AH17" s="101" t="n">
        <f aca="false">IF(MONTH(D17)=MONTH($V$34),$AH$34,$AH$33)</f>
        <v>0</v>
      </c>
      <c r="AI17" s="102"/>
      <c r="AJ17" s="102"/>
      <c r="AK17" s="103"/>
      <c r="AL17" s="104"/>
      <c r="AM17" s="103"/>
      <c r="AN17" s="104"/>
      <c r="AO17" s="104"/>
      <c r="AP17" s="104"/>
      <c r="AQ17" s="100"/>
      <c r="AR17" s="104"/>
      <c r="AS17" s="104"/>
      <c r="AT17" s="100"/>
      <c r="AU17" s="104"/>
      <c r="AV17" s="104"/>
      <c r="AW17" s="100"/>
      <c r="AX17" s="104"/>
      <c r="AY17" s="104"/>
      <c r="AZ17" s="100"/>
      <c r="BA17" s="74"/>
      <c r="BB17" s="148" t="n">
        <f aca="false">BB16+1</f>
        <v>2008</v>
      </c>
      <c r="BC17" s="145" t="n">
        <v>0</v>
      </c>
      <c r="BD17" s="146" t="n">
        <v>0</v>
      </c>
      <c r="BE17" s="147" t="n">
        <v>0</v>
      </c>
      <c r="BF17" s="146" t="n">
        <v>0</v>
      </c>
      <c r="BG17" s="146" t="n">
        <v>0</v>
      </c>
      <c r="BH17" s="147" t="n">
        <v>0</v>
      </c>
      <c r="BQ17" s="108" t="n">
        <v>36907.7428240741</v>
      </c>
      <c r="BR17" s="109" t="n">
        <v>36907.7432986111</v>
      </c>
      <c r="BS17" s="110" t="n">
        <v>36927</v>
      </c>
      <c r="BT17" s="111" t="n">
        <v>0</v>
      </c>
      <c r="BU17" s="112" t="n">
        <v>0</v>
      </c>
      <c r="BV17" s="112" t="n">
        <v>0</v>
      </c>
      <c r="BW17" s="112" t="n">
        <v>0</v>
      </c>
      <c r="BX17" s="113" t="n">
        <v>0</v>
      </c>
      <c r="BY17" s="114"/>
      <c r="BZ17" s="115" t="n">
        <v>36922</v>
      </c>
      <c r="CA17" s="116" t="n">
        <v>182.964004516602</v>
      </c>
      <c r="CB17" s="116" t="n">
        <v>0</v>
      </c>
      <c r="CC17" s="116"/>
      <c r="CD17" s="116"/>
      <c r="CE17" s="117"/>
      <c r="CG17" s="135" t="n">
        <f aca="false">BB22</f>
        <v>2013</v>
      </c>
      <c r="CH17" s="136" t="n">
        <v>0</v>
      </c>
      <c r="CI17" s="137" t="n">
        <v>0</v>
      </c>
      <c r="CJ17" s="137" t="n">
        <v>0</v>
      </c>
      <c r="CK17" s="137" t="n">
        <v>0</v>
      </c>
      <c r="CL17" s="137" t="n">
        <v>0</v>
      </c>
      <c r="CM17" s="137" t="n">
        <v>0</v>
      </c>
      <c r="CN17" s="137" t="n">
        <v>0</v>
      </c>
      <c r="CO17" s="137" t="n">
        <v>0</v>
      </c>
      <c r="CP17" s="137" t="n">
        <v>0</v>
      </c>
      <c r="CQ17" s="137" t="n">
        <v>0</v>
      </c>
      <c r="CR17" s="137" t="n">
        <v>0</v>
      </c>
      <c r="CS17" s="138" t="n">
        <v>0</v>
      </c>
      <c r="CU17" s="135" t="n">
        <f aca="false">BB22</f>
        <v>2013</v>
      </c>
      <c r="CV17" s="136" t="n">
        <v>0</v>
      </c>
      <c r="CW17" s="137" t="n">
        <v>0</v>
      </c>
      <c r="CX17" s="137" t="n">
        <v>0</v>
      </c>
      <c r="CY17" s="137" t="n">
        <v>0</v>
      </c>
      <c r="CZ17" s="137" t="n">
        <v>0</v>
      </c>
      <c r="DA17" s="137" t="n">
        <v>0</v>
      </c>
      <c r="DB17" s="137" t="n">
        <v>0</v>
      </c>
      <c r="DC17" s="137" t="n">
        <v>0</v>
      </c>
      <c r="DD17" s="137" t="n">
        <v>0</v>
      </c>
      <c r="DE17" s="137" t="n">
        <v>0</v>
      </c>
      <c r="DF17" s="137" t="n">
        <v>0</v>
      </c>
      <c r="DG17" s="138" t="n">
        <v>0</v>
      </c>
      <c r="DI17" s="135" t="n">
        <f aca="false">BB22</f>
        <v>2013</v>
      </c>
      <c r="DJ17" s="136" t="n">
        <v>0</v>
      </c>
      <c r="DK17" s="137" t="n">
        <v>0</v>
      </c>
      <c r="DL17" s="137" t="n">
        <v>0</v>
      </c>
      <c r="DM17" s="137" t="n">
        <v>0</v>
      </c>
      <c r="DN17" s="137" t="n">
        <v>0</v>
      </c>
      <c r="DO17" s="137" t="n">
        <v>0</v>
      </c>
      <c r="DP17" s="137" t="n">
        <v>0</v>
      </c>
      <c r="DQ17" s="137" t="n">
        <v>0</v>
      </c>
      <c r="DR17" s="137" t="n">
        <v>0</v>
      </c>
      <c r="DS17" s="137" t="n">
        <v>0</v>
      </c>
      <c r="DT17" s="137" t="n">
        <v>0</v>
      </c>
      <c r="DU17" s="138" t="n">
        <v>0</v>
      </c>
    </row>
    <row r="18" customFormat="false" ht="12.75" hidden="false" customHeight="false" outlineLevel="0" collapsed="false">
      <c r="A18" s="91" t="n">
        <f aca="true">IF(ISERROR(MATCH(D18,iRefDt,0)),"",MATCH(D18,iRefDt,0))</f>
        <v>14</v>
      </c>
      <c r="B18" s="92" t="n">
        <f aca="false">MATCH(YEAR(D18),iSpreads)</f>
        <v>1</v>
      </c>
      <c r="C18" s="0" t="n">
        <f aca="false">MONTH(D18)</f>
        <v>2</v>
      </c>
      <c r="D18" s="93" t="n">
        <f aca="false">D17+1</f>
        <v>36924</v>
      </c>
      <c r="E18" s="94" t="n">
        <f aca="false">VLOOKUP($D18,tblPriorPrice,2)</f>
        <v>219.225006103516</v>
      </c>
      <c r="F18" s="95" t="n">
        <f aca="false">+[2]OperatingCurve!$D18</f>
        <v>0</v>
      </c>
      <c r="G18" s="96" t="n">
        <f aca="false">IF(EnergyCurve!G18&lt;200,0.001*EnergyCurve!G18+1,1.2)*EnergyCurve!G18</f>
        <v>205.625</v>
      </c>
      <c r="H18" s="96" t="n">
        <f aca="false">IF(EnergyCurve!H18&lt;200,0.001*EnergyCurve!H18+1,1.2)*EnergyCurve!H18</f>
        <v>198.9</v>
      </c>
      <c r="I18" s="96" t="n">
        <f aca="false">IF(EnergyCurve!I18&lt;200,0.001*EnergyCurve!I18+1,1.2)*EnergyCurve!I18</f>
        <v>240</v>
      </c>
      <c r="J18" s="94" t="n">
        <f aca="false">VLOOKUP($D18,tblPriorPrice,3)</f>
        <v>0</v>
      </c>
      <c r="K18" s="95" t="n">
        <f aca="false">+[2]OperatingCurve!$G18</f>
        <v>0</v>
      </c>
      <c r="L18" s="96" t="n">
        <f aca="false">J18+K18</f>
        <v>0</v>
      </c>
      <c r="M18" s="96" t="n">
        <f aca="false">L18</f>
        <v>0</v>
      </c>
      <c r="N18" s="96" t="n">
        <f aca="false">L18</f>
        <v>0</v>
      </c>
      <c r="O18" s="58" t="n">
        <f aca="true">IF($A18="",0,INDEX(tblPosn,$A18,2))</f>
        <v>0</v>
      </c>
      <c r="P18" s="59" t="n">
        <f aca="true">IF($A18="",0,INDEX(tblPosn,$A18,3))</f>
        <v>0</v>
      </c>
      <c r="Q18" s="59" t="n">
        <f aca="true">IF($A18="",0,INDEX(tblPosn,$A18,4))</f>
        <v>0</v>
      </c>
      <c r="R18" s="59" t="n">
        <f aca="true">IF($A18="",0,INDEX(tblPosn,$A18,5))</f>
        <v>0</v>
      </c>
      <c r="S18" s="59" t="n">
        <f aca="true">IF($A18="",0,INDEX(tblPosn,$A18,6))</f>
        <v>0</v>
      </c>
      <c r="T18" s="98" t="n">
        <f aca="false">O18*F18+P18*K18+R18*AC18+S18*AH18+Q18*X18</f>
        <v>0</v>
      </c>
      <c r="V18" s="99"/>
      <c r="W18" s="100"/>
      <c r="X18" s="101" t="n">
        <f aca="false">F18</f>
        <v>0</v>
      </c>
      <c r="Y18" s="102"/>
      <c r="Z18" s="102"/>
      <c r="AA18" s="102"/>
      <c r="AB18" s="100"/>
      <c r="AC18" s="101" t="n">
        <f aca="false">F18</f>
        <v>0</v>
      </c>
      <c r="AD18" s="102"/>
      <c r="AE18" s="102"/>
      <c r="AF18" s="103"/>
      <c r="AG18" s="100"/>
      <c r="AH18" s="101" t="n">
        <f aca="false">IF(MONTH(D18)=MONTH($V$34),$AH$34,$AH$33)</f>
        <v>0</v>
      </c>
      <c r="AI18" s="102"/>
      <c r="AJ18" s="102"/>
      <c r="AK18" s="103"/>
      <c r="AL18" s="104"/>
      <c r="AM18" s="103"/>
      <c r="AN18" s="104"/>
      <c r="AO18" s="104"/>
      <c r="AP18" s="104"/>
      <c r="AQ18" s="100"/>
      <c r="AR18" s="104"/>
      <c r="AS18" s="104"/>
      <c r="AT18" s="100"/>
      <c r="AU18" s="104"/>
      <c r="AV18" s="104"/>
      <c r="AW18" s="100"/>
      <c r="AX18" s="104"/>
      <c r="AY18" s="104"/>
      <c r="AZ18" s="100"/>
      <c r="BA18" s="74"/>
      <c r="BB18" s="148" t="n">
        <f aca="false">BB17+1</f>
        <v>2009</v>
      </c>
      <c r="BC18" s="145" t="n">
        <v>0</v>
      </c>
      <c r="BD18" s="146" t="n">
        <v>0</v>
      </c>
      <c r="BE18" s="147" t="n">
        <v>0</v>
      </c>
      <c r="BF18" s="146" t="n">
        <v>0</v>
      </c>
      <c r="BG18" s="146" t="n">
        <v>0</v>
      </c>
      <c r="BH18" s="147" t="n">
        <v>0</v>
      </c>
      <c r="BQ18" s="108" t="n">
        <v>36907.7428240741</v>
      </c>
      <c r="BR18" s="109" t="n">
        <v>36907.7432986111</v>
      </c>
      <c r="BS18" s="110" t="n">
        <v>36928</v>
      </c>
      <c r="BT18" s="111" t="n">
        <v>0</v>
      </c>
      <c r="BU18" s="112" t="n">
        <v>0</v>
      </c>
      <c r="BV18" s="112" t="n">
        <v>0</v>
      </c>
      <c r="BW18" s="112" t="n">
        <v>0</v>
      </c>
      <c r="BX18" s="113" t="n">
        <v>0</v>
      </c>
      <c r="BY18" s="114"/>
      <c r="BZ18" s="115" t="n">
        <v>36923</v>
      </c>
      <c r="CA18" s="116" t="n">
        <v>219.225006103516</v>
      </c>
      <c r="CB18" s="116" t="n">
        <v>0</v>
      </c>
      <c r="CC18" s="116"/>
      <c r="CD18" s="116"/>
      <c r="CE18" s="117"/>
      <c r="CG18" s="135" t="n">
        <f aca="false">BB23</f>
        <v>2014</v>
      </c>
      <c r="CH18" s="136" t="n">
        <v>0</v>
      </c>
      <c r="CI18" s="137" t="n">
        <v>0</v>
      </c>
      <c r="CJ18" s="137" t="n">
        <v>0</v>
      </c>
      <c r="CK18" s="137" t="n">
        <v>0</v>
      </c>
      <c r="CL18" s="137" t="n">
        <v>0</v>
      </c>
      <c r="CM18" s="137" t="n">
        <v>0</v>
      </c>
      <c r="CN18" s="137" t="n">
        <v>0</v>
      </c>
      <c r="CO18" s="137" t="n">
        <v>0</v>
      </c>
      <c r="CP18" s="137" t="n">
        <v>0</v>
      </c>
      <c r="CQ18" s="137" t="n">
        <v>0</v>
      </c>
      <c r="CR18" s="137" t="n">
        <v>0</v>
      </c>
      <c r="CS18" s="138" t="n">
        <v>0</v>
      </c>
      <c r="CU18" s="135" t="n">
        <f aca="false">BB23</f>
        <v>2014</v>
      </c>
      <c r="CV18" s="136" t="n">
        <v>0</v>
      </c>
      <c r="CW18" s="137" t="n">
        <v>0</v>
      </c>
      <c r="CX18" s="137" t="n">
        <v>0</v>
      </c>
      <c r="CY18" s="137" t="n">
        <v>0</v>
      </c>
      <c r="CZ18" s="137" t="n">
        <v>0</v>
      </c>
      <c r="DA18" s="137" t="n">
        <v>0</v>
      </c>
      <c r="DB18" s="137" t="n">
        <v>0</v>
      </c>
      <c r="DC18" s="137" t="n">
        <v>0</v>
      </c>
      <c r="DD18" s="137" t="n">
        <v>0</v>
      </c>
      <c r="DE18" s="137" t="n">
        <v>0</v>
      </c>
      <c r="DF18" s="137" t="n">
        <v>0</v>
      </c>
      <c r="DG18" s="138" t="n">
        <v>0</v>
      </c>
      <c r="DI18" s="135" t="n">
        <f aca="false">BB23</f>
        <v>2014</v>
      </c>
      <c r="DJ18" s="136" t="n">
        <v>0</v>
      </c>
      <c r="DK18" s="137" t="n">
        <v>0</v>
      </c>
      <c r="DL18" s="137" t="n">
        <v>0</v>
      </c>
      <c r="DM18" s="137" t="n">
        <v>0</v>
      </c>
      <c r="DN18" s="137" t="n">
        <v>0</v>
      </c>
      <c r="DO18" s="137" t="n">
        <v>0</v>
      </c>
      <c r="DP18" s="137" t="n">
        <v>0</v>
      </c>
      <c r="DQ18" s="137" t="n">
        <v>0</v>
      </c>
      <c r="DR18" s="137" t="n">
        <v>0</v>
      </c>
      <c r="DS18" s="137" t="n">
        <v>0</v>
      </c>
      <c r="DT18" s="137" t="n">
        <v>0</v>
      </c>
      <c r="DU18" s="138" t="n">
        <v>0</v>
      </c>
    </row>
    <row r="19" customFormat="false" ht="12.75" hidden="false" customHeight="false" outlineLevel="0" collapsed="false">
      <c r="A19" s="91" t="str">
        <f aca="true">IF(ISERROR(MATCH(D19,iRefDt,0)),"",MATCH(D19,iRefDt,0))</f>
        <v/>
      </c>
      <c r="B19" s="92" t="n">
        <f aca="false">MATCH(YEAR(D19),iSpreads)</f>
        <v>1</v>
      </c>
      <c r="C19" s="0" t="n">
        <f aca="false">MONTH(D19)</f>
        <v>2</v>
      </c>
      <c r="D19" s="93" t="n">
        <f aca="false">D18+1</f>
        <v>36925</v>
      </c>
      <c r="E19" s="94" t="n">
        <f aca="false">VLOOKUP($D19,tblPriorPrice,2)</f>
        <v>151.955993652344</v>
      </c>
      <c r="F19" s="95" t="n">
        <f aca="false">+[2]OperatingCurve!$D19</f>
        <v>0</v>
      </c>
      <c r="G19" s="96" t="n">
        <f aca="false">IF(EnergyCurve!G19&lt;200,0.001*EnergyCurve!G19+1,1.2)*EnergyCurve!G19</f>
        <v>139.376</v>
      </c>
      <c r="H19" s="96" t="n">
        <f aca="false">IF(EnergyCurve!H19&lt;200,0.001*EnergyCurve!H19+1,1.2)*EnergyCurve!H19</f>
        <v>133.161</v>
      </c>
      <c r="I19" s="96" t="n">
        <f aca="false">IF(EnergyCurve!I19&lt;200,0.001*EnergyCurve!I19+1,1.2)*EnergyCurve!I19</f>
        <v>171.201</v>
      </c>
      <c r="J19" s="94" t="n">
        <f aca="false">VLOOKUP($D19,tblPriorPrice,3)</f>
        <v>0</v>
      </c>
      <c r="K19" s="95" t="n">
        <f aca="false">+[2]OperatingCurve!$G19</f>
        <v>0</v>
      </c>
      <c r="L19" s="96" t="n">
        <f aca="false">J19+K19</f>
        <v>0</v>
      </c>
      <c r="M19" s="96" t="n">
        <f aca="false">L19</f>
        <v>0</v>
      </c>
      <c r="N19" s="96" t="n">
        <f aca="false">L19</f>
        <v>0</v>
      </c>
      <c r="O19" s="58" t="n">
        <f aca="true">IF($A19="",0,INDEX(tblPosn,$A19,2))</f>
        <v>0</v>
      </c>
      <c r="P19" s="59" t="n">
        <f aca="true">IF($A19="",0,INDEX(tblPosn,$A19,3))</f>
        <v>0</v>
      </c>
      <c r="Q19" s="59" t="n">
        <f aca="true">IF($A19="",0,INDEX(tblPosn,$A19,4))</f>
        <v>0</v>
      </c>
      <c r="R19" s="59" t="n">
        <f aca="true">IF($A19="",0,INDEX(tblPosn,$A19,5))</f>
        <v>0</v>
      </c>
      <c r="S19" s="59" t="n">
        <f aca="true">IF($A19="",0,INDEX(tblPosn,$A19,6))</f>
        <v>0</v>
      </c>
      <c r="T19" s="98" t="n">
        <f aca="false">O19*F19+P19*K19+R19*AC19+S19*AH19+Q19*X19</f>
        <v>0</v>
      </c>
      <c r="V19" s="99"/>
      <c r="W19" s="100"/>
      <c r="X19" s="101" t="n">
        <f aca="false">F19</f>
        <v>0</v>
      </c>
      <c r="Y19" s="102"/>
      <c r="Z19" s="102"/>
      <c r="AA19" s="102"/>
      <c r="AB19" s="100"/>
      <c r="AC19" s="101" t="n">
        <f aca="false">F19</f>
        <v>0</v>
      </c>
      <c r="AD19" s="102"/>
      <c r="AE19" s="102"/>
      <c r="AF19" s="103"/>
      <c r="AG19" s="100"/>
      <c r="AH19" s="101" t="n">
        <f aca="false">IF(MONTH(D19)=MONTH($V$34),$AH$34,$AH$33)</f>
        <v>0</v>
      </c>
      <c r="AI19" s="102"/>
      <c r="AJ19" s="102"/>
      <c r="AK19" s="103"/>
      <c r="AL19" s="104"/>
      <c r="AM19" s="103"/>
      <c r="AN19" s="104"/>
      <c r="AO19" s="104"/>
      <c r="AP19" s="104"/>
      <c r="AQ19" s="100"/>
      <c r="AR19" s="104"/>
      <c r="AS19" s="104"/>
      <c r="AT19" s="100"/>
      <c r="AU19" s="104"/>
      <c r="AV19" s="104"/>
      <c r="AW19" s="100"/>
      <c r="AX19" s="104"/>
      <c r="AY19" s="104"/>
      <c r="AZ19" s="100"/>
      <c r="BA19" s="74"/>
      <c r="BB19" s="148" t="n">
        <f aca="false">BB18+1</f>
        <v>2010</v>
      </c>
      <c r="BC19" s="145" t="n">
        <v>0</v>
      </c>
      <c r="BD19" s="146" t="n">
        <v>0</v>
      </c>
      <c r="BE19" s="147" t="n">
        <v>0</v>
      </c>
      <c r="BF19" s="146" t="n">
        <v>0</v>
      </c>
      <c r="BG19" s="146" t="n">
        <v>0</v>
      </c>
      <c r="BH19" s="147" t="n">
        <v>0</v>
      </c>
      <c r="BQ19" s="108" t="n">
        <v>36907.7428240741</v>
      </c>
      <c r="BR19" s="109" t="n">
        <v>36907.7432986111</v>
      </c>
      <c r="BS19" s="110" t="n">
        <v>36929</v>
      </c>
      <c r="BT19" s="111" t="n">
        <v>0</v>
      </c>
      <c r="BU19" s="112" t="n">
        <v>0</v>
      </c>
      <c r="BV19" s="112" t="n">
        <v>0</v>
      </c>
      <c r="BW19" s="112" t="n">
        <v>0</v>
      </c>
      <c r="BX19" s="113" t="n">
        <v>0</v>
      </c>
      <c r="BY19" s="114"/>
      <c r="BZ19" s="115" t="n">
        <v>36924</v>
      </c>
      <c r="CA19" s="116" t="n">
        <v>219.225006103516</v>
      </c>
      <c r="CB19" s="116" t="n">
        <v>0</v>
      </c>
      <c r="CC19" s="116"/>
      <c r="CD19" s="116"/>
      <c r="CE19" s="117"/>
      <c r="CG19" s="135" t="n">
        <f aca="false">BB24</f>
        <v>2015</v>
      </c>
      <c r="CH19" s="136" t="n">
        <v>0</v>
      </c>
      <c r="CI19" s="137" t="n">
        <v>0</v>
      </c>
      <c r="CJ19" s="137" t="n">
        <v>0</v>
      </c>
      <c r="CK19" s="137" t="n">
        <v>0</v>
      </c>
      <c r="CL19" s="137" t="n">
        <v>0</v>
      </c>
      <c r="CM19" s="137" t="n">
        <v>0</v>
      </c>
      <c r="CN19" s="137" t="n">
        <v>0</v>
      </c>
      <c r="CO19" s="137" t="n">
        <v>0</v>
      </c>
      <c r="CP19" s="137" t="n">
        <v>0</v>
      </c>
      <c r="CQ19" s="137" t="n">
        <v>0</v>
      </c>
      <c r="CR19" s="137" t="n">
        <v>0</v>
      </c>
      <c r="CS19" s="138" t="n">
        <v>0</v>
      </c>
      <c r="CU19" s="135" t="n">
        <f aca="false">BB24</f>
        <v>2015</v>
      </c>
      <c r="CV19" s="136" t="n">
        <v>0</v>
      </c>
      <c r="CW19" s="137" t="n">
        <v>0</v>
      </c>
      <c r="CX19" s="137" t="n">
        <v>0</v>
      </c>
      <c r="CY19" s="137" t="n">
        <v>0</v>
      </c>
      <c r="CZ19" s="137" t="n">
        <v>0</v>
      </c>
      <c r="DA19" s="137" t="n">
        <v>0</v>
      </c>
      <c r="DB19" s="137" t="n">
        <v>0</v>
      </c>
      <c r="DC19" s="137" t="n">
        <v>0</v>
      </c>
      <c r="DD19" s="137" t="n">
        <v>0</v>
      </c>
      <c r="DE19" s="137" t="n">
        <v>0</v>
      </c>
      <c r="DF19" s="137" t="n">
        <v>0</v>
      </c>
      <c r="DG19" s="138" t="n">
        <v>0</v>
      </c>
      <c r="DI19" s="135" t="n">
        <f aca="false">BB24</f>
        <v>2015</v>
      </c>
      <c r="DJ19" s="136" t="n">
        <v>0</v>
      </c>
      <c r="DK19" s="137" t="n">
        <v>0</v>
      </c>
      <c r="DL19" s="137" t="n">
        <v>0</v>
      </c>
      <c r="DM19" s="137" t="n">
        <v>0</v>
      </c>
      <c r="DN19" s="137" t="n">
        <v>0</v>
      </c>
      <c r="DO19" s="137" t="n">
        <v>0</v>
      </c>
      <c r="DP19" s="137" t="n">
        <v>0</v>
      </c>
      <c r="DQ19" s="137" t="n">
        <v>0</v>
      </c>
      <c r="DR19" s="137" t="n">
        <v>0</v>
      </c>
      <c r="DS19" s="137" t="n">
        <v>0</v>
      </c>
      <c r="DT19" s="137" t="n">
        <v>0</v>
      </c>
      <c r="DU19" s="138" t="n">
        <v>0</v>
      </c>
    </row>
    <row r="20" customFormat="false" ht="12.75" hidden="false" customHeight="false" outlineLevel="0" collapsed="false">
      <c r="A20" s="91" t="str">
        <f aca="true">IF(ISERROR(MATCH(D20,iRefDt,0)),"",MATCH(D20,iRefDt,0))</f>
        <v/>
      </c>
      <c r="B20" s="92" t="n">
        <f aca="false">MATCH(YEAR(D20),iSpreads)</f>
        <v>1</v>
      </c>
      <c r="C20" s="0" t="n">
        <f aca="false">MONTH(D20)</f>
        <v>2</v>
      </c>
      <c r="D20" s="93" t="n">
        <f aca="false">D19+1</f>
        <v>36926</v>
      </c>
      <c r="E20" s="94" t="n">
        <f aca="false">VLOOKUP($D20,tblPriorPrice,2)</f>
        <v>129.455993652344</v>
      </c>
      <c r="F20" s="95" t="n">
        <f aca="false">+[2]OperatingCurve!$D20</f>
        <v>0</v>
      </c>
      <c r="G20" s="96" t="n">
        <f aca="false">IF(EnergyCurve!G20&lt;200,0.001*EnergyCurve!G20+1,1.2)*EnergyCurve!G20</f>
        <v>117.236</v>
      </c>
      <c r="H20" s="96" t="n">
        <f aca="false">IF(EnergyCurve!H20&lt;200,0.001*EnergyCurve!H20+1,1.2)*EnergyCurve!H20</f>
        <v>111.201</v>
      </c>
      <c r="I20" s="96" t="n">
        <f aca="false">IF(EnergyCurve!I20&lt;200,0.001*EnergyCurve!I20+1,1.2)*EnergyCurve!I20</f>
        <v>148.161</v>
      </c>
      <c r="J20" s="94" t="n">
        <f aca="false">VLOOKUP($D20,tblPriorPrice,3)</f>
        <v>0</v>
      </c>
      <c r="K20" s="95" t="n">
        <f aca="false">+[2]OperatingCurve!$G20</f>
        <v>0</v>
      </c>
      <c r="L20" s="96" t="n">
        <f aca="false">J20+K20</f>
        <v>0</v>
      </c>
      <c r="M20" s="96" t="n">
        <f aca="false">L20</f>
        <v>0</v>
      </c>
      <c r="N20" s="96" t="n">
        <f aca="false">L20</f>
        <v>0</v>
      </c>
      <c r="O20" s="58" t="n">
        <f aca="true">IF($A20="",0,INDEX(tblPosn,$A20,2))</f>
        <v>0</v>
      </c>
      <c r="P20" s="59" t="n">
        <f aca="true">IF($A20="",0,INDEX(tblPosn,$A20,3))</f>
        <v>0</v>
      </c>
      <c r="Q20" s="59" t="n">
        <f aca="true">IF($A20="",0,INDEX(tblPosn,$A20,4))</f>
        <v>0</v>
      </c>
      <c r="R20" s="59" t="n">
        <f aca="true">IF($A20="",0,INDEX(tblPosn,$A20,5))</f>
        <v>0</v>
      </c>
      <c r="S20" s="59" t="n">
        <f aca="true">IF($A20="",0,INDEX(tblPosn,$A20,6))</f>
        <v>0</v>
      </c>
      <c r="T20" s="98" t="n">
        <f aca="false">O20*F20+P20*K20+R20*AC20+S20*AH20+Q20*X20</f>
        <v>0</v>
      </c>
      <c r="V20" s="99"/>
      <c r="W20" s="100"/>
      <c r="X20" s="101" t="n">
        <f aca="false">F20</f>
        <v>0</v>
      </c>
      <c r="Y20" s="102"/>
      <c r="Z20" s="102"/>
      <c r="AA20" s="102"/>
      <c r="AB20" s="100"/>
      <c r="AC20" s="101" t="n">
        <f aca="false">F20</f>
        <v>0</v>
      </c>
      <c r="AD20" s="102"/>
      <c r="AE20" s="102"/>
      <c r="AF20" s="103"/>
      <c r="AG20" s="100"/>
      <c r="AH20" s="101" t="n">
        <f aca="false">IF(MONTH(D20)=MONTH($V$34),$AH$34,$AH$33)</f>
        <v>0</v>
      </c>
      <c r="AI20" s="102"/>
      <c r="AJ20" s="102"/>
      <c r="AK20" s="103"/>
      <c r="AL20" s="104"/>
      <c r="AM20" s="103"/>
      <c r="AN20" s="104"/>
      <c r="AO20" s="104"/>
      <c r="AP20" s="104"/>
      <c r="AQ20" s="100"/>
      <c r="AR20" s="104"/>
      <c r="AS20" s="104"/>
      <c r="AT20" s="100"/>
      <c r="AU20" s="104"/>
      <c r="AV20" s="104"/>
      <c r="AW20" s="100"/>
      <c r="AX20" s="104"/>
      <c r="AY20" s="104"/>
      <c r="AZ20" s="100"/>
      <c r="BA20" s="74"/>
      <c r="BB20" s="148" t="n">
        <f aca="false">BB19+1</f>
        <v>2011</v>
      </c>
      <c r="BC20" s="145" t="n">
        <v>0</v>
      </c>
      <c r="BD20" s="146" t="n">
        <v>0</v>
      </c>
      <c r="BE20" s="147" t="n">
        <v>0</v>
      </c>
      <c r="BF20" s="146" t="n">
        <v>0</v>
      </c>
      <c r="BG20" s="146" t="n">
        <v>0</v>
      </c>
      <c r="BH20" s="147" t="n">
        <v>0</v>
      </c>
      <c r="BQ20" s="108" t="n">
        <v>36907.7428240741</v>
      </c>
      <c r="BR20" s="109" t="n">
        <v>36907.7432986111</v>
      </c>
      <c r="BS20" s="110" t="n">
        <v>36930</v>
      </c>
      <c r="BT20" s="111" t="n">
        <v>0</v>
      </c>
      <c r="BU20" s="112" t="n">
        <v>0</v>
      </c>
      <c r="BV20" s="112" t="n">
        <v>0</v>
      </c>
      <c r="BW20" s="112" t="n">
        <v>0</v>
      </c>
      <c r="BX20" s="113" t="n">
        <v>0</v>
      </c>
      <c r="BY20" s="114"/>
      <c r="BZ20" s="115" t="n">
        <v>36925</v>
      </c>
      <c r="CA20" s="116" t="n">
        <v>151.955993652344</v>
      </c>
      <c r="CB20" s="116" t="n">
        <v>0</v>
      </c>
      <c r="CC20" s="116"/>
      <c r="CD20" s="116"/>
      <c r="CE20" s="117"/>
      <c r="CG20" s="135" t="n">
        <f aca="false">BB25</f>
        <v>2016</v>
      </c>
      <c r="CH20" s="136" t="n">
        <v>0</v>
      </c>
      <c r="CI20" s="137" t="n">
        <v>0</v>
      </c>
      <c r="CJ20" s="137" t="n">
        <v>0</v>
      </c>
      <c r="CK20" s="137" t="n">
        <v>0</v>
      </c>
      <c r="CL20" s="137" t="n">
        <v>0</v>
      </c>
      <c r="CM20" s="137" t="n">
        <v>0</v>
      </c>
      <c r="CN20" s="137" t="n">
        <v>0</v>
      </c>
      <c r="CO20" s="137" t="n">
        <v>0</v>
      </c>
      <c r="CP20" s="137" t="n">
        <v>0</v>
      </c>
      <c r="CQ20" s="137" t="n">
        <v>0</v>
      </c>
      <c r="CR20" s="137" t="n">
        <v>0</v>
      </c>
      <c r="CS20" s="138" t="n">
        <v>0</v>
      </c>
      <c r="CU20" s="135" t="n">
        <f aca="false">BB25</f>
        <v>2016</v>
      </c>
      <c r="CV20" s="136" t="n">
        <v>0</v>
      </c>
      <c r="CW20" s="137" t="n">
        <v>0</v>
      </c>
      <c r="CX20" s="137" t="n">
        <v>0</v>
      </c>
      <c r="CY20" s="137" t="n">
        <v>0</v>
      </c>
      <c r="CZ20" s="137" t="n">
        <v>0</v>
      </c>
      <c r="DA20" s="137" t="n">
        <v>0</v>
      </c>
      <c r="DB20" s="137" t="n">
        <v>0</v>
      </c>
      <c r="DC20" s="137" t="n">
        <v>0</v>
      </c>
      <c r="DD20" s="137" t="n">
        <v>0</v>
      </c>
      <c r="DE20" s="137" t="n">
        <v>0</v>
      </c>
      <c r="DF20" s="137" t="n">
        <v>0</v>
      </c>
      <c r="DG20" s="138" t="n">
        <v>0</v>
      </c>
      <c r="DI20" s="135" t="n">
        <f aca="false">BB25</f>
        <v>2016</v>
      </c>
      <c r="DJ20" s="136" t="n">
        <v>0</v>
      </c>
      <c r="DK20" s="137" t="n">
        <v>0</v>
      </c>
      <c r="DL20" s="137" t="n">
        <v>0</v>
      </c>
      <c r="DM20" s="137" t="n">
        <v>0</v>
      </c>
      <c r="DN20" s="137" t="n">
        <v>0</v>
      </c>
      <c r="DO20" s="137" t="n">
        <v>0</v>
      </c>
      <c r="DP20" s="137" t="n">
        <v>0</v>
      </c>
      <c r="DQ20" s="137" t="n">
        <v>0</v>
      </c>
      <c r="DR20" s="137" t="n">
        <v>0</v>
      </c>
      <c r="DS20" s="137" t="n">
        <v>0</v>
      </c>
      <c r="DT20" s="137" t="n">
        <v>0</v>
      </c>
      <c r="DU20" s="138" t="n">
        <v>0</v>
      </c>
    </row>
    <row r="21" customFormat="false" ht="12.75" hidden="false" customHeight="false" outlineLevel="0" collapsed="false">
      <c r="A21" s="91" t="n">
        <f aca="true">IF(ISERROR(MATCH(D21,iRefDt,0)),"",MATCH(D21,iRefDt,0))</f>
        <v>15</v>
      </c>
      <c r="B21" s="92" t="n">
        <f aca="false">MATCH(YEAR(D21),iSpreads)</f>
        <v>1</v>
      </c>
      <c r="C21" s="0" t="n">
        <f aca="false">MONTH(D21)</f>
        <v>2</v>
      </c>
      <c r="D21" s="93" t="n">
        <f aca="false">D20+1</f>
        <v>36927</v>
      </c>
      <c r="E21" s="94" t="n">
        <f aca="false">VLOOKUP($D21,tblPriorPrice,2)</f>
        <v>219.225006103516</v>
      </c>
      <c r="F21" s="95" t="n">
        <f aca="false">+[2]OperatingCurve!$D21</f>
        <v>0</v>
      </c>
      <c r="G21" s="96" t="n">
        <f aca="false">IF(EnergyCurve!G21&lt;200,0.001*EnergyCurve!G21+1,1.2)*EnergyCurve!G21</f>
        <v>205.625</v>
      </c>
      <c r="H21" s="96" t="n">
        <f aca="false">IF(EnergyCurve!H21&lt;200,0.001*EnergyCurve!H21+1,1.2)*EnergyCurve!H21</f>
        <v>198.9</v>
      </c>
      <c r="I21" s="96" t="n">
        <f aca="false">IF(EnergyCurve!I21&lt;200,0.001*EnergyCurve!I21+1,1.2)*EnergyCurve!I21</f>
        <v>240</v>
      </c>
      <c r="J21" s="94" t="n">
        <f aca="false">VLOOKUP($D21,tblPriorPrice,3)</f>
        <v>0</v>
      </c>
      <c r="K21" s="95" t="n">
        <f aca="false">+[2]OperatingCurve!$G21</f>
        <v>0</v>
      </c>
      <c r="L21" s="96" t="n">
        <f aca="false">J21+K21</f>
        <v>0</v>
      </c>
      <c r="M21" s="96" t="n">
        <f aca="false">L21</f>
        <v>0</v>
      </c>
      <c r="N21" s="96" t="n">
        <f aca="false">L21</f>
        <v>0</v>
      </c>
      <c r="O21" s="58" t="n">
        <f aca="true">IF($A21="",0,INDEX(tblPosn,$A21,2))</f>
        <v>0</v>
      </c>
      <c r="P21" s="59" t="n">
        <f aca="true">IF($A21="",0,INDEX(tblPosn,$A21,3))</f>
        <v>0</v>
      </c>
      <c r="Q21" s="59" t="n">
        <f aca="true">IF($A21="",0,INDEX(tblPosn,$A21,4))</f>
        <v>0</v>
      </c>
      <c r="R21" s="59" t="n">
        <f aca="true">IF($A21="",0,INDEX(tblPosn,$A21,5))</f>
        <v>0</v>
      </c>
      <c r="S21" s="59" t="n">
        <f aca="true">IF($A21="",0,INDEX(tblPosn,$A21,6))</f>
        <v>0</v>
      </c>
      <c r="T21" s="98" t="n">
        <f aca="false">O21*F21+P21*K21+R21*AC21+S21*AH21+Q21*X21</f>
        <v>0</v>
      </c>
      <c r="V21" s="99"/>
      <c r="W21" s="100"/>
      <c r="X21" s="101" t="n">
        <f aca="false">F21</f>
        <v>0</v>
      </c>
      <c r="Y21" s="102"/>
      <c r="Z21" s="102"/>
      <c r="AA21" s="102"/>
      <c r="AB21" s="100"/>
      <c r="AC21" s="101" t="n">
        <f aca="false">F21</f>
        <v>0</v>
      </c>
      <c r="AD21" s="102"/>
      <c r="AE21" s="102"/>
      <c r="AF21" s="103"/>
      <c r="AG21" s="100"/>
      <c r="AH21" s="101" t="n">
        <f aca="false">IF(MONTH(D21)=MONTH($V$34),$AH$34,$AH$33)</f>
        <v>0</v>
      </c>
      <c r="AI21" s="102"/>
      <c r="AJ21" s="102"/>
      <c r="AK21" s="103"/>
      <c r="AL21" s="104"/>
      <c r="AM21" s="103"/>
      <c r="AN21" s="104"/>
      <c r="AO21" s="104"/>
      <c r="AP21" s="104"/>
      <c r="AQ21" s="100"/>
      <c r="AR21" s="104"/>
      <c r="AS21" s="104"/>
      <c r="AT21" s="100"/>
      <c r="AU21" s="104"/>
      <c r="AV21" s="104"/>
      <c r="AW21" s="100"/>
      <c r="AX21" s="104"/>
      <c r="AY21" s="104"/>
      <c r="AZ21" s="100"/>
      <c r="BA21" s="74"/>
      <c r="BB21" s="148" t="n">
        <f aca="false">BB20+1</f>
        <v>2012</v>
      </c>
      <c r="BC21" s="145" t="n">
        <v>0</v>
      </c>
      <c r="BD21" s="146" t="n">
        <v>0</v>
      </c>
      <c r="BE21" s="147" t="n">
        <v>0</v>
      </c>
      <c r="BF21" s="146" t="n">
        <v>0</v>
      </c>
      <c r="BG21" s="146" t="n">
        <v>0</v>
      </c>
      <c r="BH21" s="147" t="n">
        <v>0</v>
      </c>
      <c r="BQ21" s="108" t="n">
        <v>36907.7428240741</v>
      </c>
      <c r="BR21" s="109" t="n">
        <v>36907.7432986111</v>
      </c>
      <c r="BS21" s="110" t="n">
        <v>36931</v>
      </c>
      <c r="BT21" s="111" t="n">
        <v>0</v>
      </c>
      <c r="BU21" s="112" t="n">
        <v>0</v>
      </c>
      <c r="BV21" s="112" t="n">
        <v>0</v>
      </c>
      <c r="BW21" s="112" t="n">
        <v>0</v>
      </c>
      <c r="BX21" s="113" t="n">
        <v>0</v>
      </c>
      <c r="BY21" s="114"/>
      <c r="BZ21" s="115" t="n">
        <v>36926</v>
      </c>
      <c r="CA21" s="116" t="n">
        <v>129.455993652344</v>
      </c>
      <c r="CB21" s="116" t="n">
        <v>0</v>
      </c>
      <c r="CC21" s="116"/>
      <c r="CD21" s="116"/>
      <c r="CE21" s="117"/>
      <c r="CG21" s="135" t="n">
        <f aca="false">BB26</f>
        <v>2017</v>
      </c>
      <c r="CH21" s="136" t="n">
        <v>0</v>
      </c>
      <c r="CI21" s="137" t="n">
        <v>0</v>
      </c>
      <c r="CJ21" s="137" t="n">
        <v>0</v>
      </c>
      <c r="CK21" s="137" t="n">
        <v>0</v>
      </c>
      <c r="CL21" s="137" t="n">
        <v>0</v>
      </c>
      <c r="CM21" s="137" t="n">
        <v>0</v>
      </c>
      <c r="CN21" s="137" t="n">
        <v>0</v>
      </c>
      <c r="CO21" s="137" t="n">
        <v>0</v>
      </c>
      <c r="CP21" s="137" t="n">
        <v>0</v>
      </c>
      <c r="CQ21" s="137" t="n">
        <v>0</v>
      </c>
      <c r="CR21" s="137" t="n">
        <v>0</v>
      </c>
      <c r="CS21" s="138" t="n">
        <v>0</v>
      </c>
      <c r="CU21" s="135" t="n">
        <f aca="false">BB26</f>
        <v>2017</v>
      </c>
      <c r="CV21" s="136" t="n">
        <v>0</v>
      </c>
      <c r="CW21" s="137" t="n">
        <v>0</v>
      </c>
      <c r="CX21" s="137" t="n">
        <v>0</v>
      </c>
      <c r="CY21" s="137" t="n">
        <v>0</v>
      </c>
      <c r="CZ21" s="137" t="n">
        <v>0</v>
      </c>
      <c r="DA21" s="137" t="n">
        <v>0</v>
      </c>
      <c r="DB21" s="137" t="n">
        <v>0</v>
      </c>
      <c r="DC21" s="137" t="n">
        <v>0</v>
      </c>
      <c r="DD21" s="137" t="n">
        <v>0</v>
      </c>
      <c r="DE21" s="137" t="n">
        <v>0</v>
      </c>
      <c r="DF21" s="137" t="n">
        <v>0</v>
      </c>
      <c r="DG21" s="138" t="n">
        <v>0</v>
      </c>
      <c r="DI21" s="135" t="n">
        <f aca="false">BB26</f>
        <v>2017</v>
      </c>
      <c r="DJ21" s="136" t="n">
        <v>0</v>
      </c>
      <c r="DK21" s="137" t="n">
        <v>0</v>
      </c>
      <c r="DL21" s="137" t="n">
        <v>0</v>
      </c>
      <c r="DM21" s="137" t="n">
        <v>0</v>
      </c>
      <c r="DN21" s="137" t="n">
        <v>0</v>
      </c>
      <c r="DO21" s="137" t="n">
        <v>0</v>
      </c>
      <c r="DP21" s="137" t="n">
        <v>0</v>
      </c>
      <c r="DQ21" s="137" t="n">
        <v>0</v>
      </c>
      <c r="DR21" s="137" t="n">
        <v>0</v>
      </c>
      <c r="DS21" s="137" t="n">
        <v>0</v>
      </c>
      <c r="DT21" s="137" t="n">
        <v>0</v>
      </c>
      <c r="DU21" s="138" t="n">
        <v>0</v>
      </c>
    </row>
    <row r="22" customFormat="false" ht="12.75" hidden="false" customHeight="false" outlineLevel="0" collapsed="false">
      <c r="A22" s="91" t="n">
        <f aca="true">IF(ISERROR(MATCH(D22,iRefDt,0)),"",MATCH(D22,iRefDt,0))</f>
        <v>16</v>
      </c>
      <c r="B22" s="92" t="n">
        <f aca="false">MATCH(YEAR(D22),iSpreads)</f>
        <v>1</v>
      </c>
      <c r="C22" s="0" t="n">
        <f aca="false">MONTH(D22)</f>
        <v>2</v>
      </c>
      <c r="D22" s="93" t="n">
        <f aca="false">D21+1</f>
        <v>36928</v>
      </c>
      <c r="E22" s="94" t="n">
        <f aca="false">VLOOKUP($D22,tblPriorPrice,2)</f>
        <v>219.225006103516</v>
      </c>
      <c r="F22" s="95" t="n">
        <f aca="false">+[2]OperatingCurve!$D22</f>
        <v>0</v>
      </c>
      <c r="G22" s="96" t="n">
        <f aca="false">IF(EnergyCurve!G22&lt;200,0.001*EnergyCurve!G22+1,1.2)*EnergyCurve!G22</f>
        <v>205.625</v>
      </c>
      <c r="H22" s="96" t="n">
        <f aca="false">IF(EnergyCurve!H22&lt;200,0.001*EnergyCurve!H22+1,1.2)*EnergyCurve!H22</f>
        <v>198.9</v>
      </c>
      <c r="I22" s="96" t="n">
        <f aca="false">IF(EnergyCurve!I22&lt;200,0.001*EnergyCurve!I22+1,1.2)*EnergyCurve!I22</f>
        <v>240</v>
      </c>
      <c r="J22" s="94" t="n">
        <f aca="false">VLOOKUP($D22,tblPriorPrice,3)</f>
        <v>0</v>
      </c>
      <c r="K22" s="95" t="n">
        <f aca="false">+[2]OperatingCurve!$G22</f>
        <v>0</v>
      </c>
      <c r="L22" s="96" t="n">
        <f aca="false">J22+K22</f>
        <v>0</v>
      </c>
      <c r="M22" s="96" t="n">
        <f aca="false">L22</f>
        <v>0</v>
      </c>
      <c r="N22" s="96" t="n">
        <f aca="false">L22</f>
        <v>0</v>
      </c>
      <c r="O22" s="58" t="n">
        <f aca="true">IF($A22="",0,INDEX(tblPosn,$A22,2))</f>
        <v>0</v>
      </c>
      <c r="P22" s="59" t="n">
        <f aca="true">IF($A22="",0,INDEX(tblPosn,$A22,3))</f>
        <v>0</v>
      </c>
      <c r="Q22" s="59" t="n">
        <f aca="true">IF($A22="",0,INDEX(tblPosn,$A22,4))</f>
        <v>0</v>
      </c>
      <c r="R22" s="59" t="n">
        <f aca="true">IF($A22="",0,INDEX(tblPosn,$A22,5))</f>
        <v>0</v>
      </c>
      <c r="S22" s="59" t="n">
        <f aca="true">IF($A22="",0,INDEX(tblPosn,$A22,6))</f>
        <v>0</v>
      </c>
      <c r="T22" s="98" t="n">
        <f aca="false">O22*F22+P22*K22+R22*AC22+S22*AH22+Q22*X22</f>
        <v>0</v>
      </c>
      <c r="V22" s="99"/>
      <c r="W22" s="100"/>
      <c r="X22" s="101" t="n">
        <f aca="false">F22</f>
        <v>0</v>
      </c>
      <c r="Y22" s="102"/>
      <c r="Z22" s="102"/>
      <c r="AA22" s="102"/>
      <c r="AB22" s="100"/>
      <c r="AC22" s="101" t="n">
        <f aca="false">F22</f>
        <v>0</v>
      </c>
      <c r="AD22" s="102"/>
      <c r="AE22" s="102"/>
      <c r="AF22" s="103"/>
      <c r="AG22" s="100"/>
      <c r="AH22" s="101" t="n">
        <f aca="false">IF(MONTH(D22)=MONTH($V$34),$AH$34,$AH$33)</f>
        <v>0</v>
      </c>
      <c r="AI22" s="102"/>
      <c r="AJ22" s="102"/>
      <c r="AK22" s="103"/>
      <c r="AL22" s="104"/>
      <c r="AM22" s="103"/>
      <c r="AN22" s="104"/>
      <c r="AO22" s="104"/>
      <c r="AP22" s="104"/>
      <c r="AQ22" s="100"/>
      <c r="AR22" s="104"/>
      <c r="AS22" s="104"/>
      <c r="AT22" s="100"/>
      <c r="AU22" s="104"/>
      <c r="AV22" s="104"/>
      <c r="AW22" s="100"/>
      <c r="AX22" s="104"/>
      <c r="AY22" s="104"/>
      <c r="AZ22" s="100"/>
      <c r="BA22" s="74"/>
      <c r="BB22" s="148" t="n">
        <f aca="false">BB21+1</f>
        <v>2013</v>
      </c>
      <c r="BC22" s="145" t="n">
        <v>0</v>
      </c>
      <c r="BD22" s="146" t="n">
        <v>0</v>
      </c>
      <c r="BE22" s="147" t="n">
        <v>0</v>
      </c>
      <c r="BF22" s="146" t="n">
        <v>0</v>
      </c>
      <c r="BG22" s="146" t="n">
        <v>0</v>
      </c>
      <c r="BH22" s="147" t="n">
        <v>0</v>
      </c>
      <c r="BQ22" s="108" t="n">
        <v>36907.7428240741</v>
      </c>
      <c r="BR22" s="109" t="n">
        <v>36907.7432986111</v>
      </c>
      <c r="BS22" s="110" t="n">
        <v>36934</v>
      </c>
      <c r="BT22" s="111" t="n">
        <v>0</v>
      </c>
      <c r="BU22" s="112" t="n">
        <v>0</v>
      </c>
      <c r="BV22" s="112" t="n">
        <v>0</v>
      </c>
      <c r="BW22" s="112" t="n">
        <v>0</v>
      </c>
      <c r="BX22" s="113" t="n">
        <v>0</v>
      </c>
      <c r="BY22" s="114"/>
      <c r="BZ22" s="115" t="n">
        <v>36927</v>
      </c>
      <c r="CA22" s="116" t="n">
        <v>219.225006103516</v>
      </c>
      <c r="CB22" s="116" t="n">
        <v>0</v>
      </c>
      <c r="CC22" s="116"/>
      <c r="CD22" s="116"/>
      <c r="CE22" s="117"/>
      <c r="CG22" s="135" t="n">
        <f aca="false">BB27</f>
        <v>2018</v>
      </c>
      <c r="CH22" s="136" t="n">
        <v>0</v>
      </c>
      <c r="CI22" s="137" t="n">
        <v>0</v>
      </c>
      <c r="CJ22" s="137" t="n">
        <v>0</v>
      </c>
      <c r="CK22" s="137" t="n">
        <v>0</v>
      </c>
      <c r="CL22" s="137" t="n">
        <v>0</v>
      </c>
      <c r="CM22" s="137" t="n">
        <v>0</v>
      </c>
      <c r="CN22" s="137" t="n">
        <v>0</v>
      </c>
      <c r="CO22" s="137" t="n">
        <v>0</v>
      </c>
      <c r="CP22" s="137" t="n">
        <v>0</v>
      </c>
      <c r="CQ22" s="137" t="n">
        <v>0</v>
      </c>
      <c r="CR22" s="137" t="n">
        <v>0</v>
      </c>
      <c r="CS22" s="138" t="n">
        <v>0</v>
      </c>
      <c r="CU22" s="135" t="n">
        <f aca="false">BB27</f>
        <v>2018</v>
      </c>
      <c r="CV22" s="136" t="n">
        <v>0</v>
      </c>
      <c r="CW22" s="137" t="n">
        <v>0</v>
      </c>
      <c r="CX22" s="137" t="n">
        <v>0</v>
      </c>
      <c r="CY22" s="137" t="n">
        <v>0</v>
      </c>
      <c r="CZ22" s="137" t="n">
        <v>0</v>
      </c>
      <c r="DA22" s="137" t="n">
        <v>0</v>
      </c>
      <c r="DB22" s="137" t="n">
        <v>0</v>
      </c>
      <c r="DC22" s="137" t="n">
        <v>0</v>
      </c>
      <c r="DD22" s="137" t="n">
        <v>0</v>
      </c>
      <c r="DE22" s="137" t="n">
        <v>0</v>
      </c>
      <c r="DF22" s="137" t="n">
        <v>0</v>
      </c>
      <c r="DG22" s="138" t="n">
        <v>0</v>
      </c>
      <c r="DI22" s="135" t="n">
        <f aca="false">BB27</f>
        <v>2018</v>
      </c>
      <c r="DJ22" s="136" t="n">
        <v>0</v>
      </c>
      <c r="DK22" s="137" t="n">
        <v>0</v>
      </c>
      <c r="DL22" s="137" t="n">
        <v>0</v>
      </c>
      <c r="DM22" s="137" t="n">
        <v>0</v>
      </c>
      <c r="DN22" s="137" t="n">
        <v>0</v>
      </c>
      <c r="DO22" s="137" t="n">
        <v>0</v>
      </c>
      <c r="DP22" s="137" t="n">
        <v>0</v>
      </c>
      <c r="DQ22" s="137" t="n">
        <v>0</v>
      </c>
      <c r="DR22" s="137" t="n">
        <v>0</v>
      </c>
      <c r="DS22" s="137" t="n">
        <v>0</v>
      </c>
      <c r="DT22" s="137" t="n">
        <v>0</v>
      </c>
      <c r="DU22" s="138" t="n">
        <v>0</v>
      </c>
    </row>
    <row r="23" customFormat="false" ht="12.75" hidden="false" customHeight="false" outlineLevel="0" collapsed="false">
      <c r="A23" s="91" t="n">
        <f aca="true">IF(ISERROR(MATCH(D23,iRefDt,0)),"",MATCH(D23,iRefDt,0))</f>
        <v>17</v>
      </c>
      <c r="B23" s="92" t="n">
        <f aca="false">MATCH(YEAR(D23),iSpreads)</f>
        <v>1</v>
      </c>
      <c r="C23" s="0" t="n">
        <f aca="false">MONTH(D23)</f>
        <v>2</v>
      </c>
      <c r="D23" s="93" t="n">
        <f aca="false">D22+1</f>
        <v>36929</v>
      </c>
      <c r="E23" s="94" t="n">
        <f aca="false">VLOOKUP($D23,tblPriorPrice,2)</f>
        <v>219.225006103516</v>
      </c>
      <c r="F23" s="95" t="n">
        <f aca="false">+[2]OperatingCurve!$D23</f>
        <v>0</v>
      </c>
      <c r="G23" s="96" t="n">
        <f aca="false">IF(EnergyCurve!G23&lt;200,0.001*EnergyCurve!G23+1,1.2)*EnergyCurve!G23</f>
        <v>205.625</v>
      </c>
      <c r="H23" s="96" t="n">
        <f aca="false">IF(EnergyCurve!H23&lt;200,0.001*EnergyCurve!H23+1,1.2)*EnergyCurve!H23</f>
        <v>198.9</v>
      </c>
      <c r="I23" s="96" t="n">
        <f aca="false">IF(EnergyCurve!I23&lt;200,0.001*EnergyCurve!I23+1,1.2)*EnergyCurve!I23</f>
        <v>240</v>
      </c>
      <c r="J23" s="94" t="n">
        <f aca="false">VLOOKUP($D23,tblPriorPrice,3)</f>
        <v>0</v>
      </c>
      <c r="K23" s="95" t="n">
        <f aca="false">+[2]OperatingCurve!$G23</f>
        <v>0</v>
      </c>
      <c r="L23" s="96" t="n">
        <f aca="false">J23+K23</f>
        <v>0</v>
      </c>
      <c r="M23" s="96" t="n">
        <f aca="false">L23</f>
        <v>0</v>
      </c>
      <c r="N23" s="96" t="n">
        <f aca="false">L23</f>
        <v>0</v>
      </c>
      <c r="O23" s="58" t="n">
        <f aca="true">IF($A23="",0,INDEX(tblPosn,$A23,2))</f>
        <v>0</v>
      </c>
      <c r="P23" s="59" t="n">
        <f aca="true">IF($A23="",0,INDEX(tblPosn,$A23,3))</f>
        <v>0</v>
      </c>
      <c r="Q23" s="59" t="n">
        <f aca="true">IF($A23="",0,INDEX(tblPosn,$A23,4))</f>
        <v>0</v>
      </c>
      <c r="R23" s="59" t="n">
        <f aca="true">IF($A23="",0,INDEX(tblPosn,$A23,5))</f>
        <v>0</v>
      </c>
      <c r="S23" s="59" t="n">
        <f aca="true">IF($A23="",0,INDEX(tblPosn,$A23,6))</f>
        <v>0</v>
      </c>
      <c r="T23" s="98" t="n">
        <f aca="false">O23*F23+P23*K23+R23*AC23+S23*AH23+Q23*X23</f>
        <v>0</v>
      </c>
      <c r="V23" s="99"/>
      <c r="W23" s="100"/>
      <c r="X23" s="101" t="n">
        <f aca="false">F23</f>
        <v>0</v>
      </c>
      <c r="Y23" s="102"/>
      <c r="Z23" s="102"/>
      <c r="AA23" s="102"/>
      <c r="AB23" s="100"/>
      <c r="AC23" s="101" t="n">
        <f aca="false">F23</f>
        <v>0</v>
      </c>
      <c r="AD23" s="102"/>
      <c r="AE23" s="102"/>
      <c r="AF23" s="103"/>
      <c r="AG23" s="100"/>
      <c r="AH23" s="101" t="n">
        <f aca="false">IF(MONTH(D23)=MONTH($V$34),$AH$34,$AH$33)</f>
        <v>0</v>
      </c>
      <c r="AI23" s="102"/>
      <c r="AJ23" s="102"/>
      <c r="AK23" s="103"/>
      <c r="AL23" s="104"/>
      <c r="AM23" s="103"/>
      <c r="AN23" s="104"/>
      <c r="AO23" s="104"/>
      <c r="AP23" s="104"/>
      <c r="AQ23" s="100"/>
      <c r="AR23" s="104"/>
      <c r="AS23" s="104"/>
      <c r="AT23" s="100"/>
      <c r="AU23" s="104"/>
      <c r="AV23" s="104"/>
      <c r="AW23" s="100"/>
      <c r="AX23" s="104"/>
      <c r="AY23" s="104"/>
      <c r="AZ23" s="100"/>
      <c r="BA23" s="74"/>
      <c r="BB23" s="148" t="n">
        <f aca="false">BB22+1</f>
        <v>2014</v>
      </c>
      <c r="BC23" s="145" t="n">
        <v>0</v>
      </c>
      <c r="BD23" s="146" t="n">
        <v>0</v>
      </c>
      <c r="BE23" s="147" t="n">
        <v>0</v>
      </c>
      <c r="BF23" s="146" t="n">
        <v>0</v>
      </c>
      <c r="BG23" s="146" t="n">
        <v>0</v>
      </c>
      <c r="BH23" s="147" t="n">
        <v>0</v>
      </c>
      <c r="BQ23" s="108" t="n">
        <v>36907.7428240741</v>
      </c>
      <c r="BR23" s="109" t="n">
        <v>36907.7432986111</v>
      </c>
      <c r="BS23" s="110" t="n">
        <v>36935</v>
      </c>
      <c r="BT23" s="111" t="n">
        <v>0</v>
      </c>
      <c r="BU23" s="112" t="n">
        <v>0</v>
      </c>
      <c r="BV23" s="112" t="n">
        <v>0</v>
      </c>
      <c r="BW23" s="112" t="n">
        <v>0</v>
      </c>
      <c r="BX23" s="113" t="n">
        <v>0</v>
      </c>
      <c r="BY23" s="114"/>
      <c r="BZ23" s="115" t="n">
        <v>36928</v>
      </c>
      <c r="CA23" s="116" t="n">
        <v>219.225006103516</v>
      </c>
      <c r="CB23" s="116" t="n">
        <v>0</v>
      </c>
      <c r="CC23" s="116"/>
      <c r="CD23" s="116"/>
      <c r="CE23" s="117"/>
      <c r="CG23" s="135" t="n">
        <f aca="false">BB28</f>
        <v>2019</v>
      </c>
      <c r="CH23" s="136" t="n">
        <v>0</v>
      </c>
      <c r="CI23" s="137" t="n">
        <v>0</v>
      </c>
      <c r="CJ23" s="137" t="n">
        <v>0</v>
      </c>
      <c r="CK23" s="137" t="n">
        <v>0</v>
      </c>
      <c r="CL23" s="137" t="n">
        <v>0</v>
      </c>
      <c r="CM23" s="137" t="n">
        <v>0</v>
      </c>
      <c r="CN23" s="137" t="n">
        <v>0</v>
      </c>
      <c r="CO23" s="137" t="n">
        <v>0</v>
      </c>
      <c r="CP23" s="137" t="n">
        <v>0</v>
      </c>
      <c r="CQ23" s="137" t="n">
        <v>0</v>
      </c>
      <c r="CR23" s="137" t="n">
        <v>0</v>
      </c>
      <c r="CS23" s="138" t="n">
        <v>0</v>
      </c>
      <c r="CU23" s="135" t="n">
        <f aca="false">BB28</f>
        <v>2019</v>
      </c>
      <c r="CV23" s="136" t="n">
        <v>0</v>
      </c>
      <c r="CW23" s="137" t="n">
        <v>0</v>
      </c>
      <c r="CX23" s="137" t="n">
        <v>0</v>
      </c>
      <c r="CY23" s="137" t="n">
        <v>0</v>
      </c>
      <c r="CZ23" s="137" t="n">
        <v>0</v>
      </c>
      <c r="DA23" s="137" t="n">
        <v>0</v>
      </c>
      <c r="DB23" s="137" t="n">
        <v>0</v>
      </c>
      <c r="DC23" s="137" t="n">
        <v>0</v>
      </c>
      <c r="DD23" s="137" t="n">
        <v>0</v>
      </c>
      <c r="DE23" s="137" t="n">
        <v>0</v>
      </c>
      <c r="DF23" s="137" t="n">
        <v>0</v>
      </c>
      <c r="DG23" s="138" t="n">
        <v>0</v>
      </c>
      <c r="DI23" s="135" t="n">
        <f aca="false">BB28</f>
        <v>2019</v>
      </c>
      <c r="DJ23" s="136" t="n">
        <v>0</v>
      </c>
      <c r="DK23" s="137" t="n">
        <v>0</v>
      </c>
      <c r="DL23" s="137" t="n">
        <v>0</v>
      </c>
      <c r="DM23" s="137" t="n">
        <v>0</v>
      </c>
      <c r="DN23" s="137" t="n">
        <v>0</v>
      </c>
      <c r="DO23" s="137" t="n">
        <v>0</v>
      </c>
      <c r="DP23" s="137" t="n">
        <v>0</v>
      </c>
      <c r="DQ23" s="137" t="n">
        <v>0</v>
      </c>
      <c r="DR23" s="137" t="n">
        <v>0</v>
      </c>
      <c r="DS23" s="137" t="n">
        <v>0</v>
      </c>
      <c r="DT23" s="137" t="n">
        <v>0</v>
      </c>
      <c r="DU23" s="138" t="n">
        <v>0</v>
      </c>
    </row>
    <row r="24" customFormat="false" ht="12.75" hidden="false" customHeight="false" outlineLevel="0" collapsed="false">
      <c r="A24" s="91" t="n">
        <f aca="true">IF(ISERROR(MATCH(D24,iRefDt,0)),"",MATCH(D24,iRefDt,0))</f>
        <v>18</v>
      </c>
      <c r="B24" s="92" t="n">
        <f aca="false">MATCH(YEAR(D24),iSpreads)</f>
        <v>1</v>
      </c>
      <c r="C24" s="0" t="n">
        <f aca="false">MONTH(D24)</f>
        <v>2</v>
      </c>
      <c r="D24" s="93" t="n">
        <f aca="false">D23+1</f>
        <v>36930</v>
      </c>
      <c r="E24" s="94" t="n">
        <f aca="false">VLOOKUP($D24,tblPriorPrice,2)</f>
        <v>219.225006103516</v>
      </c>
      <c r="F24" s="95" t="n">
        <f aca="false">+[2]OperatingCurve!$D24</f>
        <v>0</v>
      </c>
      <c r="G24" s="96" t="n">
        <f aca="false">IF(EnergyCurve!G24&lt;200,0.001*EnergyCurve!G24+1,1.2)*EnergyCurve!G24</f>
        <v>205.625</v>
      </c>
      <c r="H24" s="96" t="n">
        <f aca="false">IF(EnergyCurve!H24&lt;200,0.001*EnergyCurve!H24+1,1.2)*EnergyCurve!H24</f>
        <v>198.9</v>
      </c>
      <c r="I24" s="96" t="n">
        <f aca="false">IF(EnergyCurve!I24&lt;200,0.001*EnergyCurve!I24+1,1.2)*EnergyCurve!I24</f>
        <v>240</v>
      </c>
      <c r="J24" s="94" t="n">
        <f aca="false">VLOOKUP($D24,tblPriorPrice,3)</f>
        <v>0</v>
      </c>
      <c r="K24" s="95" t="n">
        <f aca="false">+[2]OperatingCurve!$G24</f>
        <v>0</v>
      </c>
      <c r="L24" s="96" t="n">
        <f aca="false">J24+K24</f>
        <v>0</v>
      </c>
      <c r="M24" s="96" t="n">
        <f aca="false">L24</f>
        <v>0</v>
      </c>
      <c r="N24" s="96" t="n">
        <f aca="false">L24</f>
        <v>0</v>
      </c>
      <c r="O24" s="58" t="n">
        <f aca="true">IF($A24="",0,INDEX(tblPosn,$A24,2))</f>
        <v>0</v>
      </c>
      <c r="P24" s="59" t="n">
        <f aca="true">IF($A24="",0,INDEX(tblPosn,$A24,3))</f>
        <v>0</v>
      </c>
      <c r="Q24" s="59" t="n">
        <f aca="true">IF($A24="",0,INDEX(tblPosn,$A24,4))</f>
        <v>0</v>
      </c>
      <c r="R24" s="59" t="n">
        <f aca="true">IF($A24="",0,INDEX(tblPosn,$A24,5))</f>
        <v>0</v>
      </c>
      <c r="S24" s="59" t="n">
        <f aca="true">IF($A24="",0,INDEX(tblPosn,$A24,6))</f>
        <v>0</v>
      </c>
      <c r="T24" s="98" t="n">
        <f aca="false">O24*F24+P24*K24+R24*AC24+S24*AH24+Q24*X24</f>
        <v>0</v>
      </c>
      <c r="V24" s="99"/>
      <c r="W24" s="100"/>
      <c r="X24" s="101" t="n">
        <f aca="false">F24</f>
        <v>0</v>
      </c>
      <c r="Y24" s="102"/>
      <c r="Z24" s="102"/>
      <c r="AA24" s="102"/>
      <c r="AB24" s="100"/>
      <c r="AC24" s="101" t="n">
        <f aca="false">F24</f>
        <v>0</v>
      </c>
      <c r="AD24" s="102"/>
      <c r="AE24" s="102"/>
      <c r="AF24" s="103"/>
      <c r="AG24" s="100"/>
      <c r="AH24" s="101" t="n">
        <f aca="false">IF(MONTH(D24)=MONTH($V$34),$AH$34,$AH$33)</f>
        <v>0</v>
      </c>
      <c r="AI24" s="102"/>
      <c r="AJ24" s="102"/>
      <c r="AK24" s="103"/>
      <c r="AL24" s="104"/>
      <c r="AM24" s="103"/>
      <c r="AN24" s="104"/>
      <c r="AO24" s="104"/>
      <c r="AP24" s="104"/>
      <c r="AQ24" s="100"/>
      <c r="AR24" s="104"/>
      <c r="AS24" s="104"/>
      <c r="AT24" s="100"/>
      <c r="AU24" s="104"/>
      <c r="AV24" s="104"/>
      <c r="AW24" s="100"/>
      <c r="AX24" s="104"/>
      <c r="AY24" s="104"/>
      <c r="AZ24" s="100"/>
      <c r="BA24" s="74"/>
      <c r="BB24" s="148" t="n">
        <f aca="false">BB23+1</f>
        <v>2015</v>
      </c>
      <c r="BC24" s="145" t="n">
        <v>0</v>
      </c>
      <c r="BD24" s="146" t="n">
        <v>0</v>
      </c>
      <c r="BE24" s="147" t="n">
        <v>0</v>
      </c>
      <c r="BF24" s="146" t="n">
        <v>0</v>
      </c>
      <c r="BG24" s="146" t="n">
        <v>0</v>
      </c>
      <c r="BH24" s="147" t="n">
        <v>0</v>
      </c>
      <c r="BQ24" s="108" t="n">
        <v>36907.7428240741</v>
      </c>
      <c r="BR24" s="109" t="n">
        <v>36907.7432986111</v>
      </c>
      <c r="BS24" s="110" t="n">
        <v>36936</v>
      </c>
      <c r="BT24" s="111" t="n">
        <v>0</v>
      </c>
      <c r="BU24" s="112" t="n">
        <v>0</v>
      </c>
      <c r="BV24" s="112" t="n">
        <v>0</v>
      </c>
      <c r="BW24" s="112" t="n">
        <v>0</v>
      </c>
      <c r="BX24" s="113" t="n">
        <v>0</v>
      </c>
      <c r="BY24" s="114"/>
      <c r="BZ24" s="115" t="n">
        <v>36929</v>
      </c>
      <c r="CA24" s="116" t="n">
        <v>219.225006103516</v>
      </c>
      <c r="CB24" s="116" t="n">
        <v>0</v>
      </c>
      <c r="CC24" s="116"/>
      <c r="CD24" s="116"/>
      <c r="CE24" s="117"/>
      <c r="CG24" s="152" t="n">
        <f aca="false">BB29</f>
        <v>2020</v>
      </c>
      <c r="CH24" s="136" t="n">
        <v>0</v>
      </c>
      <c r="CI24" s="137" t="n">
        <v>0</v>
      </c>
      <c r="CJ24" s="137" t="n">
        <v>0</v>
      </c>
      <c r="CK24" s="137" t="n">
        <v>0</v>
      </c>
      <c r="CL24" s="137" t="n">
        <v>0</v>
      </c>
      <c r="CM24" s="137" t="n">
        <v>0</v>
      </c>
      <c r="CN24" s="137" t="n">
        <v>0</v>
      </c>
      <c r="CO24" s="137" t="n">
        <v>0</v>
      </c>
      <c r="CP24" s="137" t="n">
        <v>0</v>
      </c>
      <c r="CQ24" s="137" t="n">
        <v>0</v>
      </c>
      <c r="CR24" s="137" t="n">
        <v>0</v>
      </c>
      <c r="CS24" s="138" t="n">
        <v>0</v>
      </c>
      <c r="CU24" s="152" t="n">
        <f aca="false">BB29</f>
        <v>2020</v>
      </c>
      <c r="CV24" s="136" t="n">
        <v>0</v>
      </c>
      <c r="CW24" s="137" t="n">
        <v>0</v>
      </c>
      <c r="CX24" s="137" t="n">
        <v>0</v>
      </c>
      <c r="CY24" s="137" t="n">
        <v>0</v>
      </c>
      <c r="CZ24" s="137" t="n">
        <v>0</v>
      </c>
      <c r="DA24" s="137" t="n">
        <v>0</v>
      </c>
      <c r="DB24" s="137" t="n">
        <v>0</v>
      </c>
      <c r="DC24" s="137" t="n">
        <v>0</v>
      </c>
      <c r="DD24" s="137" t="n">
        <v>0</v>
      </c>
      <c r="DE24" s="137" t="n">
        <v>0</v>
      </c>
      <c r="DF24" s="137" t="n">
        <v>0</v>
      </c>
      <c r="DG24" s="138" t="n">
        <v>0</v>
      </c>
      <c r="DI24" s="152" t="n">
        <f aca="false">BB29</f>
        <v>2020</v>
      </c>
      <c r="DJ24" s="136" t="n">
        <v>0</v>
      </c>
      <c r="DK24" s="137" t="n">
        <v>0</v>
      </c>
      <c r="DL24" s="137" t="n">
        <v>0</v>
      </c>
      <c r="DM24" s="137" t="n">
        <v>0</v>
      </c>
      <c r="DN24" s="137" t="n">
        <v>0</v>
      </c>
      <c r="DO24" s="137" t="n">
        <v>0</v>
      </c>
      <c r="DP24" s="137" t="n">
        <v>0</v>
      </c>
      <c r="DQ24" s="137" t="n">
        <v>0</v>
      </c>
      <c r="DR24" s="137" t="n">
        <v>0</v>
      </c>
      <c r="DS24" s="137" t="n">
        <v>0</v>
      </c>
      <c r="DT24" s="137" t="n">
        <v>0</v>
      </c>
      <c r="DU24" s="138" t="n">
        <v>0</v>
      </c>
    </row>
    <row r="25" customFormat="false" ht="12.75" hidden="false" customHeight="false" outlineLevel="0" collapsed="false">
      <c r="A25" s="91" t="n">
        <f aca="true">IF(ISERROR(MATCH(D25,iRefDt,0)),"",MATCH(D25,iRefDt,0))</f>
        <v>19</v>
      </c>
      <c r="B25" s="92" t="n">
        <f aca="false">MATCH(YEAR(D25),iSpreads)</f>
        <v>1</v>
      </c>
      <c r="C25" s="0" t="n">
        <f aca="false">MONTH(D25)</f>
        <v>2</v>
      </c>
      <c r="D25" s="93" t="n">
        <f aca="false">D24+1</f>
        <v>36931</v>
      </c>
      <c r="E25" s="94" t="n">
        <f aca="false">VLOOKUP($D25,tblPriorPrice,2)</f>
        <v>219.225006103516</v>
      </c>
      <c r="F25" s="95" t="n">
        <f aca="false">+[2]OperatingCurve!$D25</f>
        <v>0</v>
      </c>
      <c r="G25" s="96" t="n">
        <f aca="false">IF(EnergyCurve!G25&lt;200,0.001*EnergyCurve!G25+1,1.2)*EnergyCurve!G25</f>
        <v>205.625</v>
      </c>
      <c r="H25" s="96" t="n">
        <f aca="false">IF(EnergyCurve!H25&lt;200,0.001*EnergyCurve!H25+1,1.2)*EnergyCurve!H25</f>
        <v>198.9</v>
      </c>
      <c r="I25" s="96" t="n">
        <f aca="false">IF(EnergyCurve!I25&lt;200,0.001*EnergyCurve!I25+1,1.2)*EnergyCurve!I25</f>
        <v>240</v>
      </c>
      <c r="J25" s="94" t="n">
        <f aca="false">VLOOKUP($D25,tblPriorPrice,3)</f>
        <v>0</v>
      </c>
      <c r="K25" s="95" t="n">
        <f aca="false">+[2]OperatingCurve!$G25</f>
        <v>0</v>
      </c>
      <c r="L25" s="96" t="n">
        <f aca="false">J25+K25</f>
        <v>0</v>
      </c>
      <c r="M25" s="96" t="n">
        <f aca="false">L25</f>
        <v>0</v>
      </c>
      <c r="N25" s="96" t="n">
        <f aca="false">L25</f>
        <v>0</v>
      </c>
      <c r="O25" s="58" t="n">
        <f aca="true">IF($A25="",0,INDEX(tblPosn,$A25,2))</f>
        <v>0</v>
      </c>
      <c r="P25" s="59" t="n">
        <f aca="true">IF($A25="",0,INDEX(tblPosn,$A25,3))</f>
        <v>0</v>
      </c>
      <c r="Q25" s="59" t="n">
        <f aca="true">IF($A25="",0,INDEX(tblPosn,$A25,4))</f>
        <v>0</v>
      </c>
      <c r="R25" s="59" t="n">
        <f aca="true">IF($A25="",0,INDEX(tblPosn,$A25,5))</f>
        <v>0</v>
      </c>
      <c r="S25" s="59" t="n">
        <f aca="true">IF($A25="",0,INDEX(tblPosn,$A25,6))</f>
        <v>0</v>
      </c>
      <c r="T25" s="98" t="n">
        <f aca="false">O25*F25+P25*K25+R25*AC25+S25*AH25+Q25*X25</f>
        <v>0</v>
      </c>
      <c r="V25" s="99"/>
      <c r="W25" s="100"/>
      <c r="X25" s="101" t="n">
        <f aca="false">F25</f>
        <v>0</v>
      </c>
      <c r="Y25" s="102"/>
      <c r="Z25" s="102"/>
      <c r="AA25" s="102"/>
      <c r="AB25" s="100"/>
      <c r="AC25" s="101" t="n">
        <f aca="false">F25</f>
        <v>0</v>
      </c>
      <c r="AD25" s="102"/>
      <c r="AE25" s="102"/>
      <c r="AF25" s="103"/>
      <c r="AG25" s="100"/>
      <c r="AH25" s="101" t="n">
        <f aca="false">IF(MONTH(D25)=MONTH($V$34),$AH$34,$AH$33)</f>
        <v>0</v>
      </c>
      <c r="AI25" s="102"/>
      <c r="AJ25" s="102"/>
      <c r="AK25" s="103"/>
      <c r="AL25" s="104"/>
      <c r="AM25" s="103"/>
      <c r="AN25" s="104"/>
      <c r="AO25" s="104"/>
      <c r="AP25" s="104"/>
      <c r="AQ25" s="100"/>
      <c r="AR25" s="104"/>
      <c r="AS25" s="104"/>
      <c r="AT25" s="100"/>
      <c r="AU25" s="104"/>
      <c r="AV25" s="104"/>
      <c r="AW25" s="100"/>
      <c r="AX25" s="104"/>
      <c r="AY25" s="104"/>
      <c r="AZ25" s="100"/>
      <c r="BA25" s="74"/>
      <c r="BB25" s="148" t="n">
        <f aca="false">BB24+1</f>
        <v>2016</v>
      </c>
      <c r="BC25" s="145" t="n">
        <v>0</v>
      </c>
      <c r="BD25" s="146" t="n">
        <v>0</v>
      </c>
      <c r="BE25" s="147" t="n">
        <v>0</v>
      </c>
      <c r="BF25" s="146" t="n">
        <v>0</v>
      </c>
      <c r="BG25" s="146" t="n">
        <v>0</v>
      </c>
      <c r="BH25" s="147" t="n">
        <v>0</v>
      </c>
      <c r="BQ25" s="108" t="n">
        <v>36907.7428240741</v>
      </c>
      <c r="BR25" s="109" t="n">
        <v>36907.7432986111</v>
      </c>
      <c r="BS25" s="110" t="n">
        <v>36937</v>
      </c>
      <c r="BT25" s="111" t="n">
        <v>0</v>
      </c>
      <c r="BU25" s="112" t="n">
        <v>0</v>
      </c>
      <c r="BV25" s="112" t="n">
        <v>0</v>
      </c>
      <c r="BW25" s="112" t="n">
        <v>0</v>
      </c>
      <c r="BX25" s="113" t="n">
        <v>0</v>
      </c>
      <c r="BY25" s="114"/>
      <c r="BZ25" s="115" t="n">
        <v>36930</v>
      </c>
      <c r="CA25" s="116" t="n">
        <v>219.225006103516</v>
      </c>
      <c r="CB25" s="116" t="n">
        <v>0</v>
      </c>
      <c r="CC25" s="116"/>
      <c r="CD25" s="116"/>
      <c r="CE25" s="117"/>
      <c r="CK25" s="156"/>
    </row>
    <row r="26" customFormat="false" ht="12.75" hidden="false" customHeight="false" outlineLevel="0" collapsed="false">
      <c r="A26" s="91" t="str">
        <f aca="true">IF(ISERROR(MATCH(D26,iRefDt,0)),"",MATCH(D26,iRefDt,0))</f>
        <v/>
      </c>
      <c r="B26" s="92" t="n">
        <f aca="false">MATCH(YEAR(D26),iSpreads)</f>
        <v>1</v>
      </c>
      <c r="C26" s="0" t="n">
        <f aca="false">MONTH(D26)</f>
        <v>2</v>
      </c>
      <c r="D26" s="93" t="n">
        <f aca="false">D25+1</f>
        <v>36932</v>
      </c>
      <c r="E26" s="94" t="n">
        <f aca="false">IF(ISERROR(VLOOKUP($D26,tblPriorPrice,2,FALSE())),E$34,VLOOKUP($D26,tblPriorPrice,2,FALSE()))</f>
        <v>151.955993652344</v>
      </c>
      <c r="F26" s="95" t="n">
        <f aca="false">+[2]OperatingCurve!$D26</f>
        <v>0</v>
      </c>
      <c r="G26" s="96" t="n">
        <f aca="false">IF(EnergyCurve!G26&lt;200,0.001*EnergyCurve!G26+1,1.2)*EnergyCurve!G26</f>
        <v>139.376</v>
      </c>
      <c r="H26" s="96" t="n">
        <f aca="false">IF(EnergyCurve!H26&lt;200,0.001*EnergyCurve!H26+1,1.2)*EnergyCurve!H26</f>
        <v>133.161</v>
      </c>
      <c r="I26" s="96" t="n">
        <f aca="false">IF(EnergyCurve!I26&lt;200,0.001*EnergyCurve!I26+1,1.2)*EnergyCurve!I26</f>
        <v>171.201</v>
      </c>
      <c r="J26" s="94" t="n">
        <f aca="false">IF(ISERROR(VLOOKUP($D26,tblPriorPrice,3,FALSE())),J$34,VLOOKUP($D26,tblPriorPrice,3,FALSE()))</f>
        <v>0</v>
      </c>
      <c r="K26" s="95" t="n">
        <f aca="false">+[2]OperatingCurve!$G26</f>
        <v>0</v>
      </c>
      <c r="L26" s="96" t="n">
        <f aca="false">J26+K26</f>
        <v>0</v>
      </c>
      <c r="M26" s="96" t="n">
        <f aca="false">L26</f>
        <v>0</v>
      </c>
      <c r="N26" s="96" t="n">
        <f aca="false">L26</f>
        <v>0</v>
      </c>
      <c r="O26" s="58" t="n">
        <f aca="true">IF($A26="",0,INDEX(tblPosn,$A26,2))</f>
        <v>0</v>
      </c>
      <c r="P26" s="59" t="n">
        <f aca="true">IF($A26="",0,INDEX(tblPosn,$A26,3))</f>
        <v>0</v>
      </c>
      <c r="Q26" s="59" t="n">
        <f aca="true">IF($A26="",0,INDEX(tblPosn,$A26,4))</f>
        <v>0</v>
      </c>
      <c r="R26" s="59" t="n">
        <f aca="true">IF($A26="",0,INDEX(tblPosn,$A26,5))</f>
        <v>0</v>
      </c>
      <c r="S26" s="59" t="n">
        <f aca="true">IF($A26="",0,INDEX(tblPosn,$A26,6))</f>
        <v>0</v>
      </c>
      <c r="T26" s="98" t="n">
        <f aca="false">O26*F26+P26*K26+R26*AC26+S26*AH26+Q26*X26</f>
        <v>0</v>
      </c>
      <c r="V26" s="99"/>
      <c r="W26" s="100"/>
      <c r="X26" s="101" t="n">
        <f aca="false">F26</f>
        <v>0</v>
      </c>
      <c r="Y26" s="102"/>
      <c r="Z26" s="102"/>
      <c r="AA26" s="102"/>
      <c r="AB26" s="100"/>
      <c r="AC26" s="101" t="n">
        <f aca="false">F26</f>
        <v>0</v>
      </c>
      <c r="AD26" s="102"/>
      <c r="AE26" s="102"/>
      <c r="AF26" s="103"/>
      <c r="AG26" s="100"/>
      <c r="AH26" s="101" t="n">
        <f aca="false">IF(MONTH(D26)=MONTH($V$34),$AH$34,$AH$33)</f>
        <v>0</v>
      </c>
      <c r="AI26" s="102"/>
      <c r="AJ26" s="102"/>
      <c r="AK26" s="103"/>
      <c r="AL26" s="104"/>
      <c r="AM26" s="103"/>
      <c r="AN26" s="104"/>
      <c r="AO26" s="104"/>
      <c r="AP26" s="104"/>
      <c r="AQ26" s="100"/>
      <c r="AR26" s="104"/>
      <c r="AS26" s="104"/>
      <c r="AT26" s="100"/>
      <c r="AU26" s="104"/>
      <c r="AV26" s="104"/>
      <c r="AW26" s="100"/>
      <c r="AX26" s="104"/>
      <c r="AY26" s="104"/>
      <c r="AZ26" s="100"/>
      <c r="BA26" s="74"/>
      <c r="BB26" s="148" t="n">
        <f aca="false">BB25+1</f>
        <v>2017</v>
      </c>
      <c r="BC26" s="145" t="n">
        <v>0</v>
      </c>
      <c r="BD26" s="146" t="n">
        <v>0</v>
      </c>
      <c r="BE26" s="147" t="n">
        <v>0</v>
      </c>
      <c r="BF26" s="146" t="n">
        <v>0</v>
      </c>
      <c r="BG26" s="146" t="n">
        <v>0</v>
      </c>
      <c r="BH26" s="147" t="n">
        <v>0</v>
      </c>
      <c r="BQ26" s="108" t="n">
        <v>36907.7428240741</v>
      </c>
      <c r="BR26" s="109" t="n">
        <v>36907.7432986111</v>
      </c>
      <c r="BS26" s="110" t="n">
        <v>36938</v>
      </c>
      <c r="BT26" s="111" t="n">
        <v>0</v>
      </c>
      <c r="BU26" s="112" t="n">
        <v>0</v>
      </c>
      <c r="BV26" s="112" t="n">
        <v>0</v>
      </c>
      <c r="BW26" s="112" t="n">
        <v>0</v>
      </c>
      <c r="BX26" s="113" t="n">
        <v>0</v>
      </c>
      <c r="BY26" s="114"/>
      <c r="BZ26" s="115" t="n">
        <v>36931</v>
      </c>
      <c r="CA26" s="116" t="n">
        <v>219.225006103516</v>
      </c>
      <c r="CB26" s="116" t="n">
        <v>0</v>
      </c>
      <c r="CC26" s="116"/>
      <c r="CD26" s="116"/>
      <c r="CE26" s="117"/>
      <c r="CG26" s="105" t="s">
        <v>52</v>
      </c>
      <c r="CH26" s="118"/>
      <c r="CI26" s="118"/>
      <c r="CJ26" s="119"/>
      <c r="CU26" s="105" t="s">
        <v>52</v>
      </c>
      <c r="CV26" s="118"/>
      <c r="CW26" s="118"/>
      <c r="CX26" s="119"/>
      <c r="DI26" s="105" t="s">
        <v>52</v>
      </c>
      <c r="DJ26" s="118"/>
      <c r="DK26" s="118"/>
      <c r="DL26" s="119"/>
    </row>
    <row r="27" customFormat="false" ht="12.75" hidden="false" customHeight="false" outlineLevel="0" collapsed="false">
      <c r="A27" s="91" t="str">
        <f aca="true">IF(ISERROR(MATCH(D27,iRefDt,0)),"",MATCH(D27,iRefDt,0))</f>
        <v/>
      </c>
      <c r="B27" s="92" t="n">
        <f aca="false">MATCH(YEAR(D27),iSpreads)</f>
        <v>1</v>
      </c>
      <c r="C27" s="0" t="n">
        <f aca="false">MONTH(D27)</f>
        <v>2</v>
      </c>
      <c r="D27" s="93" t="n">
        <f aca="false">D26+1</f>
        <v>36933</v>
      </c>
      <c r="E27" s="94" t="n">
        <f aca="false">IF(ISERROR(VLOOKUP($D27,tblPriorPrice,2,FALSE())),E$34,VLOOKUP($D27,tblPriorPrice,2,FALSE()))</f>
        <v>129.455993652344</v>
      </c>
      <c r="F27" s="95" t="n">
        <f aca="false">+[2]OperatingCurve!$D27</f>
        <v>0</v>
      </c>
      <c r="G27" s="96" t="n">
        <f aca="false">IF(EnergyCurve!G27&lt;200,0.001*EnergyCurve!G27+1,1.2)*EnergyCurve!G27</f>
        <v>117.236</v>
      </c>
      <c r="H27" s="96" t="n">
        <f aca="false">IF(EnergyCurve!H27&lt;200,0.001*EnergyCurve!H27+1,1.2)*EnergyCurve!H27</f>
        <v>111.201</v>
      </c>
      <c r="I27" s="96" t="n">
        <f aca="false">IF(EnergyCurve!I27&lt;200,0.001*EnergyCurve!I27+1,1.2)*EnergyCurve!I27</f>
        <v>148.161</v>
      </c>
      <c r="J27" s="94" t="n">
        <f aca="false">IF(ISERROR(VLOOKUP($D27,tblPriorPrice,3,FALSE())),J$34,VLOOKUP($D27,tblPriorPrice,3,FALSE()))</f>
        <v>0</v>
      </c>
      <c r="K27" s="95" t="n">
        <f aca="false">+[2]OperatingCurve!$G27</f>
        <v>0</v>
      </c>
      <c r="L27" s="96" t="n">
        <f aca="false">J27+K27</f>
        <v>0</v>
      </c>
      <c r="M27" s="96" t="n">
        <f aca="false">L27</f>
        <v>0</v>
      </c>
      <c r="N27" s="96" t="n">
        <f aca="false">L27</f>
        <v>0</v>
      </c>
      <c r="O27" s="58" t="n">
        <f aca="true">IF($A27="",0,INDEX(tblPosn,$A27,2))</f>
        <v>0</v>
      </c>
      <c r="P27" s="59" t="n">
        <f aca="true">IF($A27="",0,INDEX(tblPosn,$A27,3))</f>
        <v>0</v>
      </c>
      <c r="Q27" s="59" t="n">
        <f aca="true">IF($A27="",0,INDEX(tblPosn,$A27,4))</f>
        <v>0</v>
      </c>
      <c r="R27" s="59" t="n">
        <f aca="true">IF($A27="",0,INDEX(tblPosn,$A27,5))</f>
        <v>0</v>
      </c>
      <c r="S27" s="59" t="n">
        <f aca="true">IF($A27="",0,INDEX(tblPosn,$A27,6))</f>
        <v>0</v>
      </c>
      <c r="T27" s="98" t="n">
        <f aca="false">O27*F27+P27*K27+R27*AC27+S27*AH27+Q27*X27</f>
        <v>0</v>
      </c>
      <c r="V27" s="99"/>
      <c r="W27" s="100"/>
      <c r="X27" s="101" t="n">
        <f aca="false">F27</f>
        <v>0</v>
      </c>
      <c r="Y27" s="102"/>
      <c r="Z27" s="102"/>
      <c r="AA27" s="102"/>
      <c r="AB27" s="100"/>
      <c r="AC27" s="101" t="n">
        <f aca="false">F27</f>
        <v>0</v>
      </c>
      <c r="AD27" s="102"/>
      <c r="AE27" s="102"/>
      <c r="AF27" s="103"/>
      <c r="AG27" s="100"/>
      <c r="AH27" s="101" t="n">
        <f aca="false">IF(MONTH(D27)=MONTH($V$34),$AH$34,$AH$33)</f>
        <v>0</v>
      </c>
      <c r="AI27" s="102"/>
      <c r="AJ27" s="102"/>
      <c r="AK27" s="103"/>
      <c r="AL27" s="104"/>
      <c r="AM27" s="103"/>
      <c r="AN27" s="104"/>
      <c r="AO27" s="104"/>
      <c r="AP27" s="104"/>
      <c r="AQ27" s="100"/>
      <c r="AR27" s="104"/>
      <c r="AS27" s="104"/>
      <c r="AT27" s="100"/>
      <c r="AU27" s="104"/>
      <c r="AV27" s="104"/>
      <c r="AW27" s="100"/>
      <c r="AX27" s="104"/>
      <c r="AY27" s="104"/>
      <c r="AZ27" s="100"/>
      <c r="BA27" s="74"/>
      <c r="BB27" s="148" t="n">
        <f aca="false">BB26+1</f>
        <v>2018</v>
      </c>
      <c r="BC27" s="145" t="n">
        <v>0</v>
      </c>
      <c r="BD27" s="146" t="n">
        <v>0</v>
      </c>
      <c r="BE27" s="147" t="n">
        <v>0</v>
      </c>
      <c r="BF27" s="146" t="n">
        <v>0</v>
      </c>
      <c r="BG27" s="146" t="n">
        <v>0</v>
      </c>
      <c r="BH27" s="147" t="n">
        <v>0</v>
      </c>
      <c r="BQ27" s="108" t="n">
        <v>36907.7428240741</v>
      </c>
      <c r="BR27" s="109" t="n">
        <v>36907.7432986111</v>
      </c>
      <c r="BS27" s="110" t="n">
        <v>36950</v>
      </c>
      <c r="BT27" s="111" t="n">
        <v>0</v>
      </c>
      <c r="BU27" s="112" t="n">
        <v>0</v>
      </c>
      <c r="BV27" s="112" t="n">
        <v>0</v>
      </c>
      <c r="BW27" s="112" t="n">
        <v>0</v>
      </c>
      <c r="BX27" s="113" t="n">
        <v>0</v>
      </c>
      <c r="BY27" s="114"/>
      <c r="BZ27" s="115" t="n">
        <v>36932</v>
      </c>
      <c r="CA27" s="116" t="n">
        <v>151.955993652344</v>
      </c>
      <c r="CB27" s="116" t="n">
        <v>0</v>
      </c>
      <c r="CC27" s="116"/>
      <c r="CD27" s="116"/>
      <c r="CE27" s="117"/>
      <c r="CG27" s="125" t="s">
        <v>99</v>
      </c>
      <c r="CH27" s="126" t="s">
        <v>100</v>
      </c>
      <c r="CI27" s="126" t="s">
        <v>101</v>
      </c>
      <c r="CJ27" s="126" t="s">
        <v>102</v>
      </c>
      <c r="CK27" s="126" t="s">
        <v>103</v>
      </c>
      <c r="CL27" s="126" t="s">
        <v>104</v>
      </c>
      <c r="CM27" s="126" t="s">
        <v>105</v>
      </c>
      <c r="CN27" s="126" t="s">
        <v>106</v>
      </c>
      <c r="CO27" s="126" t="s">
        <v>107</v>
      </c>
      <c r="CP27" s="126" t="s">
        <v>108</v>
      </c>
      <c r="CQ27" s="126" t="s">
        <v>109</v>
      </c>
      <c r="CR27" s="126" t="s">
        <v>110</v>
      </c>
      <c r="CS27" s="126" t="s">
        <v>111</v>
      </c>
      <c r="CU27" s="125" t="s">
        <v>99</v>
      </c>
      <c r="CV27" s="126" t="s">
        <v>100</v>
      </c>
      <c r="CW27" s="126" t="s">
        <v>101</v>
      </c>
      <c r="CX27" s="126" t="s">
        <v>102</v>
      </c>
      <c r="CY27" s="126" t="s">
        <v>103</v>
      </c>
      <c r="CZ27" s="126" t="s">
        <v>104</v>
      </c>
      <c r="DA27" s="126" t="s">
        <v>105</v>
      </c>
      <c r="DB27" s="126" t="s">
        <v>106</v>
      </c>
      <c r="DC27" s="126" t="s">
        <v>107</v>
      </c>
      <c r="DD27" s="126" t="s">
        <v>108</v>
      </c>
      <c r="DE27" s="126" t="s">
        <v>109</v>
      </c>
      <c r="DF27" s="126" t="s">
        <v>110</v>
      </c>
      <c r="DG27" s="126" t="s">
        <v>111</v>
      </c>
      <c r="DI27" s="125" t="s">
        <v>99</v>
      </c>
      <c r="DJ27" s="126" t="s">
        <v>100</v>
      </c>
      <c r="DK27" s="126" t="s">
        <v>101</v>
      </c>
      <c r="DL27" s="126" t="s">
        <v>102</v>
      </c>
      <c r="DM27" s="126" t="s">
        <v>103</v>
      </c>
      <c r="DN27" s="126" t="s">
        <v>104</v>
      </c>
      <c r="DO27" s="126" t="s">
        <v>105</v>
      </c>
      <c r="DP27" s="126" t="s">
        <v>106</v>
      </c>
      <c r="DQ27" s="126" t="s">
        <v>107</v>
      </c>
      <c r="DR27" s="126" t="s">
        <v>108</v>
      </c>
      <c r="DS27" s="126" t="s">
        <v>109</v>
      </c>
      <c r="DT27" s="126" t="s">
        <v>110</v>
      </c>
      <c r="DU27" s="126" t="s">
        <v>111</v>
      </c>
    </row>
    <row r="28" customFormat="false" ht="12.75" hidden="false" customHeight="false" outlineLevel="0" collapsed="false">
      <c r="A28" s="91" t="n">
        <f aca="true">IF(ISERROR(MATCH(D28,iRefDt,0)),"",MATCH(D28,iRefDt,0))</f>
        <v>20</v>
      </c>
      <c r="B28" s="92" t="n">
        <f aca="false">MATCH(YEAR(D28),iSpreads)</f>
        <v>1</v>
      </c>
      <c r="C28" s="0" t="n">
        <f aca="false">MONTH(D28)</f>
        <v>2</v>
      </c>
      <c r="D28" s="93" t="n">
        <f aca="false">D27+1</f>
        <v>36934</v>
      </c>
      <c r="E28" s="94" t="n">
        <f aca="false">IF(ISERROR(VLOOKUP($D28,tblPriorPrice,2,FALSE())),E$34,VLOOKUP($D28,tblPriorPrice,2,FALSE()))</f>
        <v>219.225006103516</v>
      </c>
      <c r="F28" s="95" t="n">
        <f aca="false">+[2]OperatingCurve!$D28</f>
        <v>0</v>
      </c>
      <c r="G28" s="96" t="n">
        <f aca="false">IF(EnergyCurve!G28&lt;200,0.001*EnergyCurve!G28+1,1.2)*EnergyCurve!G28</f>
        <v>205.625</v>
      </c>
      <c r="H28" s="96" t="n">
        <f aca="false">IF(EnergyCurve!H28&lt;200,0.001*EnergyCurve!H28+1,1.2)*EnergyCurve!H28</f>
        <v>198.9</v>
      </c>
      <c r="I28" s="96" t="n">
        <f aca="false">IF(EnergyCurve!I28&lt;200,0.001*EnergyCurve!I28+1,1.2)*EnergyCurve!I28</f>
        <v>240</v>
      </c>
      <c r="J28" s="94" t="n">
        <f aca="false">IF(ISERROR(VLOOKUP($D28,tblPriorPrice,3,FALSE())),J$34,VLOOKUP($D28,tblPriorPrice,3,FALSE()))</f>
        <v>0</v>
      </c>
      <c r="K28" s="95" t="n">
        <f aca="false">+[2]OperatingCurve!$G28</f>
        <v>0</v>
      </c>
      <c r="L28" s="96" t="n">
        <f aca="false">J28+K28</f>
        <v>0</v>
      </c>
      <c r="M28" s="96" t="n">
        <f aca="false">L28</f>
        <v>0</v>
      </c>
      <c r="N28" s="96" t="n">
        <f aca="false">L28</f>
        <v>0</v>
      </c>
      <c r="O28" s="58" t="n">
        <f aca="true">IF($A28="",0,INDEX(tblPosn,$A28,2))</f>
        <v>0</v>
      </c>
      <c r="P28" s="59" t="n">
        <f aca="true">IF($A28="",0,INDEX(tblPosn,$A28,3))</f>
        <v>0</v>
      </c>
      <c r="Q28" s="59" t="n">
        <f aca="true">IF($A28="",0,INDEX(tblPosn,$A28,4))</f>
        <v>0</v>
      </c>
      <c r="R28" s="59" t="n">
        <f aca="true">IF($A28="",0,INDEX(tblPosn,$A28,5))</f>
        <v>0</v>
      </c>
      <c r="S28" s="59" t="n">
        <f aca="true">IF($A28="",0,INDEX(tblPosn,$A28,6))</f>
        <v>0</v>
      </c>
      <c r="T28" s="98" t="n">
        <f aca="false">O28*F28+P28*K28+R28*AC28+S28*AH28+Q28*X28</f>
        <v>0</v>
      </c>
      <c r="V28" s="99"/>
      <c r="W28" s="100"/>
      <c r="X28" s="101" t="n">
        <f aca="false">F28</f>
        <v>0</v>
      </c>
      <c r="Y28" s="102"/>
      <c r="Z28" s="102"/>
      <c r="AA28" s="102"/>
      <c r="AB28" s="100"/>
      <c r="AC28" s="101" t="n">
        <f aca="false">F28</f>
        <v>0</v>
      </c>
      <c r="AD28" s="102"/>
      <c r="AE28" s="102"/>
      <c r="AF28" s="103"/>
      <c r="AG28" s="100"/>
      <c r="AH28" s="101" t="n">
        <f aca="false">IF(MONTH(D28)=MONTH($V$34),$AH$34,$AH$33)</f>
        <v>0</v>
      </c>
      <c r="AI28" s="102"/>
      <c r="AJ28" s="102"/>
      <c r="AK28" s="103"/>
      <c r="AL28" s="104"/>
      <c r="AM28" s="103"/>
      <c r="AN28" s="104"/>
      <c r="AO28" s="104"/>
      <c r="AP28" s="104"/>
      <c r="AQ28" s="100"/>
      <c r="AR28" s="104"/>
      <c r="AS28" s="104"/>
      <c r="AT28" s="100"/>
      <c r="AU28" s="104"/>
      <c r="AV28" s="104"/>
      <c r="AW28" s="100"/>
      <c r="AX28" s="104"/>
      <c r="AY28" s="104"/>
      <c r="AZ28" s="100"/>
      <c r="BA28" s="74"/>
      <c r="BB28" s="148" t="n">
        <f aca="false">BB27+1</f>
        <v>2019</v>
      </c>
      <c r="BC28" s="145" t="n">
        <v>0</v>
      </c>
      <c r="BD28" s="146" t="n">
        <v>0</v>
      </c>
      <c r="BE28" s="147" t="n">
        <v>0</v>
      </c>
      <c r="BF28" s="146" t="n">
        <v>0</v>
      </c>
      <c r="BG28" s="146" t="n">
        <v>0</v>
      </c>
      <c r="BH28" s="147" t="n">
        <v>0</v>
      </c>
      <c r="BQ28" s="108" t="n">
        <v>36907.7428240741</v>
      </c>
      <c r="BR28" s="109" t="n">
        <v>36907.7432986111</v>
      </c>
      <c r="BS28" s="110" t="n">
        <v>36951</v>
      </c>
      <c r="BT28" s="111" t="n">
        <v>0</v>
      </c>
      <c r="BU28" s="112" t="n">
        <v>0</v>
      </c>
      <c r="BV28" s="112" t="n">
        <v>0</v>
      </c>
      <c r="BW28" s="112" t="n">
        <v>0</v>
      </c>
      <c r="BX28" s="113" t="n">
        <v>0</v>
      </c>
      <c r="BY28" s="114"/>
      <c r="BZ28" s="115" t="n">
        <v>36933</v>
      </c>
      <c r="CA28" s="116" t="n">
        <v>129.455993652344</v>
      </c>
      <c r="CB28" s="116" t="n">
        <v>0</v>
      </c>
      <c r="CC28" s="116"/>
      <c r="CD28" s="116"/>
      <c r="CE28" s="117"/>
      <c r="CG28" s="128" t="n">
        <f aca="false">BB10</f>
        <v>2001</v>
      </c>
      <c r="CH28" s="129" t="n">
        <v>0</v>
      </c>
      <c r="CI28" s="130" t="n">
        <v>0</v>
      </c>
      <c r="CJ28" s="130" t="n">
        <v>0</v>
      </c>
      <c r="CK28" s="130" t="n">
        <v>0</v>
      </c>
      <c r="CL28" s="130" t="n">
        <v>0</v>
      </c>
      <c r="CM28" s="130" t="n">
        <v>0</v>
      </c>
      <c r="CN28" s="130" t="n">
        <v>0</v>
      </c>
      <c r="CO28" s="130" t="n">
        <v>0</v>
      </c>
      <c r="CP28" s="130" t="n">
        <v>0</v>
      </c>
      <c r="CQ28" s="130" t="n">
        <v>0</v>
      </c>
      <c r="CR28" s="130" t="n">
        <v>0</v>
      </c>
      <c r="CS28" s="131" t="n">
        <v>0</v>
      </c>
      <c r="CU28" s="128" t="n">
        <f aca="false">BB10</f>
        <v>2001</v>
      </c>
      <c r="CV28" s="129" t="n">
        <v>0</v>
      </c>
      <c r="CW28" s="130" t="n">
        <v>0</v>
      </c>
      <c r="CX28" s="130" t="n">
        <v>0</v>
      </c>
      <c r="CY28" s="130" t="n">
        <v>0</v>
      </c>
      <c r="CZ28" s="130" t="n">
        <v>0</v>
      </c>
      <c r="DA28" s="130" t="n">
        <v>0</v>
      </c>
      <c r="DB28" s="130" t="n">
        <v>0</v>
      </c>
      <c r="DC28" s="130" t="n">
        <v>0</v>
      </c>
      <c r="DD28" s="130" t="n">
        <v>0</v>
      </c>
      <c r="DE28" s="130" t="n">
        <v>0</v>
      </c>
      <c r="DF28" s="130" t="n">
        <v>0</v>
      </c>
      <c r="DG28" s="131" t="n">
        <v>0</v>
      </c>
      <c r="DI28" s="128" t="n">
        <f aca="false">BB10</f>
        <v>2001</v>
      </c>
      <c r="DJ28" s="129" t="n">
        <v>0</v>
      </c>
      <c r="DK28" s="130" t="n">
        <v>0</v>
      </c>
      <c r="DL28" s="130" t="n">
        <v>0</v>
      </c>
      <c r="DM28" s="130" t="n">
        <v>0</v>
      </c>
      <c r="DN28" s="130" t="n">
        <v>0</v>
      </c>
      <c r="DO28" s="130" t="n">
        <v>0</v>
      </c>
      <c r="DP28" s="130" t="n">
        <v>0</v>
      </c>
      <c r="DQ28" s="130" t="n">
        <v>0</v>
      </c>
      <c r="DR28" s="130" t="n">
        <v>0</v>
      </c>
      <c r="DS28" s="130" t="n">
        <v>0</v>
      </c>
      <c r="DT28" s="130" t="n">
        <v>0</v>
      </c>
      <c r="DU28" s="131" t="n">
        <v>0</v>
      </c>
    </row>
    <row r="29" customFormat="false" ht="12.75" hidden="false" customHeight="false" outlineLevel="0" collapsed="false">
      <c r="A29" s="91" t="n">
        <f aca="true">IF(ISERROR(MATCH(D29,iRefDt,0)),"",MATCH(D29,iRefDt,0))</f>
        <v>21</v>
      </c>
      <c r="B29" s="92" t="n">
        <f aca="false">MATCH(YEAR(D29),iSpreads)</f>
        <v>1</v>
      </c>
      <c r="C29" s="0" t="n">
        <f aca="false">MONTH(D29)</f>
        <v>2</v>
      </c>
      <c r="D29" s="93" t="n">
        <f aca="false">D28+1</f>
        <v>36935</v>
      </c>
      <c r="E29" s="94" t="n">
        <f aca="false">IF(ISERROR(VLOOKUP($D29,tblPriorPrice,2,FALSE())),E$34,VLOOKUP($D29,tblPriorPrice,2,FALSE()))</f>
        <v>219.225006103516</v>
      </c>
      <c r="F29" s="95" t="n">
        <f aca="false">+[2]OperatingCurve!$D29</f>
        <v>0</v>
      </c>
      <c r="G29" s="96" t="n">
        <f aca="false">IF(EnergyCurve!G29&lt;200,0.001*EnergyCurve!G29+1,1.2)*EnergyCurve!G29</f>
        <v>205.625</v>
      </c>
      <c r="H29" s="96" t="n">
        <f aca="false">IF(EnergyCurve!H29&lt;200,0.001*EnergyCurve!H29+1,1.2)*EnergyCurve!H29</f>
        <v>198.9</v>
      </c>
      <c r="I29" s="96" t="n">
        <f aca="false">IF(EnergyCurve!I29&lt;200,0.001*EnergyCurve!I29+1,1.2)*EnergyCurve!I29</f>
        <v>240</v>
      </c>
      <c r="J29" s="94" t="n">
        <f aca="false">IF(ISERROR(VLOOKUP($D29,tblPriorPrice,3,FALSE())),J$34,VLOOKUP($D29,tblPriorPrice,3,FALSE()))</f>
        <v>0</v>
      </c>
      <c r="K29" s="95" t="n">
        <f aca="false">+[2]OperatingCurve!$G29</f>
        <v>0</v>
      </c>
      <c r="L29" s="96" t="n">
        <f aca="false">J29+K29</f>
        <v>0</v>
      </c>
      <c r="M29" s="96" t="n">
        <f aca="false">L29</f>
        <v>0</v>
      </c>
      <c r="N29" s="96" t="n">
        <f aca="false">L29</f>
        <v>0</v>
      </c>
      <c r="O29" s="58" t="n">
        <f aca="true">IF($A29="",0,INDEX(tblPosn,$A29,2))</f>
        <v>0</v>
      </c>
      <c r="P29" s="59" t="n">
        <f aca="true">IF($A29="",0,INDEX(tblPosn,$A29,3))</f>
        <v>0</v>
      </c>
      <c r="Q29" s="59" t="n">
        <f aca="true">IF($A29="",0,INDEX(tblPosn,$A29,4))</f>
        <v>0</v>
      </c>
      <c r="R29" s="59" t="n">
        <f aca="true">IF($A29="",0,INDEX(tblPosn,$A29,5))</f>
        <v>0</v>
      </c>
      <c r="S29" s="59" t="n">
        <f aca="true">IF($A29="",0,INDEX(tblPosn,$A29,6))</f>
        <v>0</v>
      </c>
      <c r="T29" s="98" t="n">
        <f aca="false">O29*F29+P29*K29+R29*AC29+S29*AH29+Q29*X29</f>
        <v>0</v>
      </c>
      <c r="V29" s="99"/>
      <c r="W29" s="100"/>
      <c r="X29" s="101" t="n">
        <f aca="false">F29</f>
        <v>0</v>
      </c>
      <c r="Y29" s="102"/>
      <c r="Z29" s="102"/>
      <c r="AA29" s="102"/>
      <c r="AB29" s="100"/>
      <c r="AC29" s="101" t="n">
        <f aca="false">F29</f>
        <v>0</v>
      </c>
      <c r="AD29" s="102"/>
      <c r="AE29" s="102"/>
      <c r="AF29" s="103"/>
      <c r="AG29" s="100"/>
      <c r="AH29" s="101" t="n">
        <f aca="false">IF(MONTH(D29)=MONTH($V$34),$AH$34,$AH$33)</f>
        <v>0</v>
      </c>
      <c r="AI29" s="102"/>
      <c r="AJ29" s="102"/>
      <c r="AK29" s="103"/>
      <c r="AL29" s="104"/>
      <c r="AM29" s="103"/>
      <c r="AN29" s="104"/>
      <c r="AO29" s="104"/>
      <c r="AP29" s="104"/>
      <c r="AQ29" s="100"/>
      <c r="AR29" s="104"/>
      <c r="AS29" s="104"/>
      <c r="AT29" s="100"/>
      <c r="AU29" s="104"/>
      <c r="AV29" s="104"/>
      <c r="AW29" s="100"/>
      <c r="AX29" s="104"/>
      <c r="AY29" s="104"/>
      <c r="AZ29" s="100"/>
      <c r="BA29" s="74"/>
      <c r="BB29" s="157" t="n">
        <f aca="false">BB28+1</f>
        <v>2020</v>
      </c>
      <c r="BC29" s="145" t="n">
        <v>0</v>
      </c>
      <c r="BD29" s="146" t="n">
        <v>0</v>
      </c>
      <c r="BE29" s="147" t="n">
        <v>0</v>
      </c>
      <c r="BF29" s="146" t="n">
        <v>0</v>
      </c>
      <c r="BG29" s="146" t="n">
        <v>0</v>
      </c>
      <c r="BH29" s="147" t="n">
        <v>0</v>
      </c>
      <c r="BQ29" s="108" t="n">
        <v>36907.7428240741</v>
      </c>
      <c r="BR29" s="109" t="n">
        <v>36907.7432986111</v>
      </c>
      <c r="BS29" s="110" t="n">
        <v>36982</v>
      </c>
      <c r="BT29" s="111" t="n">
        <v>0</v>
      </c>
      <c r="BU29" s="112" t="n">
        <v>0</v>
      </c>
      <c r="BV29" s="112" t="n">
        <v>0</v>
      </c>
      <c r="BW29" s="112" t="n">
        <v>0</v>
      </c>
      <c r="BX29" s="113" t="n">
        <v>0</v>
      </c>
      <c r="BY29" s="114"/>
      <c r="BZ29" s="115" t="n">
        <v>36934</v>
      </c>
      <c r="CA29" s="116" t="n">
        <v>219.225006103516</v>
      </c>
      <c r="CB29" s="116" t="n">
        <v>0</v>
      </c>
      <c r="CC29" s="116"/>
      <c r="CD29" s="116"/>
      <c r="CE29" s="117"/>
      <c r="CG29" s="135" t="n">
        <f aca="false">BB11</f>
        <v>2002</v>
      </c>
      <c r="CH29" s="136" t="n">
        <v>0</v>
      </c>
      <c r="CI29" s="137" t="n">
        <v>0</v>
      </c>
      <c r="CJ29" s="137" t="n">
        <v>0</v>
      </c>
      <c r="CK29" s="137" t="n">
        <v>0</v>
      </c>
      <c r="CL29" s="137" t="n">
        <v>0</v>
      </c>
      <c r="CM29" s="137" t="n">
        <v>0</v>
      </c>
      <c r="CN29" s="137" t="n">
        <v>0</v>
      </c>
      <c r="CO29" s="137" t="n">
        <v>0</v>
      </c>
      <c r="CP29" s="137" t="n">
        <v>0</v>
      </c>
      <c r="CQ29" s="137" t="n">
        <v>0</v>
      </c>
      <c r="CR29" s="137" t="n">
        <v>0</v>
      </c>
      <c r="CS29" s="138" t="n">
        <v>0</v>
      </c>
      <c r="CU29" s="135" t="n">
        <f aca="false">BB11</f>
        <v>2002</v>
      </c>
      <c r="CV29" s="136" t="n">
        <v>0</v>
      </c>
      <c r="CW29" s="137" t="n">
        <v>0</v>
      </c>
      <c r="CX29" s="137" t="n">
        <v>0</v>
      </c>
      <c r="CY29" s="137" t="n">
        <v>0</v>
      </c>
      <c r="CZ29" s="137" t="n">
        <v>0</v>
      </c>
      <c r="DA29" s="137" t="n">
        <v>0</v>
      </c>
      <c r="DB29" s="137" t="n">
        <v>0</v>
      </c>
      <c r="DC29" s="137" t="n">
        <v>0</v>
      </c>
      <c r="DD29" s="137" t="n">
        <v>0</v>
      </c>
      <c r="DE29" s="137" t="n">
        <v>0</v>
      </c>
      <c r="DF29" s="137" t="n">
        <v>0</v>
      </c>
      <c r="DG29" s="138" t="n">
        <v>0</v>
      </c>
      <c r="DI29" s="135" t="n">
        <f aca="false">BB11</f>
        <v>2002</v>
      </c>
      <c r="DJ29" s="136" t="n">
        <v>0</v>
      </c>
      <c r="DK29" s="137" t="n">
        <v>0</v>
      </c>
      <c r="DL29" s="137" t="n">
        <v>0</v>
      </c>
      <c r="DM29" s="137" t="n">
        <v>0</v>
      </c>
      <c r="DN29" s="137" t="n">
        <v>0</v>
      </c>
      <c r="DO29" s="137" t="n">
        <v>0</v>
      </c>
      <c r="DP29" s="137" t="n">
        <v>0</v>
      </c>
      <c r="DQ29" s="137" t="n">
        <v>0</v>
      </c>
      <c r="DR29" s="137" t="n">
        <v>0</v>
      </c>
      <c r="DS29" s="137" t="n">
        <v>0</v>
      </c>
      <c r="DT29" s="137" t="n">
        <v>0</v>
      </c>
      <c r="DU29" s="138" t="n">
        <v>0</v>
      </c>
    </row>
    <row r="30" customFormat="false" ht="12.75" hidden="false" customHeight="false" outlineLevel="0" collapsed="false">
      <c r="A30" s="91" t="n">
        <f aca="true">IF(ISERROR(MATCH(D30,iRefDt,0)),"",MATCH(D30,iRefDt,0))</f>
        <v>22</v>
      </c>
      <c r="B30" s="92" t="n">
        <f aca="false">MATCH(YEAR(D30),iSpreads)</f>
        <v>1</v>
      </c>
      <c r="C30" s="0" t="n">
        <f aca="false">MONTH(D30)</f>
        <v>2</v>
      </c>
      <c r="D30" s="93" t="n">
        <f aca="false">D29+1</f>
        <v>36936</v>
      </c>
      <c r="E30" s="94" t="n">
        <f aca="false">IF(ISERROR(VLOOKUP($D30,tblPriorPrice,2,FALSE())),E$34,VLOOKUP($D30,tblPriorPrice,2,FALSE()))</f>
        <v>219.225006103516</v>
      </c>
      <c r="F30" s="95" t="n">
        <f aca="false">+[2]OperatingCurve!$D30</f>
        <v>0</v>
      </c>
      <c r="G30" s="96" t="n">
        <f aca="false">IF(EnergyCurve!G30&lt;200,0.001*EnergyCurve!G30+1,1.2)*EnergyCurve!G30</f>
        <v>205.625</v>
      </c>
      <c r="H30" s="96" t="n">
        <f aca="false">IF(EnergyCurve!H30&lt;200,0.001*EnergyCurve!H30+1,1.2)*EnergyCurve!H30</f>
        <v>198.9</v>
      </c>
      <c r="I30" s="96" t="n">
        <f aca="false">IF(EnergyCurve!I30&lt;200,0.001*EnergyCurve!I30+1,1.2)*EnergyCurve!I30</f>
        <v>240</v>
      </c>
      <c r="J30" s="94" t="n">
        <f aca="false">IF(ISERROR(VLOOKUP($D30,tblPriorPrice,3,FALSE())),J$34,VLOOKUP($D30,tblPriorPrice,3,FALSE()))</f>
        <v>0</v>
      </c>
      <c r="K30" s="95" t="n">
        <f aca="false">+[2]OperatingCurve!$G30</f>
        <v>0</v>
      </c>
      <c r="L30" s="96" t="n">
        <f aca="false">J30+K30</f>
        <v>0</v>
      </c>
      <c r="M30" s="96" t="n">
        <f aca="false">L30</f>
        <v>0</v>
      </c>
      <c r="N30" s="96" t="n">
        <f aca="false">L30</f>
        <v>0</v>
      </c>
      <c r="O30" s="58" t="n">
        <f aca="true">IF($A30="",0,INDEX(tblPosn,$A30,2))</f>
        <v>0</v>
      </c>
      <c r="P30" s="59" t="n">
        <f aca="true">IF($A30="",0,INDEX(tblPosn,$A30,3))</f>
        <v>0</v>
      </c>
      <c r="Q30" s="59" t="n">
        <f aca="true">IF($A30="",0,INDEX(tblPosn,$A30,4))</f>
        <v>0</v>
      </c>
      <c r="R30" s="59" t="n">
        <f aca="true">IF($A30="",0,INDEX(tblPosn,$A30,5))</f>
        <v>0</v>
      </c>
      <c r="S30" s="59" t="n">
        <f aca="true">IF($A30="",0,INDEX(tblPosn,$A30,6))</f>
        <v>0</v>
      </c>
      <c r="T30" s="98" t="n">
        <f aca="false">O30*F30+P30*K30+R30*AC30+S30*AH30+Q30*X30</f>
        <v>0</v>
      </c>
      <c r="V30" s="99"/>
      <c r="W30" s="100"/>
      <c r="X30" s="101" t="n">
        <f aca="false">F30</f>
        <v>0</v>
      </c>
      <c r="Y30" s="102"/>
      <c r="Z30" s="102"/>
      <c r="AA30" s="102"/>
      <c r="AB30" s="100"/>
      <c r="AC30" s="101" t="n">
        <f aca="false">F30</f>
        <v>0</v>
      </c>
      <c r="AD30" s="102"/>
      <c r="AE30" s="102"/>
      <c r="AF30" s="103"/>
      <c r="AG30" s="100"/>
      <c r="AH30" s="101" t="n">
        <f aca="false">IF(MONTH(D30)=MONTH($V$34),$AH$34,$AH$33)</f>
        <v>0</v>
      </c>
      <c r="AI30" s="102"/>
      <c r="AJ30" s="102"/>
      <c r="AK30" s="103"/>
      <c r="AL30" s="104"/>
      <c r="AM30" s="103"/>
      <c r="AN30" s="104"/>
      <c r="AO30" s="104"/>
      <c r="AP30" s="104"/>
      <c r="AQ30" s="100"/>
      <c r="AR30" s="104"/>
      <c r="AS30" s="104"/>
      <c r="AT30" s="100"/>
      <c r="AU30" s="104"/>
      <c r="AV30" s="104"/>
      <c r="AW30" s="100"/>
      <c r="AX30" s="104"/>
      <c r="AY30" s="104"/>
      <c r="AZ30" s="100"/>
      <c r="BA30" s="74"/>
      <c r="BQ30" s="108" t="n">
        <v>36907.7428240741</v>
      </c>
      <c r="BR30" s="109" t="n">
        <v>36907.7432986111</v>
      </c>
      <c r="BS30" s="110" t="n">
        <v>37012</v>
      </c>
      <c r="BT30" s="111" t="n">
        <v>0</v>
      </c>
      <c r="BU30" s="112" t="n">
        <v>0</v>
      </c>
      <c r="BV30" s="112" t="n">
        <v>0</v>
      </c>
      <c r="BW30" s="112" t="n">
        <v>0</v>
      </c>
      <c r="BX30" s="113" t="n">
        <v>0</v>
      </c>
      <c r="BY30" s="114"/>
      <c r="BZ30" s="115" t="n">
        <v>36935</v>
      </c>
      <c r="CA30" s="116" t="n">
        <v>219.225006103516</v>
      </c>
      <c r="CB30" s="116" t="n">
        <v>0</v>
      </c>
      <c r="CC30" s="116"/>
      <c r="CD30" s="116"/>
      <c r="CE30" s="117"/>
      <c r="CG30" s="135" t="n">
        <f aca="false">BB12</f>
        <v>2003</v>
      </c>
      <c r="CH30" s="136" t="n">
        <v>0</v>
      </c>
      <c r="CI30" s="137" t="n">
        <v>0</v>
      </c>
      <c r="CJ30" s="137" t="n">
        <v>0</v>
      </c>
      <c r="CK30" s="137" t="n">
        <v>0</v>
      </c>
      <c r="CL30" s="137" t="n">
        <v>0</v>
      </c>
      <c r="CM30" s="137" t="n">
        <v>0</v>
      </c>
      <c r="CN30" s="137" t="n">
        <v>0</v>
      </c>
      <c r="CO30" s="137" t="n">
        <v>0</v>
      </c>
      <c r="CP30" s="137" t="n">
        <v>0</v>
      </c>
      <c r="CQ30" s="137" t="n">
        <v>0</v>
      </c>
      <c r="CR30" s="137" t="n">
        <v>0</v>
      </c>
      <c r="CS30" s="138" t="n">
        <v>0</v>
      </c>
      <c r="CU30" s="135" t="n">
        <f aca="false">BB12</f>
        <v>2003</v>
      </c>
      <c r="CV30" s="136" t="n">
        <v>0</v>
      </c>
      <c r="CW30" s="137" t="n">
        <v>0</v>
      </c>
      <c r="CX30" s="137" t="n">
        <v>0</v>
      </c>
      <c r="CY30" s="137" t="n">
        <v>0</v>
      </c>
      <c r="CZ30" s="137" t="n">
        <v>0</v>
      </c>
      <c r="DA30" s="137" t="n">
        <v>0</v>
      </c>
      <c r="DB30" s="137" t="n">
        <v>0</v>
      </c>
      <c r="DC30" s="137" t="n">
        <v>0</v>
      </c>
      <c r="DD30" s="137" t="n">
        <v>0</v>
      </c>
      <c r="DE30" s="137" t="n">
        <v>0</v>
      </c>
      <c r="DF30" s="137" t="n">
        <v>0</v>
      </c>
      <c r="DG30" s="138" t="n">
        <v>0</v>
      </c>
      <c r="DI30" s="135" t="n">
        <f aca="false">BB12</f>
        <v>2003</v>
      </c>
      <c r="DJ30" s="136" t="n">
        <v>0</v>
      </c>
      <c r="DK30" s="137" t="n">
        <v>0</v>
      </c>
      <c r="DL30" s="137" t="n">
        <v>0</v>
      </c>
      <c r="DM30" s="137" t="n">
        <v>0</v>
      </c>
      <c r="DN30" s="137" t="n">
        <v>0</v>
      </c>
      <c r="DO30" s="137" t="n">
        <v>0</v>
      </c>
      <c r="DP30" s="137" t="n">
        <v>0</v>
      </c>
      <c r="DQ30" s="137" t="n">
        <v>0</v>
      </c>
      <c r="DR30" s="137" t="n">
        <v>0</v>
      </c>
      <c r="DS30" s="137" t="n">
        <v>0</v>
      </c>
      <c r="DT30" s="137" t="n">
        <v>0</v>
      </c>
      <c r="DU30" s="138" t="n">
        <v>0</v>
      </c>
    </row>
    <row r="31" customFormat="false" ht="12.75" hidden="false" customHeight="false" outlineLevel="0" collapsed="false">
      <c r="A31" s="91" t="n">
        <f aca="true">IF(ISERROR(MATCH(D31,iRefDt,0)),"",MATCH(D31,iRefDt,0))</f>
        <v>23</v>
      </c>
      <c r="B31" s="92" t="n">
        <f aca="false">MATCH(YEAR(D31),iSpreads)</f>
        <v>1</v>
      </c>
      <c r="C31" s="0" t="n">
        <f aca="false">MONTH(D31)</f>
        <v>2</v>
      </c>
      <c r="D31" s="93" t="n">
        <f aca="false">D30+1</f>
        <v>36937</v>
      </c>
      <c r="E31" s="94" t="n">
        <f aca="false">IF(ISERROR(VLOOKUP($D31,tblPriorPrice,2,FALSE())),E$34,VLOOKUP($D31,tblPriorPrice,2,FALSE()))</f>
        <v>219.225006103516</v>
      </c>
      <c r="F31" s="95" t="n">
        <f aca="false">+[2]OperatingCurve!$D31</f>
        <v>0</v>
      </c>
      <c r="G31" s="96" t="n">
        <f aca="false">IF(EnergyCurve!G31&lt;200,0.001*EnergyCurve!G31+1,1.2)*EnergyCurve!G31</f>
        <v>205.625</v>
      </c>
      <c r="H31" s="96" t="n">
        <f aca="false">IF(EnergyCurve!H31&lt;200,0.001*EnergyCurve!H31+1,1.2)*EnergyCurve!H31</f>
        <v>198.9</v>
      </c>
      <c r="I31" s="96" t="n">
        <f aca="false">IF(EnergyCurve!I31&lt;200,0.001*EnergyCurve!I31+1,1.2)*EnergyCurve!I31</f>
        <v>240</v>
      </c>
      <c r="J31" s="94" t="n">
        <f aca="false">IF(ISERROR(VLOOKUP($D31,tblPriorPrice,3,FALSE())),J$34,VLOOKUP($D31,tblPriorPrice,3,FALSE()))</f>
        <v>0</v>
      </c>
      <c r="K31" s="95" t="n">
        <f aca="false">+[2]OperatingCurve!$G31</f>
        <v>0</v>
      </c>
      <c r="L31" s="96" t="n">
        <f aca="false">J31+K31</f>
        <v>0</v>
      </c>
      <c r="M31" s="96" t="n">
        <f aca="false">L31</f>
        <v>0</v>
      </c>
      <c r="N31" s="96" t="n">
        <f aca="false">L31</f>
        <v>0</v>
      </c>
      <c r="O31" s="58" t="n">
        <f aca="true">IF($A31="",0,INDEX(tblPosn,$A31,2))</f>
        <v>0</v>
      </c>
      <c r="P31" s="59" t="n">
        <f aca="true">IF($A31="",0,INDEX(tblPosn,$A31,3))</f>
        <v>0</v>
      </c>
      <c r="Q31" s="59" t="n">
        <f aca="true">IF($A31="",0,INDEX(tblPosn,$A31,4))</f>
        <v>0</v>
      </c>
      <c r="R31" s="59" t="n">
        <f aca="true">IF($A31="",0,INDEX(tblPosn,$A31,5))</f>
        <v>0</v>
      </c>
      <c r="S31" s="59" t="n">
        <f aca="true">IF($A31="",0,INDEX(tblPosn,$A31,6))</f>
        <v>0</v>
      </c>
      <c r="T31" s="98" t="n">
        <f aca="false">O31*F31+P31*K31+R31*AC31+S31*AH31+Q31*X31</f>
        <v>0</v>
      </c>
      <c r="V31" s="99"/>
      <c r="W31" s="100"/>
      <c r="X31" s="101" t="n">
        <f aca="false">F31</f>
        <v>0</v>
      </c>
      <c r="Y31" s="102"/>
      <c r="Z31" s="102"/>
      <c r="AA31" s="102"/>
      <c r="AB31" s="100"/>
      <c r="AC31" s="101" t="n">
        <f aca="false">F31</f>
        <v>0</v>
      </c>
      <c r="AD31" s="102"/>
      <c r="AE31" s="102"/>
      <c r="AF31" s="103"/>
      <c r="AG31" s="100"/>
      <c r="AH31" s="101" t="n">
        <f aca="false">IF(MONTH(D31)=MONTH($V$34),$AH$34,$AH$33)</f>
        <v>0</v>
      </c>
      <c r="AI31" s="102"/>
      <c r="AJ31" s="102"/>
      <c r="AK31" s="103"/>
      <c r="AL31" s="104"/>
      <c r="AM31" s="103"/>
      <c r="AN31" s="104"/>
      <c r="AO31" s="104"/>
      <c r="AP31" s="104"/>
      <c r="AQ31" s="100"/>
      <c r="AR31" s="104"/>
      <c r="AS31" s="104"/>
      <c r="AT31" s="100"/>
      <c r="AU31" s="104"/>
      <c r="AV31" s="104"/>
      <c r="AW31" s="100"/>
      <c r="AX31" s="104"/>
      <c r="AY31" s="104"/>
      <c r="AZ31" s="100"/>
      <c r="BA31" s="74"/>
      <c r="BB31" s="5" t="s">
        <v>122</v>
      </c>
      <c r="BQ31" s="108" t="n">
        <v>36907.7428240741</v>
      </c>
      <c r="BR31" s="109" t="n">
        <v>36907.7432986111</v>
      </c>
      <c r="BS31" s="110" t="n">
        <v>37043</v>
      </c>
      <c r="BT31" s="111" t="n">
        <v>0</v>
      </c>
      <c r="BU31" s="112" t="n">
        <v>0</v>
      </c>
      <c r="BV31" s="112" t="n">
        <v>0</v>
      </c>
      <c r="BW31" s="112" t="n">
        <v>0</v>
      </c>
      <c r="BX31" s="113" t="n">
        <v>0</v>
      </c>
      <c r="BY31" s="114"/>
      <c r="BZ31" s="115" t="n">
        <v>36936</v>
      </c>
      <c r="CA31" s="116" t="n">
        <v>219.225006103516</v>
      </c>
      <c r="CB31" s="116" t="n">
        <v>0</v>
      </c>
      <c r="CC31" s="116"/>
      <c r="CD31" s="116"/>
      <c r="CE31" s="117"/>
      <c r="CG31" s="135" t="n">
        <f aca="false">BB13</f>
        <v>2004</v>
      </c>
      <c r="CH31" s="136" t="n">
        <v>0</v>
      </c>
      <c r="CI31" s="137" t="n">
        <v>0</v>
      </c>
      <c r="CJ31" s="137" t="n">
        <v>0</v>
      </c>
      <c r="CK31" s="137" t="n">
        <v>0</v>
      </c>
      <c r="CL31" s="137" t="n">
        <v>0</v>
      </c>
      <c r="CM31" s="137" t="n">
        <v>0</v>
      </c>
      <c r="CN31" s="137" t="n">
        <v>0</v>
      </c>
      <c r="CO31" s="137" t="n">
        <v>0</v>
      </c>
      <c r="CP31" s="137" t="n">
        <v>0</v>
      </c>
      <c r="CQ31" s="137" t="n">
        <v>0</v>
      </c>
      <c r="CR31" s="137" t="n">
        <v>0</v>
      </c>
      <c r="CS31" s="138" t="n">
        <v>0</v>
      </c>
      <c r="CU31" s="135" t="n">
        <f aca="false">BB13</f>
        <v>2004</v>
      </c>
      <c r="CV31" s="136" t="n">
        <v>0</v>
      </c>
      <c r="CW31" s="137" t="n">
        <v>0</v>
      </c>
      <c r="CX31" s="137" t="n">
        <v>0</v>
      </c>
      <c r="CY31" s="137" t="n">
        <v>0</v>
      </c>
      <c r="CZ31" s="137" t="n">
        <v>0</v>
      </c>
      <c r="DA31" s="137" t="n">
        <v>0</v>
      </c>
      <c r="DB31" s="137" t="n">
        <v>0</v>
      </c>
      <c r="DC31" s="137" t="n">
        <v>0</v>
      </c>
      <c r="DD31" s="137" t="n">
        <v>0</v>
      </c>
      <c r="DE31" s="137" t="n">
        <v>0</v>
      </c>
      <c r="DF31" s="137" t="n">
        <v>0</v>
      </c>
      <c r="DG31" s="138" t="n">
        <v>0</v>
      </c>
      <c r="DI31" s="135" t="n">
        <f aca="false">BB13</f>
        <v>2004</v>
      </c>
      <c r="DJ31" s="136" t="n">
        <v>0</v>
      </c>
      <c r="DK31" s="137" t="n">
        <v>0</v>
      </c>
      <c r="DL31" s="137" t="n">
        <v>0</v>
      </c>
      <c r="DM31" s="137" t="n">
        <v>0</v>
      </c>
      <c r="DN31" s="137" t="n">
        <v>0</v>
      </c>
      <c r="DO31" s="137" t="n">
        <v>0</v>
      </c>
      <c r="DP31" s="137" t="n">
        <v>0</v>
      </c>
      <c r="DQ31" s="137" t="n">
        <v>0</v>
      </c>
      <c r="DR31" s="137" t="n">
        <v>0</v>
      </c>
      <c r="DS31" s="137" t="n">
        <v>0</v>
      </c>
      <c r="DT31" s="137" t="n">
        <v>0</v>
      </c>
      <c r="DU31" s="138" t="n">
        <v>0</v>
      </c>
    </row>
    <row r="32" customFormat="false" ht="12.75" hidden="false" customHeight="false" outlineLevel="0" collapsed="false">
      <c r="A32" s="91" t="n">
        <f aca="true">IF(ISERROR(MATCH(D32,iRefDt,0)),"",MATCH(D32,iRefDt,0))</f>
        <v>24</v>
      </c>
      <c r="B32" s="92" t="n">
        <f aca="false">MATCH(YEAR(D32),iSpreads)</f>
        <v>1</v>
      </c>
      <c r="C32" s="0" t="n">
        <f aca="false">MONTH(D32)</f>
        <v>2</v>
      </c>
      <c r="D32" s="93" t="n">
        <f aca="false">D31+1</f>
        <v>36938</v>
      </c>
      <c r="E32" s="94" t="n">
        <f aca="false">IF(ISERROR(VLOOKUP($D32,tblPriorPrice,2,FALSE())),E$34,VLOOKUP($D32,tblPriorPrice,2,FALSE()))</f>
        <v>219.225006103516</v>
      </c>
      <c r="F32" s="95" t="n">
        <f aca="false">+[2]OperatingCurve!$D32</f>
        <v>0</v>
      </c>
      <c r="G32" s="96" t="n">
        <f aca="false">IF(EnergyCurve!G32&lt;200,0.001*EnergyCurve!G32+1,1.2)*EnergyCurve!G32</f>
        <v>205.625</v>
      </c>
      <c r="H32" s="96" t="n">
        <f aca="false">IF(EnergyCurve!H32&lt;200,0.001*EnergyCurve!H32+1,1.2)*EnergyCurve!H32</f>
        <v>198.9</v>
      </c>
      <c r="I32" s="96" t="n">
        <f aca="false">IF(EnergyCurve!I32&lt;200,0.001*EnergyCurve!I32+1,1.2)*EnergyCurve!I32</f>
        <v>240</v>
      </c>
      <c r="J32" s="94" t="n">
        <f aca="false">IF(ISERROR(VLOOKUP($D32,tblPriorPrice,3,FALSE())),J$34,VLOOKUP($D32,tblPriorPrice,3,FALSE()))</f>
        <v>0</v>
      </c>
      <c r="K32" s="95" t="n">
        <f aca="false">+[2]OperatingCurve!$G32</f>
        <v>0</v>
      </c>
      <c r="L32" s="96" t="n">
        <f aca="false">J32+K32</f>
        <v>0</v>
      </c>
      <c r="M32" s="96" t="n">
        <f aca="false">L32</f>
        <v>0</v>
      </c>
      <c r="N32" s="96" t="n">
        <f aca="false">L32</f>
        <v>0</v>
      </c>
      <c r="O32" s="58" t="n">
        <f aca="true">IF($A32="",0,INDEX(tblPosn,$A32,2))</f>
        <v>0</v>
      </c>
      <c r="P32" s="59" t="n">
        <f aca="true">IF($A32="",0,INDEX(tblPosn,$A32,3))</f>
        <v>0</v>
      </c>
      <c r="Q32" s="59" t="n">
        <f aca="true">IF($A32="",0,INDEX(tblPosn,$A32,4))</f>
        <v>0</v>
      </c>
      <c r="R32" s="59" t="n">
        <f aca="true">IF($A32="",0,INDEX(tblPosn,$A32,5))</f>
        <v>0</v>
      </c>
      <c r="S32" s="59" t="n">
        <f aca="true">IF($A32="",0,INDEX(tblPosn,$A32,6))</f>
        <v>0</v>
      </c>
      <c r="T32" s="98" t="n">
        <f aca="false">O32*F32+P32*K32+R32*AC32+S32*AH32+Q32*X32</f>
        <v>0</v>
      </c>
      <c r="V32" s="161" t="n">
        <f aca="false">DATE(YEAR(V34),MONTH(V34)-2,1)</f>
        <v>36861</v>
      </c>
      <c r="W32" s="100"/>
      <c r="X32" s="101" t="n">
        <f aca="false">X34</f>
        <v>0</v>
      </c>
      <c r="Y32" s="102"/>
      <c r="Z32" s="102"/>
      <c r="AA32" s="102"/>
      <c r="AB32" s="100"/>
      <c r="AC32" s="101" t="n">
        <f aca="false">F32</f>
        <v>0</v>
      </c>
      <c r="AD32" s="102"/>
      <c r="AE32" s="102"/>
      <c r="AF32" s="103"/>
      <c r="AG32" s="94"/>
      <c r="AH32" s="162"/>
      <c r="AI32" s="163"/>
      <c r="AJ32" s="96"/>
      <c r="AK32" s="97"/>
      <c r="AL32" s="164"/>
      <c r="AM32" s="165"/>
      <c r="AN32" s="166"/>
      <c r="AO32" s="166"/>
      <c r="AP32" s="166"/>
      <c r="AQ32" s="167"/>
      <c r="AR32" s="166"/>
      <c r="AS32" s="166"/>
      <c r="AT32" s="168"/>
      <c r="AU32" s="169"/>
      <c r="AV32" s="169"/>
      <c r="AW32" s="168"/>
      <c r="AX32" s="169"/>
      <c r="AY32" s="169"/>
      <c r="AZ32" s="167"/>
      <c r="BA32" s="74"/>
      <c r="BB32" s="170"/>
      <c r="BC32" s="140" t="s">
        <v>51</v>
      </c>
      <c r="BD32" s="140"/>
      <c r="BE32" s="140"/>
      <c r="BF32" s="140" t="s">
        <v>116</v>
      </c>
      <c r="BG32" s="140"/>
      <c r="BH32" s="140"/>
      <c r="BI32" s="171" t="s">
        <v>84</v>
      </c>
      <c r="BJ32" s="171"/>
      <c r="BK32" s="171"/>
      <c r="BL32" s="171" t="s">
        <v>53</v>
      </c>
      <c r="BM32" s="171"/>
      <c r="BN32" s="171"/>
      <c r="BQ32" s="108" t="n">
        <v>36907.7428240741</v>
      </c>
      <c r="BR32" s="109" t="n">
        <v>36907.7432986111</v>
      </c>
      <c r="BS32" s="110" t="n">
        <v>37073</v>
      </c>
      <c r="BT32" s="111" t="n">
        <v>0</v>
      </c>
      <c r="BU32" s="112" t="n">
        <v>0</v>
      </c>
      <c r="BV32" s="112" t="n">
        <v>0</v>
      </c>
      <c r="BW32" s="112" t="n">
        <v>0</v>
      </c>
      <c r="BX32" s="113" t="n">
        <v>0</v>
      </c>
      <c r="BY32" s="114"/>
      <c r="BZ32" s="115" t="n">
        <v>36937</v>
      </c>
      <c r="CA32" s="116" t="n">
        <v>219.225006103516</v>
      </c>
      <c r="CB32" s="116" t="n">
        <v>0</v>
      </c>
      <c r="CC32" s="116"/>
      <c r="CD32" s="116"/>
      <c r="CE32" s="117"/>
      <c r="CG32" s="135" t="n">
        <f aca="false">BB14</f>
        <v>2005</v>
      </c>
      <c r="CH32" s="136" t="n">
        <v>0</v>
      </c>
      <c r="CI32" s="137" t="n">
        <v>0</v>
      </c>
      <c r="CJ32" s="137" t="n">
        <v>0</v>
      </c>
      <c r="CK32" s="137" t="n">
        <v>0</v>
      </c>
      <c r="CL32" s="137" t="n">
        <v>0</v>
      </c>
      <c r="CM32" s="137" t="n">
        <v>0</v>
      </c>
      <c r="CN32" s="137" t="n">
        <v>0</v>
      </c>
      <c r="CO32" s="137" t="n">
        <v>0</v>
      </c>
      <c r="CP32" s="137" t="n">
        <v>0</v>
      </c>
      <c r="CQ32" s="137" t="n">
        <v>0</v>
      </c>
      <c r="CR32" s="137" t="n">
        <v>0</v>
      </c>
      <c r="CS32" s="138" t="n">
        <v>0</v>
      </c>
      <c r="CU32" s="135" t="n">
        <f aca="false">BB14</f>
        <v>2005</v>
      </c>
      <c r="CV32" s="136" t="n">
        <v>0</v>
      </c>
      <c r="CW32" s="137" t="n">
        <v>0</v>
      </c>
      <c r="CX32" s="137" t="n">
        <v>0</v>
      </c>
      <c r="CY32" s="137" t="n">
        <v>0</v>
      </c>
      <c r="CZ32" s="137" t="n">
        <v>0</v>
      </c>
      <c r="DA32" s="137" t="n">
        <v>0</v>
      </c>
      <c r="DB32" s="137" t="n">
        <v>0</v>
      </c>
      <c r="DC32" s="137" t="n">
        <v>0</v>
      </c>
      <c r="DD32" s="137" t="n">
        <v>0</v>
      </c>
      <c r="DE32" s="137" t="n">
        <v>0</v>
      </c>
      <c r="DF32" s="137" t="n">
        <v>0</v>
      </c>
      <c r="DG32" s="138" t="n">
        <v>0</v>
      </c>
      <c r="DI32" s="135" t="n">
        <f aca="false">BB14</f>
        <v>2005</v>
      </c>
      <c r="DJ32" s="136" t="n">
        <v>0</v>
      </c>
      <c r="DK32" s="137" t="n">
        <v>0</v>
      </c>
      <c r="DL32" s="137" t="n">
        <v>0</v>
      </c>
      <c r="DM32" s="137" t="n">
        <v>0</v>
      </c>
      <c r="DN32" s="137" t="n">
        <v>0</v>
      </c>
      <c r="DO32" s="137" t="n">
        <v>0</v>
      </c>
      <c r="DP32" s="137" t="n">
        <v>0</v>
      </c>
      <c r="DQ32" s="137" t="n">
        <v>0</v>
      </c>
      <c r="DR32" s="137" t="n">
        <v>0</v>
      </c>
      <c r="DS32" s="137" t="n">
        <v>0</v>
      </c>
      <c r="DT32" s="137" t="n">
        <v>0</v>
      </c>
      <c r="DU32" s="138" t="n">
        <v>0</v>
      </c>
    </row>
    <row r="33" customFormat="false" ht="12.75" hidden="false" customHeight="false" outlineLevel="0" collapsed="false">
      <c r="A33" s="91" t="str">
        <f aca="true">IF(ISERROR(MATCH(D33,iRefDt,0)),"",MATCH(D33,iRefDt,0))</f>
        <v/>
      </c>
      <c r="B33" s="92" t="n">
        <f aca="false">MATCH(YEAR(D33),iSpreads)</f>
        <v>1</v>
      </c>
      <c r="C33" s="0" t="n">
        <f aca="false">MONTH(D33)</f>
        <v>2</v>
      </c>
      <c r="D33" s="93" t="n">
        <f aca="false">D32+1</f>
        <v>36939</v>
      </c>
      <c r="E33" s="94" t="n">
        <f aca="false">IF(ISERROR(VLOOKUP($D33,tblPriorPrice,2,FALSE())),E$34,VLOOKUP($D33,tblPriorPrice,2,FALSE()))</f>
        <v>219.225006103516</v>
      </c>
      <c r="F33" s="95" t="n">
        <f aca="false">+[2]OperatingCurve!$D33</f>
        <v>0</v>
      </c>
      <c r="G33" s="96" t="n">
        <f aca="false">IF(EnergyCurve!G33&lt;200,0.001*EnergyCurve!G33+1,1.2)*EnergyCurve!G33</f>
        <v>205.625</v>
      </c>
      <c r="H33" s="96" t="n">
        <f aca="false">IF(EnergyCurve!H33&lt;200,0.001*EnergyCurve!H33+1,1.2)*EnergyCurve!H33</f>
        <v>198.9</v>
      </c>
      <c r="I33" s="96" t="n">
        <f aca="false">IF(EnergyCurve!I33&lt;200,0.001*EnergyCurve!I33+1,1.2)*EnergyCurve!I33</f>
        <v>240</v>
      </c>
      <c r="J33" s="94" t="n">
        <f aca="false">IF(ISERROR(VLOOKUP($D33,tblPriorPrice,3,FALSE())),J$34,VLOOKUP($D33,tblPriorPrice,3,FALSE()))</f>
        <v>0</v>
      </c>
      <c r="K33" s="95" t="n">
        <f aca="false">+[2]OperatingCurve!$G33</f>
        <v>0</v>
      </c>
      <c r="L33" s="96" t="n">
        <f aca="false">J33+K33</f>
        <v>0</v>
      </c>
      <c r="M33" s="96" t="n">
        <f aca="false">L33</f>
        <v>0</v>
      </c>
      <c r="N33" s="96" t="n">
        <f aca="false">L33</f>
        <v>0</v>
      </c>
      <c r="O33" s="58" t="n">
        <f aca="true">IF($A33="",0,INDEX(tblPosn,$A33,2))</f>
        <v>0</v>
      </c>
      <c r="P33" s="59" t="n">
        <f aca="true">IF($A33="",0,INDEX(tblPosn,$A33,3))</f>
        <v>0</v>
      </c>
      <c r="Q33" s="59" t="n">
        <f aca="true">IF($A33="",0,INDEX(tblPosn,$A33,4))</f>
        <v>0</v>
      </c>
      <c r="R33" s="59" t="n">
        <f aca="true">IF($A33="",0,INDEX(tblPosn,$A33,5))</f>
        <v>0</v>
      </c>
      <c r="S33" s="59" t="n">
        <f aca="true">IF($A33="",0,INDEX(tblPosn,$A33,6))</f>
        <v>0</v>
      </c>
      <c r="T33" s="98" t="n">
        <f aca="false">O33*F33+P33*K33+R33*AC33+S33*AH33+Q33*X33</f>
        <v>0</v>
      </c>
      <c r="V33" s="161" t="n">
        <f aca="false">DATE(YEAR(V34),MONTH(V34)-1,1)</f>
        <v>36892</v>
      </c>
      <c r="W33" s="100"/>
      <c r="X33" s="101" t="n">
        <f aca="false">X34</f>
        <v>0</v>
      </c>
      <c r="Y33" s="172"/>
      <c r="Z33" s="173"/>
      <c r="AA33" s="173"/>
      <c r="AB33" s="100"/>
      <c r="AC33" s="101" t="n">
        <f aca="false">AC34</f>
        <v>0</v>
      </c>
      <c r="AD33" s="172"/>
      <c r="AE33" s="102"/>
      <c r="AF33" s="103"/>
      <c r="AG33" s="94" t="n">
        <f aca="false">VLOOKUP($D33,tblPriorPrice,6)</f>
        <v>0</v>
      </c>
      <c r="AH33" s="162"/>
      <c r="AI33" s="163" t="n">
        <f aca="false">AG33+AH33</f>
        <v>0</v>
      </c>
      <c r="AJ33" s="96" t="n">
        <f aca="false">AI33</f>
        <v>0</v>
      </c>
      <c r="AK33" s="97" t="n">
        <f aca="false">AI33</f>
        <v>0</v>
      </c>
      <c r="AL33" s="164" t="n">
        <v>1</v>
      </c>
      <c r="AM33" s="165" t="n">
        <v>0</v>
      </c>
      <c r="AN33" s="166" t="n">
        <v>0</v>
      </c>
      <c r="AO33" s="166" t="n">
        <v>0</v>
      </c>
      <c r="AP33" s="166" t="n">
        <v>0</v>
      </c>
      <c r="AQ33" s="167" t="n">
        <v>0</v>
      </c>
      <c r="AR33" s="166" t="n">
        <v>0</v>
      </c>
      <c r="AS33" s="166" t="n">
        <v>0</v>
      </c>
      <c r="AT33" s="168" t="n">
        <v>0</v>
      </c>
      <c r="AU33" s="169" t="n">
        <v>0</v>
      </c>
      <c r="AV33" s="169" t="n">
        <v>0</v>
      </c>
      <c r="AW33" s="168" t="n">
        <v>0</v>
      </c>
      <c r="AX33" s="169" t="n">
        <v>0</v>
      </c>
      <c r="AY33" s="169" t="n">
        <v>0</v>
      </c>
      <c r="AZ33" s="167" t="n">
        <v>0</v>
      </c>
      <c r="BA33" s="74"/>
      <c r="BB33" s="142" t="s">
        <v>78</v>
      </c>
      <c r="BC33" s="140" t="s">
        <v>89</v>
      </c>
      <c r="BD33" s="140" t="s">
        <v>82</v>
      </c>
      <c r="BE33" s="140" t="s">
        <v>83</v>
      </c>
      <c r="BF33" s="140" t="s">
        <v>89</v>
      </c>
      <c r="BG33" s="140" t="s">
        <v>82</v>
      </c>
      <c r="BH33" s="140" t="s">
        <v>83</v>
      </c>
      <c r="BI33" s="171" t="s">
        <v>89</v>
      </c>
      <c r="BJ33" s="171" t="s">
        <v>82</v>
      </c>
      <c r="BK33" s="171" t="s">
        <v>83</v>
      </c>
      <c r="BL33" s="171" t="s">
        <v>89</v>
      </c>
      <c r="BM33" s="171" t="s">
        <v>82</v>
      </c>
      <c r="BN33" s="171" t="s">
        <v>83</v>
      </c>
      <c r="BQ33" s="108" t="n">
        <v>36907.7428240741</v>
      </c>
      <c r="BR33" s="109" t="n">
        <v>36907.7432986111</v>
      </c>
      <c r="BS33" s="110" t="n">
        <v>37104</v>
      </c>
      <c r="BT33" s="111" t="n">
        <v>0</v>
      </c>
      <c r="BU33" s="112" t="n">
        <v>0</v>
      </c>
      <c r="BV33" s="112" t="n">
        <v>0</v>
      </c>
      <c r="BW33" s="112" t="n">
        <v>0</v>
      </c>
      <c r="BX33" s="113" t="n">
        <v>0</v>
      </c>
      <c r="BY33" s="114"/>
      <c r="BZ33" s="115" t="n">
        <v>36938</v>
      </c>
      <c r="CA33" s="116" t="n">
        <v>219.225006103516</v>
      </c>
      <c r="CB33" s="116" t="n">
        <v>0</v>
      </c>
      <c r="CC33" s="116"/>
      <c r="CD33" s="116"/>
      <c r="CE33" s="117" t="n">
        <v>0</v>
      </c>
      <c r="CG33" s="135" t="n">
        <f aca="false">BB15</f>
        <v>2006</v>
      </c>
      <c r="CH33" s="136" t="n">
        <v>0</v>
      </c>
      <c r="CI33" s="137" t="n">
        <v>0</v>
      </c>
      <c r="CJ33" s="137" t="n">
        <v>0</v>
      </c>
      <c r="CK33" s="137" t="n">
        <v>0</v>
      </c>
      <c r="CL33" s="137" t="n">
        <v>0</v>
      </c>
      <c r="CM33" s="137" t="n">
        <v>0</v>
      </c>
      <c r="CN33" s="137" t="n">
        <v>0</v>
      </c>
      <c r="CO33" s="137" t="n">
        <v>0</v>
      </c>
      <c r="CP33" s="137" t="n">
        <v>0</v>
      </c>
      <c r="CQ33" s="137" t="n">
        <v>0</v>
      </c>
      <c r="CR33" s="137" t="n">
        <v>0</v>
      </c>
      <c r="CS33" s="138" t="n">
        <v>0</v>
      </c>
      <c r="CU33" s="135" t="n">
        <f aca="false">BB15</f>
        <v>2006</v>
      </c>
      <c r="CV33" s="136" t="n">
        <v>0</v>
      </c>
      <c r="CW33" s="137" t="n">
        <v>0</v>
      </c>
      <c r="CX33" s="137" t="n">
        <v>0</v>
      </c>
      <c r="CY33" s="137" t="n">
        <v>0</v>
      </c>
      <c r="CZ33" s="137" t="n">
        <v>0</v>
      </c>
      <c r="DA33" s="137" t="n">
        <v>0</v>
      </c>
      <c r="DB33" s="137" t="n">
        <v>0</v>
      </c>
      <c r="DC33" s="137" t="n">
        <v>0</v>
      </c>
      <c r="DD33" s="137" t="n">
        <v>0</v>
      </c>
      <c r="DE33" s="137" t="n">
        <v>0</v>
      </c>
      <c r="DF33" s="137" t="n">
        <v>0</v>
      </c>
      <c r="DG33" s="138" t="n">
        <v>0</v>
      </c>
      <c r="DI33" s="135" t="n">
        <f aca="false">BB15</f>
        <v>2006</v>
      </c>
      <c r="DJ33" s="136" t="n">
        <v>0</v>
      </c>
      <c r="DK33" s="137" t="n">
        <v>0</v>
      </c>
      <c r="DL33" s="137" t="n">
        <v>0</v>
      </c>
      <c r="DM33" s="137" t="n">
        <v>0</v>
      </c>
      <c r="DN33" s="137" t="n">
        <v>0</v>
      </c>
      <c r="DO33" s="137" t="n">
        <v>0</v>
      </c>
      <c r="DP33" s="137" t="n">
        <v>0</v>
      </c>
      <c r="DQ33" s="137" t="n">
        <v>0</v>
      </c>
      <c r="DR33" s="137" t="n">
        <v>0</v>
      </c>
      <c r="DS33" s="137" t="n">
        <v>0</v>
      </c>
      <c r="DT33" s="137" t="n">
        <v>0</v>
      </c>
      <c r="DU33" s="138" t="n">
        <v>0</v>
      </c>
    </row>
    <row r="34" customFormat="false" ht="12.75" hidden="false" customHeight="false" outlineLevel="0" collapsed="false">
      <c r="A34" s="0" t="n">
        <f aca="true">IF(ISERROR(MATCH(D34,iRefDt,0)),"",MATCH(D34,iRefDt,0))</f>
        <v>25</v>
      </c>
      <c r="B34" s="92" t="n">
        <f aca="false">MATCH(YEAR(D34),iSpreads)</f>
        <v>1</v>
      </c>
      <c r="C34" s="0" t="n">
        <f aca="false">MONTH(D34)</f>
        <v>2</v>
      </c>
      <c r="D34" s="93" t="n">
        <f aca="false">+EnergyCurve!D34</f>
        <v>36950</v>
      </c>
      <c r="E34" s="94" t="n">
        <f aca="false">VLOOKUP($D34,tblPriorPrice,2)</f>
        <v>219.225006103516</v>
      </c>
      <c r="F34" s="95"/>
      <c r="G34" s="264" t="n">
        <f aca="false">IF(EnergyCurve!G34&lt;200,0.001*EnergyCurve!G34+1,1.2)*EnergyCurve!G34</f>
        <v>205.625</v>
      </c>
      <c r="H34" s="96" t="n">
        <f aca="false">IF(EnergyCurve!H34&lt;200,0.001*EnergyCurve!H34+1,1.2)*EnergyCurve!H34</f>
        <v>198.9</v>
      </c>
      <c r="I34" s="96" t="n">
        <f aca="false">IF(EnergyCurve!I34&lt;200,0.001*EnergyCurve!I34+1,1.2)*EnergyCurve!I34</f>
        <v>240</v>
      </c>
      <c r="J34" s="94" t="n">
        <f aca="false">VLOOKUP($D34,tblPriorPrice,3)</f>
        <v>0</v>
      </c>
      <c r="K34" s="95"/>
      <c r="L34" s="264" t="n">
        <v>0</v>
      </c>
      <c r="M34" s="96" t="n">
        <f aca="false">L34</f>
        <v>0</v>
      </c>
      <c r="N34" s="96" t="n">
        <f aca="false">L34</f>
        <v>0</v>
      </c>
      <c r="O34" s="174" t="n">
        <f aca="false" t="array" ref="O34:O34">SUM(IF(MONTH($D34)&amp;YEAR($D34)=MONTH($BS3:$BS40)&amp;YEAR($BS3:$BS40),BT3:BT40))-SUM(IF(MONTH($D34)=MONTH($D3:$D33),O3:O33))</f>
        <v>0</v>
      </c>
      <c r="P34" s="175" t="n">
        <f aca="false" t="array" ref="P34:P34">SUM(IF(MONTH($D34)&amp;YEAR($D34)=MONTH($BS3:$BS40)&amp;YEAR($BS3:$BS40),BU3:BU40))-SUM(IF(MONTH($D34)=MONTH($D3:$D33),P3:P33))</f>
        <v>0</v>
      </c>
      <c r="Q34" s="175" t="n">
        <f aca="false" t="array" ref="Q34:Q34">SUM(IF(MONTH($D34)&amp;YEAR($D34)=MONTH($BS3:$BS40)&amp;YEAR($BS3:$BS40),BV3:BV40))-SUM(IF(MONTH($D34)=MONTH($D3:$D33),Q3:Q33))</f>
        <v>0</v>
      </c>
      <c r="R34" s="175" t="n">
        <f aca="false" t="array" ref="R34:R34">SUM(IF(MONTH($D34)&amp;YEAR($D34)=MONTH($BS3:$BS40)&amp;YEAR($BS3:$BS40),BW3:BW40))-SUM(IF(MONTH($D34)=MONTH($D3:$D33),R3:R33))</f>
        <v>0</v>
      </c>
      <c r="S34" s="175" t="n">
        <f aca="false" t="array" ref="S34:S34">SUM(IF(MONTH($D34)&amp;YEAR($D34)=MONTH($BS3:$BS40)&amp;YEAR($BS3:$BS40),BX3:BX40))-SUM(IF(MONTH($D34)=MONTH($D3:$D33),S3:S33))</f>
        <v>0</v>
      </c>
      <c r="T34" s="98" t="n">
        <f aca="false">O34*F34+P34*K34+R34*AC34+S34*AH34+Q34*X34</f>
        <v>0</v>
      </c>
      <c r="V34" s="161" t="n">
        <f aca="false">DATE(YEAR(D34),MONTH(D34),1)</f>
        <v>36923</v>
      </c>
      <c r="W34" s="94" t="n">
        <f aca="false">VLOOKUP($D34,tblPriorPrice,4)</f>
        <v>0</v>
      </c>
      <c r="X34" s="162"/>
      <c r="Y34" s="176" t="n">
        <f aca="false">W34+X34</f>
        <v>0</v>
      </c>
      <c r="Z34" s="177" t="n">
        <f aca="false">Y34</f>
        <v>0</v>
      </c>
      <c r="AA34" s="177" t="n">
        <f aca="false">Y34</f>
        <v>0</v>
      </c>
      <c r="AB34" s="94" t="n">
        <f aca="false">VLOOKUP($D34,tblPriorPrice,5)</f>
        <v>0</v>
      </c>
      <c r="AC34" s="162"/>
      <c r="AD34" s="176" t="n">
        <f aca="false">AB34+AC34</f>
        <v>0</v>
      </c>
      <c r="AE34" s="96" t="n">
        <f aca="false">AD34</f>
        <v>0</v>
      </c>
      <c r="AF34" s="97" t="n">
        <f aca="false">AD34</f>
        <v>0</v>
      </c>
      <c r="AG34" s="94" t="n">
        <f aca="false">VLOOKUP($D34,tblPriorPrice,6)</f>
        <v>0</v>
      </c>
      <c r="AH34" s="162"/>
      <c r="AI34" s="163" t="n">
        <f aca="false">AG34+AH34</f>
        <v>0</v>
      </c>
      <c r="AJ34" s="96" t="n">
        <f aca="false">AI34</f>
        <v>0</v>
      </c>
      <c r="AK34" s="97" t="n">
        <f aca="false">AI34</f>
        <v>0</v>
      </c>
      <c r="AL34" s="164" t="n">
        <v>1</v>
      </c>
      <c r="AM34" s="165" t="n">
        <v>0</v>
      </c>
      <c r="AN34" s="166" t="n">
        <f aca="false">EnergyCurve!AN34*2</f>
        <v>1.6</v>
      </c>
      <c r="AO34" s="166" t="n">
        <f aca="false">EnergyCurve!AO34</f>
        <v>0.72</v>
      </c>
      <c r="AP34" s="166" t="n">
        <f aca="false">AN34*1.25</f>
        <v>2</v>
      </c>
      <c r="AQ34" s="166" t="n">
        <f aca="false">EnergyCurve!AQ34*2</f>
        <v>1.6</v>
      </c>
      <c r="AR34" s="166" t="n">
        <f aca="false">EnergyCurve!AR34</f>
        <v>0.64</v>
      </c>
      <c r="AS34" s="166" t="n">
        <f aca="false">EnergyCurve!AS34*1.25</f>
        <v>1.2</v>
      </c>
      <c r="AT34" s="168" t="n">
        <f aca="false">EnergyCurve!AT34*2*2</f>
        <v>28.35</v>
      </c>
      <c r="AU34" s="169" t="n">
        <f aca="false">EnergyCurve!AU34</f>
        <v>-1.771875</v>
      </c>
      <c r="AV34" s="169" t="n">
        <f aca="false">AT34*1.25</f>
        <v>35.4375</v>
      </c>
      <c r="AW34" s="168" t="n">
        <f aca="false">EnergyCurve!AW34*2*2</f>
        <v>5.406</v>
      </c>
      <c r="AX34" s="169" t="n">
        <f aca="false">EnergyCurve!AX34</f>
        <v>-0.337875</v>
      </c>
      <c r="AY34" s="169" t="n">
        <f aca="false">AW34*1.25</f>
        <v>6.7575</v>
      </c>
      <c r="AZ34" s="167" t="n">
        <v>0</v>
      </c>
      <c r="BA34" s="74"/>
      <c r="BB34" s="161" t="n">
        <f aca="false">EOMONTH(TopCurrDate,-1)+1</f>
        <v>36892</v>
      </c>
      <c r="BC34" s="179"/>
      <c r="BD34" s="179"/>
      <c r="BE34" s="179"/>
      <c r="BF34" s="179"/>
      <c r="BG34" s="179"/>
      <c r="BH34" s="180"/>
      <c r="BI34" s="179"/>
      <c r="BJ34" s="179"/>
      <c r="BK34" s="179"/>
      <c r="BL34" s="179"/>
      <c r="BM34" s="179"/>
      <c r="BN34" s="180"/>
      <c r="BQ34" s="108" t="n">
        <v>36907.7428240741</v>
      </c>
      <c r="BR34" s="109" t="n">
        <v>36907.7432986111</v>
      </c>
      <c r="BS34" s="110" t="n">
        <v>37135</v>
      </c>
      <c r="BT34" s="111" t="n">
        <v>0</v>
      </c>
      <c r="BU34" s="112" t="n">
        <v>0</v>
      </c>
      <c r="BV34" s="112" t="n">
        <v>0</v>
      </c>
      <c r="BW34" s="112" t="n">
        <v>0</v>
      </c>
      <c r="BX34" s="113" t="n">
        <v>0</v>
      </c>
      <c r="BZ34" s="110" t="n">
        <v>36950</v>
      </c>
      <c r="CA34" s="116" t="n">
        <v>219.225006103516</v>
      </c>
      <c r="CB34" s="116" t="n">
        <v>0</v>
      </c>
      <c r="CC34" s="181" t="n">
        <v>0</v>
      </c>
      <c r="CD34" s="181" t="n">
        <v>0</v>
      </c>
      <c r="CE34" s="117" t="n">
        <v>0</v>
      </c>
      <c r="CG34" s="135" t="n">
        <f aca="false">BB16</f>
        <v>2007</v>
      </c>
      <c r="CH34" s="136" t="n">
        <v>0</v>
      </c>
      <c r="CI34" s="137" t="n">
        <v>0</v>
      </c>
      <c r="CJ34" s="137" t="n">
        <v>0</v>
      </c>
      <c r="CK34" s="137" t="n">
        <v>0</v>
      </c>
      <c r="CL34" s="137" t="n">
        <v>0</v>
      </c>
      <c r="CM34" s="137" t="n">
        <v>0</v>
      </c>
      <c r="CN34" s="137" t="n">
        <v>0</v>
      </c>
      <c r="CO34" s="137" t="n">
        <v>0</v>
      </c>
      <c r="CP34" s="137" t="n">
        <v>0</v>
      </c>
      <c r="CQ34" s="137" t="n">
        <v>0</v>
      </c>
      <c r="CR34" s="137" t="n">
        <v>0</v>
      </c>
      <c r="CS34" s="138" t="n">
        <v>0</v>
      </c>
      <c r="CU34" s="135" t="n">
        <f aca="false">BB16</f>
        <v>2007</v>
      </c>
      <c r="CV34" s="136" t="n">
        <v>0</v>
      </c>
      <c r="CW34" s="137" t="n">
        <v>0</v>
      </c>
      <c r="CX34" s="137" t="n">
        <v>0</v>
      </c>
      <c r="CY34" s="137" t="n">
        <v>0</v>
      </c>
      <c r="CZ34" s="137" t="n">
        <v>0</v>
      </c>
      <c r="DA34" s="137" t="n">
        <v>0</v>
      </c>
      <c r="DB34" s="137" t="n">
        <v>0</v>
      </c>
      <c r="DC34" s="137" t="n">
        <v>0</v>
      </c>
      <c r="DD34" s="137" t="n">
        <v>0</v>
      </c>
      <c r="DE34" s="137" t="n">
        <v>0</v>
      </c>
      <c r="DF34" s="137" t="n">
        <v>0</v>
      </c>
      <c r="DG34" s="138" t="n">
        <v>0</v>
      </c>
      <c r="DI34" s="135" t="n">
        <f aca="false">BB16</f>
        <v>2007</v>
      </c>
      <c r="DJ34" s="136" t="n">
        <v>0</v>
      </c>
      <c r="DK34" s="137" t="n">
        <v>0</v>
      </c>
      <c r="DL34" s="137" t="n">
        <v>0</v>
      </c>
      <c r="DM34" s="137" t="n">
        <v>0</v>
      </c>
      <c r="DN34" s="137" t="n">
        <v>0</v>
      </c>
      <c r="DO34" s="137" t="n">
        <v>0</v>
      </c>
      <c r="DP34" s="137" t="n">
        <v>0</v>
      </c>
      <c r="DQ34" s="137" t="n">
        <v>0</v>
      </c>
      <c r="DR34" s="137" t="n">
        <v>0</v>
      </c>
      <c r="DS34" s="137" t="n">
        <v>0</v>
      </c>
      <c r="DT34" s="137" t="n">
        <v>0</v>
      </c>
      <c r="DU34" s="138" t="n">
        <v>0</v>
      </c>
    </row>
    <row r="35" customFormat="false" ht="12.75" hidden="false" customHeight="false" outlineLevel="0" collapsed="false">
      <c r="A35" s="0" t="n">
        <f aca="true">IF(ISERROR(MATCH(D35,iRefDt,0)),"",MATCH(D35,iRefDt,0))</f>
        <v>26</v>
      </c>
      <c r="B35" s="92" t="n">
        <f aca="false">MATCH(YEAR(D35),iSpreads)</f>
        <v>1</v>
      </c>
      <c r="C35" s="0" t="n">
        <f aca="false">MONTH(D35)</f>
        <v>3</v>
      </c>
      <c r="D35" s="93" t="n">
        <f aca="false">+EnergyCurve!D35</f>
        <v>36951</v>
      </c>
      <c r="E35" s="94" t="n">
        <f aca="false">VLOOKUP($D35,tblPriorPrice,2)</f>
        <v>213.761001586914</v>
      </c>
      <c r="F35" s="95"/>
      <c r="G35" s="264" t="n">
        <f aca="false">IF(EnergyCurve!G35&lt;200,0.001*EnergyCurve!G35+1,1.2)*EnergyCurve!G35</f>
        <v>200.241</v>
      </c>
      <c r="H35" s="96" t="n">
        <f aca="false">IF(EnergyCurve!H35&lt;200,0.001*EnergyCurve!H35+1,1.2)*EnergyCurve!H35</f>
        <v>193.556</v>
      </c>
      <c r="I35" s="96" t="n">
        <f aca="false">IF(EnergyCurve!I35&lt;200,0.001*EnergyCurve!I35+1,1.2)*EnergyCurve!I35</f>
        <v>234.416</v>
      </c>
      <c r="J35" s="94" t="n">
        <f aca="false">VLOOKUP($D35,tblPriorPrice,3)</f>
        <v>0</v>
      </c>
      <c r="K35" s="95"/>
      <c r="L35" s="264" t="n">
        <v>0</v>
      </c>
      <c r="M35" s="96" t="n">
        <f aca="false">L35</f>
        <v>0</v>
      </c>
      <c r="N35" s="96" t="n">
        <f aca="false">L35</f>
        <v>0</v>
      </c>
      <c r="O35" s="58" t="n">
        <f aca="true">IF($A35="",0,INDEX(tblPosn,$A35,2))</f>
        <v>0</v>
      </c>
      <c r="P35" s="59" t="n">
        <f aca="true">IF($A35="",0,INDEX(tblPosn,$A35,3))</f>
        <v>0</v>
      </c>
      <c r="Q35" s="59" t="n">
        <f aca="true">IF($A35="",0,INDEX(tblPosn,$A35,4))</f>
        <v>0</v>
      </c>
      <c r="R35" s="59" t="n">
        <f aca="true">IF($A35="",0,INDEX(tblPosn,$A35,5))</f>
        <v>0</v>
      </c>
      <c r="S35" s="59" t="n">
        <f aca="true">IF($A35="",0,INDEX(tblPosn,$A35,6))</f>
        <v>0</v>
      </c>
      <c r="T35" s="98" t="n">
        <f aca="false">O35*F35+P35*K35+R35*AC35+S35*AH35/0.72+Q35*X35</f>
        <v>0</v>
      </c>
      <c r="V35" s="161" t="n">
        <f aca="false">D35</f>
        <v>36951</v>
      </c>
      <c r="W35" s="94" t="n">
        <f aca="false">VLOOKUP($D35,tblPriorPrice,4)</f>
        <v>0</v>
      </c>
      <c r="X35" s="162"/>
      <c r="Y35" s="176" t="n">
        <f aca="false">W35+X35</f>
        <v>0</v>
      </c>
      <c r="Z35" s="177" t="n">
        <f aca="false">Y35</f>
        <v>0</v>
      </c>
      <c r="AA35" s="177" t="n">
        <f aca="false">Y35</f>
        <v>0</v>
      </c>
      <c r="AB35" s="94" t="n">
        <f aca="false">VLOOKUP($D35,tblPriorPrice,5)</f>
        <v>0</v>
      </c>
      <c r="AC35" s="162"/>
      <c r="AD35" s="176" t="n">
        <f aca="false">AB35+AC35</f>
        <v>0</v>
      </c>
      <c r="AE35" s="96" t="n">
        <f aca="false">AD35</f>
        <v>0</v>
      </c>
      <c r="AF35" s="97" t="n">
        <f aca="false">AD35</f>
        <v>0</v>
      </c>
      <c r="AG35" s="94" t="n">
        <f aca="false">VLOOKUP($D35,tblPriorPrice,6)</f>
        <v>0</v>
      </c>
      <c r="AH35" s="182"/>
      <c r="AI35" s="163" t="n">
        <f aca="false">AG35+AH35</f>
        <v>0</v>
      </c>
      <c r="AJ35" s="96" t="n">
        <f aca="false">AI35</f>
        <v>0</v>
      </c>
      <c r="AK35" s="97" t="n">
        <f aca="false">AI35</f>
        <v>0</v>
      </c>
      <c r="AL35" s="178" t="n">
        <v>1</v>
      </c>
      <c r="AM35" s="165" t="n">
        <v>0</v>
      </c>
      <c r="AN35" s="166" t="n">
        <f aca="false">EnergyCurve!AN35*2</f>
        <v>1.68</v>
      </c>
      <c r="AO35" s="166" t="n">
        <f aca="false">EnergyCurve!AO35</f>
        <v>0.756</v>
      </c>
      <c r="AP35" s="166" t="n">
        <f aca="false">AN35*1.25</f>
        <v>2.1</v>
      </c>
      <c r="AQ35" s="166" t="n">
        <f aca="false">EnergyCurve!AQ35*2</f>
        <v>1.68</v>
      </c>
      <c r="AR35" s="166" t="n">
        <f aca="false">EnergyCurve!AR35</f>
        <v>0.672</v>
      </c>
      <c r="AS35" s="166" t="n">
        <f aca="false">EnergyCurve!AS35*1.25</f>
        <v>1.26</v>
      </c>
      <c r="AT35" s="168" t="n">
        <f aca="false">EnergyCurve!AT35*2*2</f>
        <v>28.678</v>
      </c>
      <c r="AU35" s="169" t="n">
        <f aca="false">EnergyCurve!AU35</f>
        <v>-1.792375</v>
      </c>
      <c r="AV35" s="169" t="n">
        <f aca="false">AT35*1.25</f>
        <v>35.8475</v>
      </c>
      <c r="AW35" s="168" t="n">
        <f aca="false">EnergyCurve!AW35*2*2</f>
        <v>5.877</v>
      </c>
      <c r="AX35" s="169" t="n">
        <f aca="false">EnergyCurve!AX35</f>
        <v>-0.3673125</v>
      </c>
      <c r="AY35" s="169" t="n">
        <f aca="false">AW35*1.25</f>
        <v>7.34625</v>
      </c>
      <c r="AZ35" s="167" t="n">
        <v>0</v>
      </c>
      <c r="BA35" s="74"/>
      <c r="BB35" s="161" t="n">
        <f aca="false">EOMONTH(BB34,0)+1</f>
        <v>36923</v>
      </c>
      <c r="BC35" s="183"/>
      <c r="BD35" s="183"/>
      <c r="BE35" s="183"/>
      <c r="BF35" s="183"/>
      <c r="BG35" s="183"/>
      <c r="BH35" s="184"/>
      <c r="BI35" s="183"/>
      <c r="BJ35" s="183"/>
      <c r="BK35" s="183"/>
      <c r="BL35" s="183"/>
      <c r="BM35" s="183"/>
      <c r="BN35" s="184"/>
      <c r="BQ35" s="108" t="n">
        <v>36907.7428240741</v>
      </c>
      <c r="BR35" s="109" t="n">
        <v>36907.7432986111</v>
      </c>
      <c r="BS35" s="110" t="n">
        <v>37165</v>
      </c>
      <c r="BT35" s="111" t="n">
        <v>0</v>
      </c>
      <c r="BU35" s="112" t="n">
        <v>0</v>
      </c>
      <c r="BV35" s="112" t="n">
        <v>0</v>
      </c>
      <c r="BW35" s="112" t="n">
        <v>0</v>
      </c>
      <c r="BX35" s="113" t="n">
        <v>0</v>
      </c>
      <c r="BZ35" s="110" t="n">
        <v>36951</v>
      </c>
      <c r="CA35" s="116" t="n">
        <v>213.761001586914</v>
      </c>
      <c r="CB35" s="116" t="n">
        <v>0</v>
      </c>
      <c r="CC35" s="116" t="n">
        <v>0</v>
      </c>
      <c r="CD35" s="116" t="n">
        <v>0</v>
      </c>
      <c r="CE35" s="117" t="n">
        <v>0</v>
      </c>
      <c r="CG35" s="135" t="n">
        <f aca="false">BB17</f>
        <v>2008</v>
      </c>
      <c r="CH35" s="136" t="n">
        <v>0</v>
      </c>
      <c r="CI35" s="137" t="n">
        <v>0</v>
      </c>
      <c r="CJ35" s="137" t="n">
        <v>0</v>
      </c>
      <c r="CK35" s="137" t="n">
        <v>0</v>
      </c>
      <c r="CL35" s="137" t="n">
        <v>0</v>
      </c>
      <c r="CM35" s="137" t="n">
        <v>0</v>
      </c>
      <c r="CN35" s="137" t="n">
        <v>0</v>
      </c>
      <c r="CO35" s="137" t="n">
        <v>0</v>
      </c>
      <c r="CP35" s="137" t="n">
        <v>0</v>
      </c>
      <c r="CQ35" s="137" t="n">
        <v>0</v>
      </c>
      <c r="CR35" s="137" t="n">
        <v>0</v>
      </c>
      <c r="CS35" s="138" t="n">
        <v>0</v>
      </c>
      <c r="CU35" s="135" t="n">
        <f aca="false">BB17</f>
        <v>2008</v>
      </c>
      <c r="CV35" s="136" t="n">
        <v>0</v>
      </c>
      <c r="CW35" s="137" t="n">
        <v>0</v>
      </c>
      <c r="CX35" s="137" t="n">
        <v>0</v>
      </c>
      <c r="CY35" s="137" t="n">
        <v>0</v>
      </c>
      <c r="CZ35" s="137" t="n">
        <v>0</v>
      </c>
      <c r="DA35" s="137" t="n">
        <v>0</v>
      </c>
      <c r="DB35" s="137" t="n">
        <v>0</v>
      </c>
      <c r="DC35" s="137" t="n">
        <v>0</v>
      </c>
      <c r="DD35" s="137" t="n">
        <v>0</v>
      </c>
      <c r="DE35" s="137" t="n">
        <v>0</v>
      </c>
      <c r="DF35" s="137" t="n">
        <v>0</v>
      </c>
      <c r="DG35" s="138" t="n">
        <v>0</v>
      </c>
      <c r="DI35" s="135" t="n">
        <f aca="false">BB17</f>
        <v>2008</v>
      </c>
      <c r="DJ35" s="136" t="n">
        <v>0</v>
      </c>
      <c r="DK35" s="137" t="n">
        <v>0</v>
      </c>
      <c r="DL35" s="137" t="n">
        <v>0</v>
      </c>
      <c r="DM35" s="137" t="n">
        <v>0</v>
      </c>
      <c r="DN35" s="137" t="n">
        <v>0</v>
      </c>
      <c r="DO35" s="137" t="n">
        <v>0</v>
      </c>
      <c r="DP35" s="137" t="n">
        <v>0</v>
      </c>
      <c r="DQ35" s="137" t="n">
        <v>0</v>
      </c>
      <c r="DR35" s="137" t="n">
        <v>0</v>
      </c>
      <c r="DS35" s="137" t="n">
        <v>0</v>
      </c>
      <c r="DT35" s="137" t="n">
        <v>0</v>
      </c>
      <c r="DU35" s="138" t="n">
        <v>0</v>
      </c>
    </row>
    <row r="36" customFormat="false" ht="12.75" hidden="false" customHeight="false" outlineLevel="0" collapsed="false">
      <c r="A36" s="0" t="n">
        <f aca="true">IF(ISERROR(MATCH(D36,iRefDt,0)),"",MATCH(D36,iRefDt,0))</f>
        <v>27</v>
      </c>
      <c r="B36" s="92" t="n">
        <f aca="false">MATCH(YEAR(D36),iSpreads)</f>
        <v>1</v>
      </c>
      <c r="C36" s="0" t="n">
        <f aca="false">MONTH(D36)</f>
        <v>4</v>
      </c>
      <c r="D36" s="93" t="n">
        <f aca="false">+EnergyCurve!D36</f>
        <v>36982</v>
      </c>
      <c r="E36" s="94" t="n">
        <f aca="false">VLOOKUP($D36,tblPriorPrice,2)</f>
        <v>209.684005737305</v>
      </c>
      <c r="F36" s="95"/>
      <c r="G36" s="264" t="n">
        <f aca="false">IF(EnergyCurve!G36&lt;200,0.001*EnergyCurve!G36+1,1.2)*EnergyCurve!G36</f>
        <v>206.976</v>
      </c>
      <c r="H36" s="96" t="n">
        <f aca="false">IF(EnergyCurve!H36&lt;200,0.001*EnergyCurve!H36+1,1.2)*EnergyCurve!H36</f>
        <v>200.241</v>
      </c>
      <c r="I36" s="96" t="n">
        <f aca="false">IF(EnergyCurve!I36&lt;200,0.001*EnergyCurve!I36+1,1.2)*EnergyCurve!I36</f>
        <v>241.2</v>
      </c>
      <c r="J36" s="94" t="n">
        <f aca="false">VLOOKUP($D36,tblPriorPrice,3)</f>
        <v>0</v>
      </c>
      <c r="K36" s="95"/>
      <c r="L36" s="264" t="n">
        <v>0</v>
      </c>
      <c r="M36" s="96" t="n">
        <f aca="false">L36</f>
        <v>0</v>
      </c>
      <c r="N36" s="96" t="n">
        <f aca="false">L36</f>
        <v>0</v>
      </c>
      <c r="O36" s="58" t="n">
        <f aca="true">IF($A36="",0,INDEX(tblPosn,$A36,2))</f>
        <v>0</v>
      </c>
      <c r="P36" s="59" t="n">
        <f aca="true">IF($A36="",0,INDEX(tblPosn,$A36,3))</f>
        <v>0</v>
      </c>
      <c r="Q36" s="59" t="n">
        <f aca="true">IF($A36="",0,INDEX(tblPosn,$A36,4))</f>
        <v>0</v>
      </c>
      <c r="R36" s="59" t="n">
        <f aca="true">IF($A36="",0,INDEX(tblPosn,$A36,5))</f>
        <v>0</v>
      </c>
      <c r="S36" s="59" t="n">
        <f aca="true">IF($A36="",0,INDEX(tblPosn,$A36,6))</f>
        <v>0</v>
      </c>
      <c r="T36" s="98" t="n">
        <f aca="false">O36*F36+P36*K36+R36*AC36+S36*AH36/0.72+Q36*X36</f>
        <v>0</v>
      </c>
      <c r="V36" s="161" t="n">
        <f aca="false">D36</f>
        <v>36982</v>
      </c>
      <c r="W36" s="94" t="n">
        <f aca="false">VLOOKUP($D36,tblPriorPrice,4)</f>
        <v>0</v>
      </c>
      <c r="X36" s="162"/>
      <c r="Y36" s="176" t="n">
        <f aca="false">W36+X36</f>
        <v>0</v>
      </c>
      <c r="Z36" s="177" t="n">
        <f aca="false">Y36</f>
        <v>0</v>
      </c>
      <c r="AA36" s="177" t="n">
        <f aca="false">Y36</f>
        <v>0</v>
      </c>
      <c r="AB36" s="94" t="n">
        <f aca="false">VLOOKUP($D36,tblPriorPrice,5)</f>
        <v>0</v>
      </c>
      <c r="AC36" s="162"/>
      <c r="AD36" s="176" t="n">
        <f aca="false">AB36+AC36</f>
        <v>0</v>
      </c>
      <c r="AE36" s="96" t="n">
        <f aca="false">AD36</f>
        <v>0</v>
      </c>
      <c r="AF36" s="97" t="n">
        <f aca="false">AD36</f>
        <v>0</v>
      </c>
      <c r="AG36" s="94" t="n">
        <f aca="false">VLOOKUP($D36,tblPriorPrice,6)</f>
        <v>0</v>
      </c>
      <c r="AH36" s="182"/>
      <c r="AI36" s="163" t="n">
        <f aca="false">AG36+AH36</f>
        <v>0</v>
      </c>
      <c r="AJ36" s="96" t="n">
        <f aca="false">AI36</f>
        <v>0</v>
      </c>
      <c r="AK36" s="97" t="n">
        <f aca="false">AI36</f>
        <v>0</v>
      </c>
      <c r="AL36" s="178" t="n">
        <v>2</v>
      </c>
      <c r="AM36" s="165" t="n">
        <v>0</v>
      </c>
      <c r="AN36" s="166" t="n">
        <f aca="false">EnergyCurve!AN36*2</f>
        <v>1.22</v>
      </c>
      <c r="AO36" s="166" t="n">
        <f aca="false">EnergyCurve!AO36</f>
        <v>0.549</v>
      </c>
      <c r="AP36" s="166" t="n">
        <f aca="false">AN36*1.25</f>
        <v>1.525</v>
      </c>
      <c r="AQ36" s="166" t="n">
        <f aca="false">EnergyCurve!AQ36*2</f>
        <v>1.22</v>
      </c>
      <c r="AR36" s="166" t="n">
        <f aca="false">EnergyCurve!AR36</f>
        <v>0.488</v>
      </c>
      <c r="AS36" s="166" t="n">
        <f aca="false">EnergyCurve!AS36*1.25</f>
        <v>0.915</v>
      </c>
      <c r="AT36" s="168" t="n">
        <f aca="false">EnergyCurve!AT36*2*2</f>
        <v>28.268</v>
      </c>
      <c r="AU36" s="169" t="n">
        <f aca="false">EnergyCurve!AU36</f>
        <v>-1.76675</v>
      </c>
      <c r="AV36" s="169" t="n">
        <f aca="false">AT36*1.25</f>
        <v>35.335</v>
      </c>
      <c r="AW36" s="168" t="n">
        <f aca="false">EnergyCurve!AW36*2*2</f>
        <v>5.5944</v>
      </c>
      <c r="AX36" s="169" t="n">
        <f aca="false">EnergyCurve!AX36</f>
        <v>-0.34965</v>
      </c>
      <c r="AY36" s="169" t="n">
        <f aca="false">AW36*1.25</f>
        <v>6.993</v>
      </c>
      <c r="AZ36" s="167" t="n">
        <v>0</v>
      </c>
      <c r="BA36" s="74"/>
      <c r="BB36" s="161" t="n">
        <f aca="false">EOMONTH(BB35,0)+1</f>
        <v>36951</v>
      </c>
      <c r="BC36" s="183"/>
      <c r="BD36" s="183"/>
      <c r="BE36" s="183"/>
      <c r="BF36" s="183"/>
      <c r="BG36" s="183"/>
      <c r="BH36" s="184"/>
      <c r="BI36" s="183"/>
      <c r="BJ36" s="183"/>
      <c r="BK36" s="183"/>
      <c r="BL36" s="183"/>
      <c r="BM36" s="183"/>
      <c r="BN36" s="184"/>
      <c r="BQ36" s="108" t="n">
        <v>36907.7428240741</v>
      </c>
      <c r="BR36" s="109" t="n">
        <v>36907.7432986111</v>
      </c>
      <c r="BS36" s="110" t="n">
        <v>37196</v>
      </c>
      <c r="BT36" s="111" t="n">
        <v>0</v>
      </c>
      <c r="BU36" s="112" t="n">
        <v>0</v>
      </c>
      <c r="BV36" s="112" t="n">
        <v>0</v>
      </c>
      <c r="BW36" s="112" t="n">
        <v>0</v>
      </c>
      <c r="BX36" s="113" t="n">
        <v>0</v>
      </c>
      <c r="BZ36" s="110" t="n">
        <v>36982</v>
      </c>
      <c r="CA36" s="116" t="n">
        <v>209.684005737305</v>
      </c>
      <c r="CB36" s="116" t="n">
        <v>0</v>
      </c>
      <c r="CC36" s="116" t="n">
        <v>0</v>
      </c>
      <c r="CD36" s="116" t="n">
        <v>0</v>
      </c>
      <c r="CE36" s="117" t="n">
        <v>0</v>
      </c>
      <c r="CG36" s="135" t="n">
        <f aca="false">BB18</f>
        <v>2009</v>
      </c>
      <c r="CH36" s="136" t="n">
        <v>0</v>
      </c>
      <c r="CI36" s="137" t="n">
        <v>0</v>
      </c>
      <c r="CJ36" s="137" t="n">
        <v>0</v>
      </c>
      <c r="CK36" s="137" t="n">
        <v>0</v>
      </c>
      <c r="CL36" s="137" t="n">
        <v>0</v>
      </c>
      <c r="CM36" s="137" t="n">
        <v>0</v>
      </c>
      <c r="CN36" s="137" t="n">
        <v>0</v>
      </c>
      <c r="CO36" s="137" t="n">
        <v>0</v>
      </c>
      <c r="CP36" s="137" t="n">
        <v>0</v>
      </c>
      <c r="CQ36" s="137" t="n">
        <v>0</v>
      </c>
      <c r="CR36" s="137" t="n">
        <v>0</v>
      </c>
      <c r="CS36" s="138" t="n">
        <v>0</v>
      </c>
      <c r="CU36" s="135" t="n">
        <f aca="false">BB18</f>
        <v>2009</v>
      </c>
      <c r="CV36" s="136" t="n">
        <v>0</v>
      </c>
      <c r="CW36" s="137" t="n">
        <v>0</v>
      </c>
      <c r="CX36" s="137" t="n">
        <v>0</v>
      </c>
      <c r="CY36" s="137" t="n">
        <v>0</v>
      </c>
      <c r="CZ36" s="137" t="n">
        <v>0</v>
      </c>
      <c r="DA36" s="137" t="n">
        <v>0</v>
      </c>
      <c r="DB36" s="137" t="n">
        <v>0</v>
      </c>
      <c r="DC36" s="137" t="n">
        <v>0</v>
      </c>
      <c r="DD36" s="137" t="n">
        <v>0</v>
      </c>
      <c r="DE36" s="137" t="n">
        <v>0</v>
      </c>
      <c r="DF36" s="137" t="n">
        <v>0</v>
      </c>
      <c r="DG36" s="138" t="n">
        <v>0</v>
      </c>
      <c r="DI36" s="135" t="n">
        <f aca="false">BB18</f>
        <v>2009</v>
      </c>
      <c r="DJ36" s="136" t="n">
        <v>0</v>
      </c>
      <c r="DK36" s="137" t="n">
        <v>0</v>
      </c>
      <c r="DL36" s="137" t="n">
        <v>0</v>
      </c>
      <c r="DM36" s="137" t="n">
        <v>0</v>
      </c>
      <c r="DN36" s="137" t="n">
        <v>0</v>
      </c>
      <c r="DO36" s="137" t="n">
        <v>0</v>
      </c>
      <c r="DP36" s="137" t="n">
        <v>0</v>
      </c>
      <c r="DQ36" s="137" t="n">
        <v>0</v>
      </c>
      <c r="DR36" s="137" t="n">
        <v>0</v>
      </c>
      <c r="DS36" s="137" t="n">
        <v>0</v>
      </c>
      <c r="DT36" s="137" t="n">
        <v>0</v>
      </c>
      <c r="DU36" s="138" t="n">
        <v>0</v>
      </c>
    </row>
    <row r="37" customFormat="false" ht="12.75" hidden="false" customHeight="false" outlineLevel="0" collapsed="false">
      <c r="A37" s="0" t="n">
        <f aca="true">IF(ISERROR(MATCH(D37,iRefDt,0)),"",MATCH(D37,iRefDt,0))</f>
        <v>28</v>
      </c>
      <c r="B37" s="92" t="n">
        <f aca="false">MATCH(YEAR(D37),iSpreads)</f>
        <v>1</v>
      </c>
      <c r="C37" s="0" t="n">
        <f aca="false">MONTH(D37)</f>
        <v>5</v>
      </c>
      <c r="D37" s="93" t="n">
        <f aca="false">+EnergyCurve!D37</f>
        <v>37012</v>
      </c>
      <c r="E37" s="94" t="n">
        <f aca="false">VLOOKUP($D37,tblPriorPrice,2)</f>
        <v>184.281005859375</v>
      </c>
      <c r="F37" s="95"/>
      <c r="G37" s="264" t="n">
        <f aca="false">IF(EnergyCurve!G37&lt;200,0.001*EnergyCurve!G37+1,1.2)*EnergyCurve!G37</f>
        <v>181.649</v>
      </c>
      <c r="H37" s="96" t="n">
        <f aca="false">IF(EnergyCurve!H37&lt;200,0.001*EnergyCurve!H37+1,1.2)*EnergyCurve!H37</f>
        <v>175.104</v>
      </c>
      <c r="I37" s="96" t="n">
        <f aca="false">IF(EnergyCurve!I37&lt;200,0.001*EnergyCurve!I37+1,1.2)*EnergyCurve!I37</f>
        <v>215.124</v>
      </c>
      <c r="J37" s="94" t="n">
        <f aca="false">VLOOKUP($D37,tblPriorPrice,3)</f>
        <v>0</v>
      </c>
      <c r="K37" s="95"/>
      <c r="L37" s="264" t="n">
        <v>0</v>
      </c>
      <c r="M37" s="96" t="n">
        <f aca="false">L37</f>
        <v>0</v>
      </c>
      <c r="N37" s="96" t="n">
        <f aca="false">L37</f>
        <v>0</v>
      </c>
      <c r="O37" s="58" t="n">
        <f aca="true">IF($A37="",0,INDEX(tblPosn,$A37,2))</f>
        <v>0</v>
      </c>
      <c r="P37" s="59" t="n">
        <f aca="true">IF($A37="",0,INDEX(tblPosn,$A37,3))</f>
        <v>0</v>
      </c>
      <c r="Q37" s="59" t="n">
        <f aca="true">IF($A37="",0,INDEX(tblPosn,$A37,4))</f>
        <v>0</v>
      </c>
      <c r="R37" s="59" t="n">
        <f aca="true">IF($A37="",0,INDEX(tblPosn,$A37,5))</f>
        <v>0</v>
      </c>
      <c r="S37" s="59" t="n">
        <f aca="true">IF($A37="",0,INDEX(tblPosn,$A37,6))</f>
        <v>0</v>
      </c>
      <c r="T37" s="98" t="n">
        <f aca="false">O37*F37+P37*K37+R37*AC37+S37*AH37/0.72+Q37*X37</f>
        <v>0</v>
      </c>
      <c r="U37" s="265"/>
      <c r="V37" s="161" t="n">
        <f aca="false">D37</f>
        <v>37012</v>
      </c>
      <c r="W37" s="94" t="n">
        <f aca="false">VLOOKUP($D37,tblPriorPrice,4)</f>
        <v>0</v>
      </c>
      <c r="X37" s="162"/>
      <c r="Y37" s="176" t="n">
        <f aca="false">L37</f>
        <v>0</v>
      </c>
      <c r="Z37" s="177" t="n">
        <f aca="false">Y37</f>
        <v>0</v>
      </c>
      <c r="AA37" s="177" t="n">
        <f aca="false">Y37</f>
        <v>0</v>
      </c>
      <c r="AB37" s="94" t="n">
        <f aca="false">VLOOKUP($D37,tblPriorPrice,5)</f>
        <v>0</v>
      </c>
      <c r="AC37" s="162"/>
      <c r="AD37" s="176" t="n">
        <f aca="false">L37</f>
        <v>0</v>
      </c>
      <c r="AE37" s="96" t="n">
        <f aca="false">AD37</f>
        <v>0</v>
      </c>
      <c r="AF37" s="97" t="n">
        <f aca="false">AD37</f>
        <v>0</v>
      </c>
      <c r="AG37" s="94" t="n">
        <f aca="false">VLOOKUP($D37,tblPriorPrice,6)</f>
        <v>0</v>
      </c>
      <c r="AH37" s="182"/>
      <c r="AI37" s="163" t="n">
        <f aca="false">AG37+AH37</f>
        <v>0</v>
      </c>
      <c r="AJ37" s="96" t="n">
        <f aca="false">AI37</f>
        <v>0</v>
      </c>
      <c r="AK37" s="97" t="n">
        <f aca="false">AI37</f>
        <v>0</v>
      </c>
      <c r="AL37" s="178" t="n">
        <v>2</v>
      </c>
      <c r="AM37" s="165" t="n">
        <v>0</v>
      </c>
      <c r="AN37" s="166" t="n">
        <f aca="false">EnergyCurve!AN37*2</f>
        <v>0.97</v>
      </c>
      <c r="AO37" s="166" t="n">
        <f aca="false">EnergyCurve!AO37</f>
        <v>0.4365</v>
      </c>
      <c r="AP37" s="166" t="n">
        <f aca="false">AN37*1.25</f>
        <v>1.2125</v>
      </c>
      <c r="AQ37" s="166" t="n">
        <f aca="false">EnergyCurve!AQ37*2</f>
        <v>0.97</v>
      </c>
      <c r="AR37" s="166" t="n">
        <f aca="false">EnergyCurve!AR37</f>
        <v>0.388</v>
      </c>
      <c r="AS37" s="166" t="n">
        <f aca="false">EnergyCurve!AS37*1.25</f>
        <v>0.7275</v>
      </c>
      <c r="AT37" s="168" t="n">
        <f aca="false">EnergyCurve!AT37*2*2</f>
        <v>29.826</v>
      </c>
      <c r="AU37" s="169" t="n">
        <f aca="false">EnergyCurve!AU37</f>
        <v>-1.864125</v>
      </c>
      <c r="AV37" s="169" t="n">
        <f aca="false">AT37*1.25</f>
        <v>37.2825</v>
      </c>
      <c r="AW37" s="168" t="n">
        <f aca="false">EnergyCurve!AW37*2*2</f>
        <v>6.0654</v>
      </c>
      <c r="AX37" s="169" t="n">
        <f aca="false">EnergyCurve!AX37</f>
        <v>-0.3790875</v>
      </c>
      <c r="AY37" s="169" t="n">
        <f aca="false">AW37*1.25</f>
        <v>7.58175</v>
      </c>
      <c r="AZ37" s="167" t="n">
        <v>0</v>
      </c>
      <c r="BA37" s="74"/>
      <c r="BB37" s="161" t="n">
        <f aca="false">EOMONTH(BB36,0)+1</f>
        <v>36982</v>
      </c>
      <c r="BC37" s="183"/>
      <c r="BD37" s="183"/>
      <c r="BE37" s="183"/>
      <c r="BF37" s="183"/>
      <c r="BG37" s="183"/>
      <c r="BH37" s="184"/>
      <c r="BI37" s="183"/>
      <c r="BJ37" s="183"/>
      <c r="BK37" s="183"/>
      <c r="BL37" s="183"/>
      <c r="BM37" s="183"/>
      <c r="BN37" s="184"/>
      <c r="BQ37" s="108" t="n">
        <v>36907.7428240741</v>
      </c>
      <c r="BR37" s="109" t="n">
        <v>36907.7432986111</v>
      </c>
      <c r="BS37" s="110" t="n">
        <v>37226</v>
      </c>
      <c r="BT37" s="111" t="n">
        <v>0</v>
      </c>
      <c r="BU37" s="112" t="n">
        <v>0</v>
      </c>
      <c r="BV37" s="112" t="n">
        <v>0</v>
      </c>
      <c r="BW37" s="112" t="n">
        <v>0</v>
      </c>
      <c r="BX37" s="113" t="n">
        <v>0</v>
      </c>
      <c r="BZ37" s="110" t="n">
        <v>37012</v>
      </c>
      <c r="CA37" s="116" t="n">
        <v>184.281005859375</v>
      </c>
      <c r="CB37" s="116" t="n">
        <v>0</v>
      </c>
      <c r="CC37" s="116" t="n">
        <v>0</v>
      </c>
      <c r="CD37" s="116" t="n">
        <v>0</v>
      </c>
      <c r="CE37" s="117" t="n">
        <v>0</v>
      </c>
      <c r="CG37" s="135" t="n">
        <f aca="false">BB19</f>
        <v>2010</v>
      </c>
      <c r="CH37" s="136" t="n">
        <v>0</v>
      </c>
      <c r="CI37" s="137" t="n">
        <v>0</v>
      </c>
      <c r="CJ37" s="137" t="n">
        <v>0</v>
      </c>
      <c r="CK37" s="137" t="n">
        <v>0</v>
      </c>
      <c r="CL37" s="137" t="n">
        <v>0</v>
      </c>
      <c r="CM37" s="137" t="n">
        <v>0</v>
      </c>
      <c r="CN37" s="137" t="n">
        <v>0</v>
      </c>
      <c r="CO37" s="137" t="n">
        <v>0</v>
      </c>
      <c r="CP37" s="137" t="n">
        <v>0</v>
      </c>
      <c r="CQ37" s="137" t="n">
        <v>0</v>
      </c>
      <c r="CR37" s="137" t="n">
        <v>0</v>
      </c>
      <c r="CS37" s="138" t="n">
        <v>0</v>
      </c>
      <c r="CU37" s="135" t="n">
        <f aca="false">BB19</f>
        <v>2010</v>
      </c>
      <c r="CV37" s="136" t="n">
        <v>0</v>
      </c>
      <c r="CW37" s="137" t="n">
        <v>0</v>
      </c>
      <c r="CX37" s="137" t="n">
        <v>0</v>
      </c>
      <c r="CY37" s="137" t="n">
        <v>0</v>
      </c>
      <c r="CZ37" s="137" t="n">
        <v>0</v>
      </c>
      <c r="DA37" s="137" t="n">
        <v>0</v>
      </c>
      <c r="DB37" s="137" t="n">
        <v>0</v>
      </c>
      <c r="DC37" s="137" t="n">
        <v>0</v>
      </c>
      <c r="DD37" s="137" t="n">
        <v>0</v>
      </c>
      <c r="DE37" s="137" t="n">
        <v>0</v>
      </c>
      <c r="DF37" s="137" t="n">
        <v>0</v>
      </c>
      <c r="DG37" s="138" t="n">
        <v>0</v>
      </c>
      <c r="DI37" s="135" t="n">
        <f aca="false">BB19</f>
        <v>2010</v>
      </c>
      <c r="DJ37" s="136" t="n">
        <v>0</v>
      </c>
      <c r="DK37" s="137" t="n">
        <v>0</v>
      </c>
      <c r="DL37" s="137" t="n">
        <v>0</v>
      </c>
      <c r="DM37" s="137" t="n">
        <v>0</v>
      </c>
      <c r="DN37" s="137" t="n">
        <v>0</v>
      </c>
      <c r="DO37" s="137" t="n">
        <v>0</v>
      </c>
      <c r="DP37" s="137" t="n">
        <v>0</v>
      </c>
      <c r="DQ37" s="137" t="n">
        <v>0</v>
      </c>
      <c r="DR37" s="137" t="n">
        <v>0</v>
      </c>
      <c r="DS37" s="137" t="n">
        <v>0</v>
      </c>
      <c r="DT37" s="137" t="n">
        <v>0</v>
      </c>
      <c r="DU37" s="138" t="n">
        <v>0</v>
      </c>
    </row>
    <row r="38" customFormat="false" ht="12.75" hidden="false" customHeight="false" outlineLevel="0" collapsed="false">
      <c r="A38" s="0" t="n">
        <f aca="true">IF(ISERROR(MATCH(D38,iRefDt,0)),"",MATCH(D38,iRefDt,0))</f>
        <v>29</v>
      </c>
      <c r="B38" s="92" t="n">
        <f aca="false">MATCH(YEAR(D38),iSpreads)</f>
        <v>1</v>
      </c>
      <c r="C38" s="0" t="n">
        <f aca="false">MONTH(D38)</f>
        <v>6</v>
      </c>
      <c r="D38" s="93" t="n">
        <f aca="false">+EnergyCurve!D38</f>
        <v>37043</v>
      </c>
      <c r="E38" s="94" t="n">
        <f aca="false">VLOOKUP($D38,tblPriorPrice,2)</f>
        <v>209.684005737305</v>
      </c>
      <c r="F38" s="95"/>
      <c r="G38" s="264" t="n">
        <f aca="false">IF(EnergyCurve!G38&lt;200,0.001*EnergyCurve!G38+1,1.2)*EnergyCurve!G38</f>
        <v>206.976</v>
      </c>
      <c r="H38" s="96" t="n">
        <f aca="false">IF(EnergyCurve!H38&lt;200,0.001*EnergyCurve!H38+1,1.2)*EnergyCurve!H38</f>
        <v>200.241</v>
      </c>
      <c r="I38" s="96" t="n">
        <f aca="false">IF(EnergyCurve!I38&lt;200,0.001*EnergyCurve!I38+1,1.2)*EnergyCurve!I38</f>
        <v>241.2</v>
      </c>
      <c r="J38" s="94" t="n">
        <f aca="false">VLOOKUP($D38,tblPriorPrice,3)</f>
        <v>0</v>
      </c>
      <c r="K38" s="95"/>
      <c r="L38" s="264" t="n">
        <v>0</v>
      </c>
      <c r="M38" s="96" t="n">
        <f aca="false">L38</f>
        <v>0</v>
      </c>
      <c r="N38" s="96" t="n">
        <f aca="false">L38</f>
        <v>0</v>
      </c>
      <c r="O38" s="58" t="n">
        <f aca="true">IF($A38="",0,INDEX(tblPosn,$A38,2))</f>
        <v>0</v>
      </c>
      <c r="P38" s="59" t="n">
        <f aca="true">IF($A38="",0,INDEX(tblPosn,$A38,3))</f>
        <v>0</v>
      </c>
      <c r="Q38" s="59" t="n">
        <f aca="true">IF($A38="",0,INDEX(tblPosn,$A38,4))</f>
        <v>0</v>
      </c>
      <c r="R38" s="59" t="n">
        <f aca="true">IF($A38="",0,INDEX(tblPosn,$A38,5))</f>
        <v>0</v>
      </c>
      <c r="S38" s="59" t="n">
        <f aca="true">IF($A38="",0,INDEX(tblPosn,$A38,6))</f>
        <v>0</v>
      </c>
      <c r="T38" s="98" t="n">
        <f aca="false">O38*F38+P38*K38+R38*AC38+S38*AH38/0.72+Q38*X38</f>
        <v>0</v>
      </c>
      <c r="V38" s="161" t="n">
        <f aca="false">D38</f>
        <v>37043</v>
      </c>
      <c r="W38" s="94" t="n">
        <f aca="false">VLOOKUP($D38,tblPriorPrice,4)</f>
        <v>0</v>
      </c>
      <c r="X38" s="162"/>
      <c r="Y38" s="176" t="n">
        <f aca="false">L38</f>
        <v>0</v>
      </c>
      <c r="Z38" s="177" t="n">
        <f aca="false">Y38</f>
        <v>0</v>
      </c>
      <c r="AA38" s="177" t="n">
        <f aca="false">Y38</f>
        <v>0</v>
      </c>
      <c r="AB38" s="94" t="n">
        <f aca="false">VLOOKUP($D38,tblPriorPrice,5)</f>
        <v>0</v>
      </c>
      <c r="AC38" s="162"/>
      <c r="AD38" s="176" t="n">
        <f aca="false">L38</f>
        <v>0</v>
      </c>
      <c r="AE38" s="96" t="n">
        <f aca="false">AD38</f>
        <v>0</v>
      </c>
      <c r="AF38" s="97" t="n">
        <f aca="false">AD38</f>
        <v>0</v>
      </c>
      <c r="AG38" s="94" t="n">
        <f aca="false">VLOOKUP($D38,tblPriorPrice,6)</f>
        <v>0</v>
      </c>
      <c r="AH38" s="182"/>
      <c r="AI38" s="163" t="n">
        <f aca="false">AG38+AH38</f>
        <v>0</v>
      </c>
      <c r="AJ38" s="96" t="n">
        <f aca="false">AI38</f>
        <v>0</v>
      </c>
      <c r="AK38" s="97" t="n">
        <f aca="false">AI38</f>
        <v>0</v>
      </c>
      <c r="AL38" s="178" t="n">
        <v>2</v>
      </c>
      <c r="AM38" s="165" t="n">
        <v>0</v>
      </c>
      <c r="AN38" s="166" t="n">
        <f aca="false">EnergyCurve!AN38*2</f>
        <v>0.95</v>
      </c>
      <c r="AO38" s="166" t="n">
        <f aca="false">EnergyCurve!AO38</f>
        <v>0.4275</v>
      </c>
      <c r="AP38" s="166" t="n">
        <f aca="false">AN38*1.25</f>
        <v>1.1875</v>
      </c>
      <c r="AQ38" s="166" t="n">
        <f aca="false">EnergyCurve!AQ38*2</f>
        <v>0.95</v>
      </c>
      <c r="AR38" s="166" t="n">
        <f aca="false">EnergyCurve!AR38</f>
        <v>0.38</v>
      </c>
      <c r="AS38" s="166" t="n">
        <f aca="false">EnergyCurve!AS38*1.25</f>
        <v>0.7125</v>
      </c>
      <c r="AT38" s="168" t="n">
        <f aca="false">EnergyCurve!AT38*2*2</f>
        <v>28.268</v>
      </c>
      <c r="AU38" s="169" t="n">
        <f aca="false">EnergyCurve!AU38</f>
        <v>-1.76675</v>
      </c>
      <c r="AV38" s="169" t="n">
        <f aca="false">AT38*1.25</f>
        <v>35.335</v>
      </c>
      <c r="AW38" s="168" t="n">
        <f aca="false">EnergyCurve!AW38*2*2</f>
        <v>5.5002</v>
      </c>
      <c r="AX38" s="169" t="n">
        <f aca="false">EnergyCurve!AX38</f>
        <v>-0.3437625</v>
      </c>
      <c r="AY38" s="169" t="n">
        <f aca="false">AW38*1.25</f>
        <v>6.87525</v>
      </c>
      <c r="AZ38" s="167" t="n">
        <v>0</v>
      </c>
      <c r="BA38" s="74"/>
      <c r="BB38" s="161" t="n">
        <f aca="false">EOMONTH(BB37,0)+1</f>
        <v>37012</v>
      </c>
      <c r="BC38" s="183"/>
      <c r="BD38" s="183"/>
      <c r="BE38" s="183"/>
      <c r="BF38" s="183"/>
      <c r="BG38" s="183"/>
      <c r="BH38" s="184"/>
      <c r="BI38" s="183"/>
      <c r="BJ38" s="183"/>
      <c r="BK38" s="183"/>
      <c r="BL38" s="183"/>
      <c r="BM38" s="183"/>
      <c r="BN38" s="184"/>
      <c r="BQ38" s="108" t="n">
        <v>36907.7428240741</v>
      </c>
      <c r="BR38" s="109" t="n">
        <v>36907.7434490741</v>
      </c>
      <c r="BS38" s="110" t="n">
        <v>37257</v>
      </c>
      <c r="BT38" s="111" t="n">
        <v>0</v>
      </c>
      <c r="BU38" s="112" t="n">
        <v>0</v>
      </c>
      <c r="BV38" s="112" t="n">
        <v>0</v>
      </c>
      <c r="BW38" s="112" t="n">
        <v>0</v>
      </c>
      <c r="BX38" s="113" t="n">
        <v>0</v>
      </c>
      <c r="BZ38" s="110" t="n">
        <v>37043</v>
      </c>
      <c r="CA38" s="116" t="n">
        <v>209.684005737305</v>
      </c>
      <c r="CB38" s="116" t="n">
        <v>0</v>
      </c>
      <c r="CC38" s="116" t="n">
        <v>0</v>
      </c>
      <c r="CD38" s="116" t="n">
        <v>0</v>
      </c>
      <c r="CE38" s="117" t="n">
        <v>0</v>
      </c>
      <c r="CG38" s="135" t="n">
        <f aca="false">BB20</f>
        <v>2011</v>
      </c>
      <c r="CH38" s="136" t="n">
        <v>0</v>
      </c>
      <c r="CI38" s="137" t="n">
        <v>0</v>
      </c>
      <c r="CJ38" s="137" t="n">
        <v>0</v>
      </c>
      <c r="CK38" s="137" t="n">
        <v>0</v>
      </c>
      <c r="CL38" s="137" t="n">
        <v>0</v>
      </c>
      <c r="CM38" s="137" t="n">
        <v>0</v>
      </c>
      <c r="CN38" s="137" t="n">
        <v>0</v>
      </c>
      <c r="CO38" s="137" t="n">
        <v>0</v>
      </c>
      <c r="CP38" s="137" t="n">
        <v>0</v>
      </c>
      <c r="CQ38" s="137" t="n">
        <v>0</v>
      </c>
      <c r="CR38" s="137" t="n">
        <v>0</v>
      </c>
      <c r="CS38" s="138" t="n">
        <v>0</v>
      </c>
      <c r="CU38" s="135" t="n">
        <f aca="false">BB20</f>
        <v>2011</v>
      </c>
      <c r="CV38" s="136" t="n">
        <v>0</v>
      </c>
      <c r="CW38" s="137" t="n">
        <v>0</v>
      </c>
      <c r="CX38" s="137" t="n">
        <v>0</v>
      </c>
      <c r="CY38" s="137" t="n">
        <v>0</v>
      </c>
      <c r="CZ38" s="137" t="n">
        <v>0</v>
      </c>
      <c r="DA38" s="137" t="n">
        <v>0</v>
      </c>
      <c r="DB38" s="137" t="n">
        <v>0</v>
      </c>
      <c r="DC38" s="137" t="n">
        <v>0</v>
      </c>
      <c r="DD38" s="137" t="n">
        <v>0</v>
      </c>
      <c r="DE38" s="137" t="n">
        <v>0</v>
      </c>
      <c r="DF38" s="137" t="n">
        <v>0</v>
      </c>
      <c r="DG38" s="138" t="n">
        <v>0</v>
      </c>
      <c r="DI38" s="135" t="n">
        <f aca="false">BB20</f>
        <v>2011</v>
      </c>
      <c r="DJ38" s="136" t="n">
        <v>0</v>
      </c>
      <c r="DK38" s="137" t="n">
        <v>0</v>
      </c>
      <c r="DL38" s="137" t="n">
        <v>0</v>
      </c>
      <c r="DM38" s="137" t="n">
        <v>0</v>
      </c>
      <c r="DN38" s="137" t="n">
        <v>0</v>
      </c>
      <c r="DO38" s="137" t="n">
        <v>0</v>
      </c>
      <c r="DP38" s="137" t="n">
        <v>0</v>
      </c>
      <c r="DQ38" s="137" t="n">
        <v>0</v>
      </c>
      <c r="DR38" s="137" t="n">
        <v>0</v>
      </c>
      <c r="DS38" s="137" t="n">
        <v>0</v>
      </c>
      <c r="DT38" s="137" t="n">
        <v>0</v>
      </c>
      <c r="DU38" s="138" t="n">
        <v>0</v>
      </c>
    </row>
    <row r="39" customFormat="false" ht="12.75" hidden="false" customHeight="false" outlineLevel="0" collapsed="false">
      <c r="A39" s="0" t="n">
        <f aca="true">IF(ISERROR(MATCH(D39,iRefDt,0)),"",MATCH(D39,iRefDt,0))</f>
        <v>30</v>
      </c>
      <c r="B39" s="92" t="n">
        <f aca="false">MATCH(YEAR(D39),iSpreads)</f>
        <v>1</v>
      </c>
      <c r="C39" s="0" t="n">
        <f aca="false">MONTH(D39)</f>
        <v>7</v>
      </c>
      <c r="D39" s="93" t="n">
        <f aca="false">+EnergyCurve!D39</f>
        <v>37073</v>
      </c>
      <c r="E39" s="94" t="n">
        <f aca="false">VLOOKUP($D39,tblPriorPrice,2)</f>
        <v>240</v>
      </c>
      <c r="F39" s="95"/>
      <c r="G39" s="264" t="n">
        <f aca="false">IF(EnergyCurve!G39&lt;200,0.001*EnergyCurve!G39+1,1.2)*EnergyCurve!G39</f>
        <v>233.025</v>
      </c>
      <c r="H39" s="96" t="n">
        <f aca="false">IF(EnergyCurve!H39&lt;200,0.001*EnergyCurve!H39+1,1.2)*EnergyCurve!H39</f>
        <v>226.1</v>
      </c>
      <c r="I39" s="96" t="n">
        <f aca="false">IF(EnergyCurve!I39&lt;200,0.001*EnergyCurve!I39+1,1.2)*EnergyCurve!I39</f>
        <v>264</v>
      </c>
      <c r="J39" s="94" t="n">
        <f aca="false">VLOOKUP($D39,tblPriorPrice,3)</f>
        <v>0</v>
      </c>
      <c r="K39" s="95"/>
      <c r="L39" s="264" t="n">
        <v>0</v>
      </c>
      <c r="M39" s="96" t="n">
        <f aca="false">L39</f>
        <v>0</v>
      </c>
      <c r="N39" s="96" t="n">
        <f aca="false">L39</f>
        <v>0</v>
      </c>
      <c r="O39" s="58" t="n">
        <f aca="true">IF($A39="",0,INDEX(tblPosn,$A39,2))</f>
        <v>0</v>
      </c>
      <c r="P39" s="59" t="n">
        <f aca="true">IF($A39="",0,INDEX(tblPosn,$A39,3))</f>
        <v>0</v>
      </c>
      <c r="Q39" s="59" t="n">
        <f aca="true">IF($A39="",0,INDEX(tblPosn,$A39,4))</f>
        <v>0</v>
      </c>
      <c r="R39" s="59" t="n">
        <f aca="true">IF($A39="",0,INDEX(tblPosn,$A39,5))</f>
        <v>0</v>
      </c>
      <c r="S39" s="59" t="n">
        <f aca="true">IF($A39="",0,INDEX(tblPosn,$A39,6))</f>
        <v>0</v>
      </c>
      <c r="T39" s="98" t="n">
        <f aca="false">O39*F39+P39*K39+R39*AC39+S39*AH39/0.72+Q39*X39</f>
        <v>0</v>
      </c>
      <c r="V39" s="161" t="n">
        <f aca="false">D39</f>
        <v>37073</v>
      </c>
      <c r="W39" s="94" t="n">
        <f aca="false">VLOOKUP($D39,tblPriorPrice,4)</f>
        <v>0</v>
      </c>
      <c r="X39" s="162"/>
      <c r="Y39" s="176" t="n">
        <f aca="false">L39</f>
        <v>0</v>
      </c>
      <c r="Z39" s="177" t="n">
        <f aca="false">Y39</f>
        <v>0</v>
      </c>
      <c r="AA39" s="177" t="n">
        <f aca="false">Y39</f>
        <v>0</v>
      </c>
      <c r="AB39" s="94" t="n">
        <f aca="false">VLOOKUP($D39,tblPriorPrice,5)</f>
        <v>0</v>
      </c>
      <c r="AC39" s="162"/>
      <c r="AD39" s="176" t="n">
        <f aca="false">L39</f>
        <v>0</v>
      </c>
      <c r="AE39" s="96" t="n">
        <f aca="false">AD39</f>
        <v>0</v>
      </c>
      <c r="AF39" s="97" t="n">
        <f aca="false">AD39</f>
        <v>0</v>
      </c>
      <c r="AG39" s="94" t="n">
        <f aca="false">VLOOKUP($D39,tblPriorPrice,6)</f>
        <v>0</v>
      </c>
      <c r="AH39" s="182"/>
      <c r="AI39" s="163" t="n">
        <f aca="false">AG39+AH39</f>
        <v>0</v>
      </c>
      <c r="AJ39" s="96" t="n">
        <f aca="false">AI39</f>
        <v>0</v>
      </c>
      <c r="AK39" s="97" t="n">
        <f aca="false">AI39</f>
        <v>0</v>
      </c>
      <c r="AL39" s="178" t="n">
        <v>3</v>
      </c>
      <c r="AM39" s="165" t="n">
        <v>0</v>
      </c>
      <c r="AN39" s="166" t="n">
        <f aca="false">EnergyCurve!AN39*2</f>
        <v>0.95</v>
      </c>
      <c r="AO39" s="166" t="n">
        <f aca="false">EnergyCurve!AO39</f>
        <v>0.4275</v>
      </c>
      <c r="AP39" s="166" t="n">
        <f aca="false">AN39*1.25</f>
        <v>1.1875</v>
      </c>
      <c r="AQ39" s="166" t="n">
        <f aca="false">EnergyCurve!AQ39*2</f>
        <v>0.95</v>
      </c>
      <c r="AR39" s="166" t="n">
        <f aca="false">EnergyCurve!AR39</f>
        <v>0.38</v>
      </c>
      <c r="AS39" s="166" t="n">
        <f aca="false">EnergyCurve!AS39*1.25</f>
        <v>0.7125</v>
      </c>
      <c r="AT39" s="168" t="n">
        <f aca="false">EnergyCurve!AT39*2*2</f>
        <v>26.71</v>
      </c>
      <c r="AU39" s="169" t="n">
        <f aca="false">EnergyCurve!AU39</f>
        <v>-1.669375</v>
      </c>
      <c r="AV39" s="169" t="n">
        <f aca="false">AT39*1.25</f>
        <v>33.3875</v>
      </c>
      <c r="AW39" s="168" t="n">
        <f aca="false">EnergyCurve!AW39*2*2</f>
        <v>6.819</v>
      </c>
      <c r="AX39" s="169" t="n">
        <f aca="false">EnergyCurve!AX39</f>
        <v>-0.4261875</v>
      </c>
      <c r="AY39" s="169" t="n">
        <f aca="false">AW39*1.25</f>
        <v>8.52375</v>
      </c>
      <c r="AZ39" s="167" t="n">
        <v>0</v>
      </c>
      <c r="BA39" s="74"/>
      <c r="BB39" s="161" t="n">
        <f aca="false">EOMONTH(BB38,0)+1</f>
        <v>37043</v>
      </c>
      <c r="BC39" s="183"/>
      <c r="BD39" s="183"/>
      <c r="BE39" s="183"/>
      <c r="BF39" s="183"/>
      <c r="BG39" s="183"/>
      <c r="BH39" s="184"/>
      <c r="BI39" s="183"/>
      <c r="BJ39" s="183"/>
      <c r="BK39" s="183"/>
      <c r="BL39" s="183"/>
      <c r="BM39" s="183"/>
      <c r="BN39" s="184"/>
      <c r="BQ39" s="108" t="n">
        <v>36907.7428240741</v>
      </c>
      <c r="BR39" s="109" t="n">
        <v>36907.7434490741</v>
      </c>
      <c r="BS39" s="110" t="n">
        <v>37288</v>
      </c>
      <c r="BT39" s="111" t="n">
        <v>0</v>
      </c>
      <c r="BU39" s="112" t="n">
        <v>0</v>
      </c>
      <c r="BV39" s="112" t="n">
        <v>0</v>
      </c>
      <c r="BW39" s="112" t="n">
        <v>0</v>
      </c>
      <c r="BX39" s="113" t="n">
        <v>0</v>
      </c>
      <c r="BZ39" s="110" t="n">
        <v>37073</v>
      </c>
      <c r="CA39" s="116" t="n">
        <v>240</v>
      </c>
      <c r="CB39" s="116" t="n">
        <v>0</v>
      </c>
      <c r="CC39" s="116" t="n">
        <v>0</v>
      </c>
      <c r="CD39" s="116" t="n">
        <v>0</v>
      </c>
      <c r="CE39" s="117" t="n">
        <v>0</v>
      </c>
      <c r="CG39" s="135" t="n">
        <f aca="false">BB21</f>
        <v>2012</v>
      </c>
      <c r="CH39" s="136" t="n">
        <v>0</v>
      </c>
      <c r="CI39" s="137" t="n">
        <v>0</v>
      </c>
      <c r="CJ39" s="137" t="n">
        <v>0</v>
      </c>
      <c r="CK39" s="137" t="n">
        <v>0</v>
      </c>
      <c r="CL39" s="137" t="n">
        <v>0</v>
      </c>
      <c r="CM39" s="137" t="n">
        <v>0</v>
      </c>
      <c r="CN39" s="137" t="n">
        <v>0</v>
      </c>
      <c r="CO39" s="137" t="n">
        <v>0</v>
      </c>
      <c r="CP39" s="137" t="n">
        <v>0</v>
      </c>
      <c r="CQ39" s="137" t="n">
        <v>0</v>
      </c>
      <c r="CR39" s="137" t="n">
        <v>0</v>
      </c>
      <c r="CS39" s="138" t="n">
        <v>0</v>
      </c>
      <c r="CU39" s="135" t="n">
        <f aca="false">BB21</f>
        <v>2012</v>
      </c>
      <c r="CV39" s="136" t="n">
        <v>0</v>
      </c>
      <c r="CW39" s="137" t="n">
        <v>0</v>
      </c>
      <c r="CX39" s="137" t="n">
        <v>0</v>
      </c>
      <c r="CY39" s="137" t="n">
        <v>0</v>
      </c>
      <c r="CZ39" s="137" t="n">
        <v>0</v>
      </c>
      <c r="DA39" s="137" t="n">
        <v>0</v>
      </c>
      <c r="DB39" s="137" t="n">
        <v>0</v>
      </c>
      <c r="DC39" s="137" t="n">
        <v>0</v>
      </c>
      <c r="DD39" s="137" t="n">
        <v>0</v>
      </c>
      <c r="DE39" s="137" t="n">
        <v>0</v>
      </c>
      <c r="DF39" s="137" t="n">
        <v>0</v>
      </c>
      <c r="DG39" s="138" t="n">
        <v>0</v>
      </c>
      <c r="DI39" s="135" t="n">
        <f aca="false">BB21</f>
        <v>2012</v>
      </c>
      <c r="DJ39" s="136" t="n">
        <v>0</v>
      </c>
      <c r="DK39" s="137" t="n">
        <v>0</v>
      </c>
      <c r="DL39" s="137" t="n">
        <v>0</v>
      </c>
      <c r="DM39" s="137" t="n">
        <v>0</v>
      </c>
      <c r="DN39" s="137" t="n">
        <v>0</v>
      </c>
      <c r="DO39" s="137" t="n">
        <v>0</v>
      </c>
      <c r="DP39" s="137" t="n">
        <v>0</v>
      </c>
      <c r="DQ39" s="137" t="n">
        <v>0</v>
      </c>
      <c r="DR39" s="137" t="n">
        <v>0</v>
      </c>
      <c r="DS39" s="137" t="n">
        <v>0</v>
      </c>
      <c r="DT39" s="137" t="n">
        <v>0</v>
      </c>
      <c r="DU39" s="138" t="n">
        <v>0</v>
      </c>
    </row>
    <row r="40" customFormat="false" ht="12.75" hidden="false" customHeight="false" outlineLevel="0" collapsed="false">
      <c r="A40" s="0" t="n">
        <f aca="true">IF(ISERROR(MATCH(D40,iRefDt,0)),"",MATCH(D40,iRefDt,0))</f>
        <v>31</v>
      </c>
      <c r="B40" s="92" t="n">
        <f aca="false">MATCH(YEAR(D40),iSpreads)</f>
        <v>1</v>
      </c>
      <c r="C40" s="0" t="n">
        <f aca="false">MONTH(D40)</f>
        <v>8</v>
      </c>
      <c r="D40" s="93" t="n">
        <f aca="false">+EnergyCurve!D40</f>
        <v>37104</v>
      </c>
      <c r="E40" s="94" t="n">
        <f aca="false">VLOOKUP($D40,tblPriorPrice,2)</f>
        <v>285.600006103516</v>
      </c>
      <c r="F40" s="95"/>
      <c r="G40" s="264" t="n">
        <f aca="false">IF(EnergyCurve!G40&lt;200,0.001*EnergyCurve!G40+1,1.2)*EnergyCurve!G40</f>
        <v>279.6</v>
      </c>
      <c r="H40" s="96" t="n">
        <f aca="false">IF(EnergyCurve!H40&lt;200,0.001*EnergyCurve!H40+1,1.2)*EnergyCurve!H40</f>
        <v>273.6</v>
      </c>
      <c r="I40" s="96" t="n">
        <f aca="false">IF(EnergyCurve!I40&lt;200,0.001*EnergyCurve!I40+1,1.2)*EnergyCurve!I40</f>
        <v>309.6</v>
      </c>
      <c r="J40" s="94" t="n">
        <f aca="false">VLOOKUP($D40,tblPriorPrice,3)</f>
        <v>0</v>
      </c>
      <c r="K40" s="95"/>
      <c r="L40" s="264" t="n">
        <v>0</v>
      </c>
      <c r="M40" s="96" t="n">
        <f aca="false">L40</f>
        <v>0</v>
      </c>
      <c r="N40" s="96" t="n">
        <f aca="false">L40</f>
        <v>0</v>
      </c>
      <c r="O40" s="58" t="n">
        <f aca="true">IF($A40="",0,INDEX(tblPosn,$A40,2))</f>
        <v>0</v>
      </c>
      <c r="P40" s="59" t="n">
        <f aca="true">IF($A40="",0,INDEX(tblPosn,$A40,3))</f>
        <v>0</v>
      </c>
      <c r="Q40" s="59" t="n">
        <f aca="true">IF($A40="",0,INDEX(tblPosn,$A40,4))</f>
        <v>0</v>
      </c>
      <c r="R40" s="59" t="n">
        <f aca="true">IF($A40="",0,INDEX(tblPosn,$A40,5))</f>
        <v>0</v>
      </c>
      <c r="S40" s="59" t="n">
        <f aca="true">IF($A40="",0,INDEX(tblPosn,$A40,6))</f>
        <v>0</v>
      </c>
      <c r="T40" s="98" t="n">
        <f aca="false">O40*F40+P40*K40+R40*AC40+S40*AH40/0.72+Q40*X40</f>
        <v>0</v>
      </c>
      <c r="V40" s="161" t="n">
        <f aca="false">D40</f>
        <v>37104</v>
      </c>
      <c r="W40" s="94" t="n">
        <f aca="false">VLOOKUP($D40,tblPriorPrice,4)</f>
        <v>0</v>
      </c>
      <c r="X40" s="162"/>
      <c r="Y40" s="176" t="n">
        <f aca="false">L40</f>
        <v>0</v>
      </c>
      <c r="Z40" s="177" t="n">
        <f aca="false">Y40</f>
        <v>0</v>
      </c>
      <c r="AA40" s="177" t="n">
        <f aca="false">Y40</f>
        <v>0</v>
      </c>
      <c r="AB40" s="94" t="n">
        <f aca="false">VLOOKUP($D40,tblPriorPrice,5)</f>
        <v>0</v>
      </c>
      <c r="AC40" s="162"/>
      <c r="AD40" s="176" t="n">
        <f aca="false">L40</f>
        <v>0</v>
      </c>
      <c r="AE40" s="96" t="n">
        <f aca="false">AD40</f>
        <v>0</v>
      </c>
      <c r="AF40" s="97" t="n">
        <f aca="false">AD40</f>
        <v>0</v>
      </c>
      <c r="AG40" s="94" t="n">
        <f aca="false">VLOOKUP($D40,tblPriorPrice,6)</f>
        <v>0</v>
      </c>
      <c r="AH40" s="182"/>
      <c r="AI40" s="163" t="n">
        <f aca="false">AG40+AH40</f>
        <v>0</v>
      </c>
      <c r="AJ40" s="96" t="n">
        <f aca="false">AI40</f>
        <v>0</v>
      </c>
      <c r="AK40" s="97" t="n">
        <f aca="false">AI40</f>
        <v>0</v>
      </c>
      <c r="AL40" s="178" t="n">
        <v>3</v>
      </c>
      <c r="AM40" s="165" t="n">
        <v>0</v>
      </c>
      <c r="AN40" s="166" t="n">
        <f aca="false">EnergyCurve!AN40*2</f>
        <v>0.95</v>
      </c>
      <c r="AO40" s="166" t="n">
        <f aca="false">EnergyCurve!AO40</f>
        <v>0.4275</v>
      </c>
      <c r="AP40" s="166" t="n">
        <f aca="false">AN40*1.25</f>
        <v>1.1875</v>
      </c>
      <c r="AQ40" s="166" t="n">
        <f aca="false">EnergyCurve!AQ40*2</f>
        <v>0.95</v>
      </c>
      <c r="AR40" s="166" t="n">
        <f aca="false">EnergyCurve!AR40</f>
        <v>0.38</v>
      </c>
      <c r="AS40" s="166" t="n">
        <f aca="false">EnergyCurve!AS40*1.25</f>
        <v>0.7125</v>
      </c>
      <c r="AT40" s="168" t="n">
        <f aca="false">EnergyCurve!AT40*2*2</f>
        <v>23.594</v>
      </c>
      <c r="AU40" s="169" t="n">
        <f aca="false">EnergyCurve!AU40</f>
        <v>-1.474625</v>
      </c>
      <c r="AV40" s="169" t="n">
        <f aca="false">AT40*1.25</f>
        <v>29.4925</v>
      </c>
      <c r="AW40" s="168" t="n">
        <f aca="false">EnergyCurve!AW40*2*2</f>
        <v>6.7248</v>
      </c>
      <c r="AX40" s="169" t="n">
        <f aca="false">EnergyCurve!AX40</f>
        <v>-0.4203</v>
      </c>
      <c r="AY40" s="169" t="n">
        <f aca="false">AW40*1.25</f>
        <v>8.406</v>
      </c>
      <c r="AZ40" s="167" t="n">
        <v>0</v>
      </c>
      <c r="BA40" s="74"/>
      <c r="BB40" s="161" t="n">
        <f aca="false">EOMONTH(BB39,0)+1</f>
        <v>37073</v>
      </c>
      <c r="BC40" s="183"/>
      <c r="BD40" s="183"/>
      <c r="BE40" s="183"/>
      <c r="BF40" s="183"/>
      <c r="BG40" s="183"/>
      <c r="BH40" s="184"/>
      <c r="BI40" s="183"/>
      <c r="BJ40" s="183"/>
      <c r="BK40" s="183"/>
      <c r="BL40" s="183"/>
      <c r="BM40" s="183"/>
      <c r="BN40" s="184"/>
      <c r="BQ40" s="108" t="n">
        <v>36907.7428240741</v>
      </c>
      <c r="BR40" s="109" t="n">
        <v>36907.7434490741</v>
      </c>
      <c r="BS40" s="110" t="n">
        <v>37316</v>
      </c>
      <c r="BT40" s="111" t="n">
        <v>0</v>
      </c>
      <c r="BU40" s="112" t="n">
        <v>0</v>
      </c>
      <c r="BV40" s="112" t="n">
        <v>0</v>
      </c>
      <c r="BW40" s="112" t="n">
        <v>0</v>
      </c>
      <c r="BX40" s="113" t="n">
        <v>0</v>
      </c>
      <c r="BZ40" s="110" t="n">
        <v>37104</v>
      </c>
      <c r="CA40" s="116" t="n">
        <v>285.600006103516</v>
      </c>
      <c r="CB40" s="116" t="n">
        <v>0</v>
      </c>
      <c r="CC40" s="116" t="n">
        <v>0</v>
      </c>
      <c r="CD40" s="116" t="n">
        <v>0</v>
      </c>
      <c r="CE40" s="117" t="n">
        <v>0</v>
      </c>
      <c r="CG40" s="135" t="n">
        <f aca="false">BB22</f>
        <v>2013</v>
      </c>
      <c r="CH40" s="136" t="n">
        <v>0</v>
      </c>
      <c r="CI40" s="137" t="n">
        <v>0</v>
      </c>
      <c r="CJ40" s="137" t="n">
        <v>0</v>
      </c>
      <c r="CK40" s="137" t="n">
        <v>0</v>
      </c>
      <c r="CL40" s="137" t="n">
        <v>0</v>
      </c>
      <c r="CM40" s="137" t="n">
        <v>0</v>
      </c>
      <c r="CN40" s="137" t="n">
        <v>0</v>
      </c>
      <c r="CO40" s="137" t="n">
        <v>0</v>
      </c>
      <c r="CP40" s="137" t="n">
        <v>0</v>
      </c>
      <c r="CQ40" s="137" t="n">
        <v>0</v>
      </c>
      <c r="CR40" s="137" t="n">
        <v>0</v>
      </c>
      <c r="CS40" s="138" t="n">
        <v>0</v>
      </c>
      <c r="CU40" s="135" t="n">
        <f aca="false">BB22</f>
        <v>2013</v>
      </c>
      <c r="CV40" s="136" t="n">
        <v>0</v>
      </c>
      <c r="CW40" s="137" t="n">
        <v>0</v>
      </c>
      <c r="CX40" s="137" t="n">
        <v>0</v>
      </c>
      <c r="CY40" s="137" t="n">
        <v>0</v>
      </c>
      <c r="CZ40" s="137" t="n">
        <v>0</v>
      </c>
      <c r="DA40" s="137" t="n">
        <v>0</v>
      </c>
      <c r="DB40" s="137" t="n">
        <v>0</v>
      </c>
      <c r="DC40" s="137" t="n">
        <v>0</v>
      </c>
      <c r="DD40" s="137" t="n">
        <v>0</v>
      </c>
      <c r="DE40" s="137" t="n">
        <v>0</v>
      </c>
      <c r="DF40" s="137" t="n">
        <v>0</v>
      </c>
      <c r="DG40" s="138" t="n">
        <v>0</v>
      </c>
      <c r="DI40" s="135" t="n">
        <f aca="false">BB22</f>
        <v>2013</v>
      </c>
      <c r="DJ40" s="136" t="n">
        <v>0</v>
      </c>
      <c r="DK40" s="137" t="n">
        <v>0</v>
      </c>
      <c r="DL40" s="137" t="n">
        <v>0</v>
      </c>
      <c r="DM40" s="137" t="n">
        <v>0</v>
      </c>
      <c r="DN40" s="137" t="n">
        <v>0</v>
      </c>
      <c r="DO40" s="137" t="n">
        <v>0</v>
      </c>
      <c r="DP40" s="137" t="n">
        <v>0</v>
      </c>
      <c r="DQ40" s="137" t="n">
        <v>0</v>
      </c>
      <c r="DR40" s="137" t="n">
        <v>0</v>
      </c>
      <c r="DS40" s="137" t="n">
        <v>0</v>
      </c>
      <c r="DT40" s="137" t="n">
        <v>0</v>
      </c>
      <c r="DU40" s="138" t="n">
        <v>0</v>
      </c>
    </row>
    <row r="41" customFormat="false" ht="12.75" hidden="false" customHeight="false" outlineLevel="0" collapsed="false">
      <c r="A41" s="0" t="n">
        <f aca="true">IF(ISERROR(MATCH(D41,iRefDt,0)),"",MATCH(D41,iRefDt,0))</f>
        <v>32</v>
      </c>
      <c r="B41" s="92" t="n">
        <f aca="false">MATCH(YEAR(D41),iSpreads)</f>
        <v>1</v>
      </c>
      <c r="C41" s="0" t="n">
        <f aca="false">MONTH(D41)</f>
        <v>9</v>
      </c>
      <c r="D41" s="93" t="n">
        <f aca="false">+EnergyCurve!D41</f>
        <v>37135</v>
      </c>
      <c r="E41" s="94" t="n">
        <f aca="false">VLOOKUP($D41,tblPriorPrice,2)</f>
        <v>231.636001586914</v>
      </c>
      <c r="F41" s="95"/>
      <c r="G41" s="264" t="n">
        <f aca="false">IF(EnergyCurve!G41&lt;200,0.001*EnergyCurve!G41+1,1.2)*EnergyCurve!G41</f>
        <v>224.721</v>
      </c>
      <c r="H41" s="96" t="n">
        <f aca="false">IF(EnergyCurve!H41&lt;200,0.001*EnergyCurve!H41+1,1.2)*EnergyCurve!H41</f>
        <v>217.856</v>
      </c>
      <c r="I41" s="96" t="n">
        <f aca="false">IF(EnergyCurve!I41&lt;200,0.001*EnergyCurve!I41+1,1.2)*EnergyCurve!I41</f>
        <v>256.8</v>
      </c>
      <c r="J41" s="94" t="n">
        <f aca="false">VLOOKUP($D41,tblPriorPrice,3)</f>
        <v>0</v>
      </c>
      <c r="K41" s="95"/>
      <c r="L41" s="264" t="n">
        <v>0</v>
      </c>
      <c r="M41" s="96" t="n">
        <f aca="false">L41</f>
        <v>0</v>
      </c>
      <c r="N41" s="96" t="n">
        <f aca="false">L41</f>
        <v>0</v>
      </c>
      <c r="O41" s="58" t="n">
        <f aca="true">IF($A41="",0,INDEX(tblPosn,$A41,2))</f>
        <v>0</v>
      </c>
      <c r="P41" s="59" t="n">
        <f aca="true">IF($A41="",0,INDEX(tblPosn,$A41,3))</f>
        <v>0</v>
      </c>
      <c r="Q41" s="59" t="n">
        <f aca="true">IF($A41="",0,INDEX(tblPosn,$A41,4))</f>
        <v>0</v>
      </c>
      <c r="R41" s="59" t="n">
        <f aca="true">IF($A41="",0,INDEX(tblPosn,$A41,5))</f>
        <v>0</v>
      </c>
      <c r="S41" s="59" t="n">
        <f aca="true">IF($A41="",0,INDEX(tblPosn,$A41,6))</f>
        <v>0</v>
      </c>
      <c r="T41" s="98" t="n">
        <f aca="false">O41*F41+P41*K41+R41*AC41+S41*AH41/0.72+Q41*X41</f>
        <v>0</v>
      </c>
      <c r="V41" s="161" t="n">
        <f aca="false">D41</f>
        <v>37135</v>
      </c>
      <c r="W41" s="94" t="n">
        <f aca="false">VLOOKUP($D41,tblPriorPrice,4)</f>
        <v>0</v>
      </c>
      <c r="X41" s="162"/>
      <c r="Y41" s="176" t="n">
        <f aca="false">L41</f>
        <v>0</v>
      </c>
      <c r="Z41" s="177" t="n">
        <f aca="false">Y41</f>
        <v>0</v>
      </c>
      <c r="AA41" s="177" t="n">
        <f aca="false">Y41</f>
        <v>0</v>
      </c>
      <c r="AB41" s="94" t="n">
        <f aca="false">VLOOKUP($D41,tblPriorPrice,5)</f>
        <v>0</v>
      </c>
      <c r="AC41" s="162"/>
      <c r="AD41" s="176" t="n">
        <f aca="false">L41</f>
        <v>0</v>
      </c>
      <c r="AE41" s="96" t="n">
        <f aca="false">AD41</f>
        <v>0</v>
      </c>
      <c r="AF41" s="97" t="n">
        <f aca="false">AD41</f>
        <v>0</v>
      </c>
      <c r="AG41" s="94" t="n">
        <f aca="false">VLOOKUP($D41,tblPriorPrice,6)</f>
        <v>0</v>
      </c>
      <c r="AH41" s="182"/>
      <c r="AI41" s="163" t="n">
        <f aca="false">AG41+AH41</f>
        <v>0</v>
      </c>
      <c r="AJ41" s="96" t="n">
        <f aca="false">AI41</f>
        <v>0</v>
      </c>
      <c r="AK41" s="97" t="n">
        <f aca="false">AI41</f>
        <v>0</v>
      </c>
      <c r="AL41" s="178" t="n">
        <v>3</v>
      </c>
      <c r="AM41" s="165" t="n">
        <v>0.15</v>
      </c>
      <c r="AN41" s="166" t="n">
        <f aca="false">EnergyCurve!AN41*2</f>
        <v>0.955</v>
      </c>
      <c r="AO41" s="166" t="n">
        <f aca="false">EnergyCurve!AO41</f>
        <v>0.42975</v>
      </c>
      <c r="AP41" s="166" t="n">
        <f aca="false">AN41*1.25</f>
        <v>1.19375</v>
      </c>
      <c r="AQ41" s="166" t="n">
        <f aca="false">EnergyCurve!AQ41*2</f>
        <v>0.955</v>
      </c>
      <c r="AR41" s="166" t="n">
        <f aca="false">EnergyCurve!AR41</f>
        <v>0.382</v>
      </c>
      <c r="AS41" s="166" t="n">
        <f aca="false">EnergyCurve!AS41*1.25</f>
        <v>0.71625</v>
      </c>
      <c r="AT41" s="168" t="n">
        <f aca="false">EnergyCurve!AT41*2*2</f>
        <v>27.202</v>
      </c>
      <c r="AU41" s="169" t="n">
        <f aca="false">EnergyCurve!AU41</f>
        <v>-1.700125</v>
      </c>
      <c r="AV41" s="169" t="n">
        <f aca="false">AT41*1.25</f>
        <v>34.0025</v>
      </c>
      <c r="AW41" s="168" t="n">
        <f aca="false">EnergyCurve!AW41*2*2</f>
        <v>7.1958</v>
      </c>
      <c r="AX41" s="169" t="n">
        <f aca="false">EnergyCurve!AX41</f>
        <v>-0.4497375</v>
      </c>
      <c r="AY41" s="169" t="n">
        <f aca="false">AW41*1.25</f>
        <v>8.99475</v>
      </c>
      <c r="AZ41" s="167" t="n">
        <v>0</v>
      </c>
      <c r="BA41" s="74"/>
      <c r="BB41" s="161" t="n">
        <f aca="false">EOMONTH(BB40,0)+1</f>
        <v>37104</v>
      </c>
      <c r="BC41" s="183"/>
      <c r="BD41" s="183"/>
      <c r="BE41" s="183"/>
      <c r="BF41" s="183"/>
      <c r="BG41" s="183"/>
      <c r="BH41" s="184"/>
      <c r="BI41" s="183"/>
      <c r="BJ41" s="183"/>
      <c r="BK41" s="183"/>
      <c r="BL41" s="183"/>
      <c r="BM41" s="183"/>
      <c r="BN41" s="184"/>
      <c r="BQ41" s="108" t="n">
        <v>36907.7428240741</v>
      </c>
      <c r="BR41" s="109" t="n">
        <v>36907.7434490741</v>
      </c>
      <c r="BS41" s="110" t="n">
        <v>37347</v>
      </c>
      <c r="BT41" s="111" t="n">
        <v>0</v>
      </c>
      <c r="BU41" s="112" t="n">
        <v>0</v>
      </c>
      <c r="BV41" s="112" t="n">
        <v>0</v>
      </c>
      <c r="BW41" s="112" t="n">
        <v>0</v>
      </c>
      <c r="BX41" s="113" t="n">
        <v>0</v>
      </c>
      <c r="BZ41" s="110" t="n">
        <v>37135</v>
      </c>
      <c r="CA41" s="116" t="n">
        <v>231.636001586914</v>
      </c>
      <c r="CB41" s="116" t="n">
        <v>0</v>
      </c>
      <c r="CC41" s="116" t="n">
        <v>0</v>
      </c>
      <c r="CD41" s="116" t="n">
        <v>0</v>
      </c>
      <c r="CE41" s="117" t="n">
        <v>0</v>
      </c>
      <c r="CG41" s="135" t="n">
        <f aca="false">BB23</f>
        <v>2014</v>
      </c>
      <c r="CH41" s="136" t="n">
        <v>0</v>
      </c>
      <c r="CI41" s="137" t="n">
        <v>0</v>
      </c>
      <c r="CJ41" s="137" t="n">
        <v>0</v>
      </c>
      <c r="CK41" s="137" t="n">
        <v>0</v>
      </c>
      <c r="CL41" s="137" t="n">
        <v>0</v>
      </c>
      <c r="CM41" s="137" t="n">
        <v>0</v>
      </c>
      <c r="CN41" s="137" t="n">
        <v>0</v>
      </c>
      <c r="CO41" s="137" t="n">
        <v>0</v>
      </c>
      <c r="CP41" s="137" t="n">
        <v>0</v>
      </c>
      <c r="CQ41" s="137" t="n">
        <v>0</v>
      </c>
      <c r="CR41" s="137" t="n">
        <v>0</v>
      </c>
      <c r="CS41" s="138" t="n">
        <v>0</v>
      </c>
      <c r="CU41" s="135" t="n">
        <f aca="false">BB23</f>
        <v>2014</v>
      </c>
      <c r="CV41" s="136" t="n">
        <v>0</v>
      </c>
      <c r="CW41" s="137" t="n">
        <v>0</v>
      </c>
      <c r="CX41" s="137" t="n">
        <v>0</v>
      </c>
      <c r="CY41" s="137" t="n">
        <v>0</v>
      </c>
      <c r="CZ41" s="137" t="n">
        <v>0</v>
      </c>
      <c r="DA41" s="137" t="n">
        <v>0</v>
      </c>
      <c r="DB41" s="137" t="n">
        <v>0</v>
      </c>
      <c r="DC41" s="137" t="n">
        <v>0</v>
      </c>
      <c r="DD41" s="137" t="n">
        <v>0</v>
      </c>
      <c r="DE41" s="137" t="n">
        <v>0</v>
      </c>
      <c r="DF41" s="137" t="n">
        <v>0</v>
      </c>
      <c r="DG41" s="138" t="n">
        <v>0</v>
      </c>
      <c r="DI41" s="135" t="n">
        <f aca="false">BB23</f>
        <v>2014</v>
      </c>
      <c r="DJ41" s="136" t="n">
        <v>0</v>
      </c>
      <c r="DK41" s="137" t="n">
        <v>0</v>
      </c>
      <c r="DL41" s="137" t="n">
        <v>0</v>
      </c>
      <c r="DM41" s="137" t="n">
        <v>0</v>
      </c>
      <c r="DN41" s="137" t="n">
        <v>0</v>
      </c>
      <c r="DO41" s="137" t="n">
        <v>0</v>
      </c>
      <c r="DP41" s="137" t="n">
        <v>0</v>
      </c>
      <c r="DQ41" s="137" t="n">
        <v>0</v>
      </c>
      <c r="DR41" s="137" t="n">
        <v>0</v>
      </c>
      <c r="DS41" s="137" t="n">
        <v>0</v>
      </c>
      <c r="DT41" s="137" t="n">
        <v>0</v>
      </c>
      <c r="DU41" s="138" t="n">
        <v>0</v>
      </c>
    </row>
    <row r="42" customFormat="false" ht="12.75" hidden="false" customHeight="false" outlineLevel="0" collapsed="false">
      <c r="A42" s="0" t="n">
        <f aca="true">IF(ISERROR(MATCH(D42,iRefDt,0)),"",MATCH(D42,iRefDt,0))</f>
        <v>33</v>
      </c>
      <c r="B42" s="92" t="n">
        <f aca="false">MATCH(YEAR(D42),iSpreads)</f>
        <v>1</v>
      </c>
      <c r="C42" s="0" t="n">
        <f aca="false">MONTH(D42)</f>
        <v>10</v>
      </c>
      <c r="D42" s="93" t="n">
        <f aca="false">+EnergyCurve!D42</f>
        <v>37165</v>
      </c>
      <c r="E42" s="94" t="n">
        <f aca="false">VLOOKUP($D42,tblPriorPrice,2)</f>
        <v>197.561004638672</v>
      </c>
      <c r="F42" s="95"/>
      <c r="G42" s="264" t="n">
        <f aca="false">IF(EnergyCurve!G42&lt;200,0.001*EnergyCurve!G42+1,1.2)*EnergyCurve!G42</f>
        <v>194.889</v>
      </c>
      <c r="H42" s="96" t="n">
        <f aca="false">IF(EnergyCurve!H42&lt;200,0.001*EnergyCurve!H42+1,1.2)*EnergyCurve!H42</f>
        <v>188.244</v>
      </c>
      <c r="I42" s="96" t="n">
        <f aca="false">IF(EnergyCurve!I42&lt;200,0.001*EnergyCurve!I42+1,1.2)*EnergyCurve!I42</f>
        <v>228.864</v>
      </c>
      <c r="J42" s="94" t="n">
        <f aca="false">VLOOKUP($D42,tblPriorPrice,3)</f>
        <v>0</v>
      </c>
      <c r="K42" s="95"/>
      <c r="L42" s="264" t="n">
        <v>0</v>
      </c>
      <c r="M42" s="96" t="n">
        <f aca="false">L42</f>
        <v>0</v>
      </c>
      <c r="N42" s="96" t="n">
        <f aca="false">L42</f>
        <v>0</v>
      </c>
      <c r="O42" s="58" t="n">
        <f aca="true">IF($A42="",0,INDEX(tblPosn,$A42,2))</f>
        <v>0</v>
      </c>
      <c r="P42" s="59" t="n">
        <f aca="true">IF($A42="",0,INDEX(tblPosn,$A42,3))</f>
        <v>0</v>
      </c>
      <c r="Q42" s="59" t="n">
        <f aca="true">IF($A42="",0,INDEX(tblPosn,$A42,4))</f>
        <v>0</v>
      </c>
      <c r="R42" s="59" t="n">
        <f aca="true">IF($A42="",0,INDEX(tblPosn,$A42,5))</f>
        <v>0</v>
      </c>
      <c r="S42" s="59" t="n">
        <f aca="true">IF($A42="",0,INDEX(tblPosn,$A42,6))</f>
        <v>0</v>
      </c>
      <c r="T42" s="98" t="n">
        <f aca="false">O42*F42+P42*K42+R42*AC42+S42*AH42/0.72+Q42*X42</f>
        <v>0</v>
      </c>
      <c r="V42" s="161" t="n">
        <f aca="false">D42</f>
        <v>37165</v>
      </c>
      <c r="W42" s="94" t="n">
        <f aca="false">VLOOKUP($D42,tblPriorPrice,4)</f>
        <v>0</v>
      </c>
      <c r="X42" s="162"/>
      <c r="Y42" s="176" t="n">
        <f aca="false">L42</f>
        <v>0</v>
      </c>
      <c r="Z42" s="177" t="n">
        <f aca="false">Y42</f>
        <v>0</v>
      </c>
      <c r="AA42" s="177" t="n">
        <f aca="false">Y42</f>
        <v>0</v>
      </c>
      <c r="AB42" s="94" t="n">
        <f aca="false">VLOOKUP($D42,tblPriorPrice,5)</f>
        <v>0</v>
      </c>
      <c r="AC42" s="162"/>
      <c r="AD42" s="176" t="n">
        <f aca="false">L42</f>
        <v>0</v>
      </c>
      <c r="AE42" s="96" t="n">
        <f aca="false">AD42</f>
        <v>0</v>
      </c>
      <c r="AF42" s="97" t="n">
        <f aca="false">AD42</f>
        <v>0</v>
      </c>
      <c r="AG42" s="94" t="n">
        <f aca="false">VLOOKUP($D42,tblPriorPrice,6)</f>
        <v>0</v>
      </c>
      <c r="AH42" s="182"/>
      <c r="AI42" s="163" t="n">
        <f aca="false">AG42+AH42</f>
        <v>0</v>
      </c>
      <c r="AJ42" s="96" t="n">
        <f aca="false">AI42</f>
        <v>0</v>
      </c>
      <c r="AK42" s="97" t="n">
        <f aca="false">AI42</f>
        <v>0</v>
      </c>
      <c r="AL42" s="178" t="n">
        <v>4</v>
      </c>
      <c r="AM42" s="165" t="n">
        <v>0.15</v>
      </c>
      <c r="AN42" s="166" t="n">
        <f aca="false">EnergyCurve!AN42*2</f>
        <v>0.955</v>
      </c>
      <c r="AO42" s="166" t="n">
        <f aca="false">EnergyCurve!AO42</f>
        <v>0.42975</v>
      </c>
      <c r="AP42" s="166" t="n">
        <f aca="false">AN42*1.25</f>
        <v>1.19375</v>
      </c>
      <c r="AQ42" s="166" t="n">
        <f aca="false">EnergyCurve!AQ42*2</f>
        <v>0.955</v>
      </c>
      <c r="AR42" s="166" t="n">
        <f aca="false">EnergyCurve!AR42</f>
        <v>0.382</v>
      </c>
      <c r="AS42" s="166" t="n">
        <f aca="false">EnergyCurve!AS42*1.25</f>
        <v>0.71625</v>
      </c>
      <c r="AT42" s="168" t="n">
        <f aca="false">EnergyCurve!AT42*2*2</f>
        <v>29.006</v>
      </c>
      <c r="AU42" s="169" t="n">
        <f aca="false">EnergyCurve!AU42</f>
        <v>-1.812875</v>
      </c>
      <c r="AV42" s="169" t="n">
        <f aca="false">AT42*1.25</f>
        <v>36.2575</v>
      </c>
      <c r="AW42" s="168" t="n">
        <f aca="false">EnergyCurve!AW42*2*2</f>
        <v>7.1016</v>
      </c>
      <c r="AX42" s="169" t="n">
        <f aca="false">EnergyCurve!AX42</f>
        <v>-0.44385</v>
      </c>
      <c r="AY42" s="169" t="n">
        <f aca="false">AW42*1.25</f>
        <v>8.877</v>
      </c>
      <c r="AZ42" s="167" t="n">
        <v>0</v>
      </c>
      <c r="BA42" s="74"/>
      <c r="BB42" s="161" t="n">
        <f aca="false">EOMONTH(BB41,0)+1</f>
        <v>37135</v>
      </c>
      <c r="BC42" s="183"/>
      <c r="BD42" s="183"/>
      <c r="BE42" s="183"/>
      <c r="BF42" s="183"/>
      <c r="BG42" s="183"/>
      <c r="BH42" s="184"/>
      <c r="BI42" s="183"/>
      <c r="BJ42" s="183"/>
      <c r="BK42" s="183"/>
      <c r="BL42" s="183"/>
      <c r="BM42" s="183"/>
      <c r="BN42" s="184"/>
      <c r="BQ42" s="108" t="n">
        <v>36907.7428240741</v>
      </c>
      <c r="BR42" s="109" t="n">
        <v>36907.7434490741</v>
      </c>
      <c r="BS42" s="110" t="n">
        <v>37377</v>
      </c>
      <c r="BT42" s="111" t="n">
        <v>0</v>
      </c>
      <c r="BU42" s="112" t="n">
        <v>0</v>
      </c>
      <c r="BV42" s="112" t="n">
        <v>0</v>
      </c>
      <c r="BW42" s="112" t="n">
        <v>0</v>
      </c>
      <c r="BX42" s="113" t="n">
        <v>0</v>
      </c>
      <c r="BZ42" s="110" t="n">
        <v>37165</v>
      </c>
      <c r="CA42" s="116" t="n">
        <v>197.561004638672</v>
      </c>
      <c r="CB42" s="116" t="n">
        <v>0</v>
      </c>
      <c r="CC42" s="116" t="n">
        <v>0</v>
      </c>
      <c r="CD42" s="116" t="n">
        <v>0</v>
      </c>
      <c r="CE42" s="117" t="n">
        <v>0</v>
      </c>
      <c r="CG42" s="135" t="n">
        <f aca="false">BB24</f>
        <v>2015</v>
      </c>
      <c r="CH42" s="136" t="n">
        <v>0</v>
      </c>
      <c r="CI42" s="137" t="n">
        <v>0</v>
      </c>
      <c r="CJ42" s="137" t="n">
        <v>0</v>
      </c>
      <c r="CK42" s="137" t="n">
        <v>0</v>
      </c>
      <c r="CL42" s="137" t="n">
        <v>0</v>
      </c>
      <c r="CM42" s="137" t="n">
        <v>0</v>
      </c>
      <c r="CN42" s="137" t="n">
        <v>0</v>
      </c>
      <c r="CO42" s="137" t="n">
        <v>0</v>
      </c>
      <c r="CP42" s="137" t="n">
        <v>0</v>
      </c>
      <c r="CQ42" s="137" t="n">
        <v>0</v>
      </c>
      <c r="CR42" s="137" t="n">
        <v>0</v>
      </c>
      <c r="CS42" s="138" t="n">
        <v>0</v>
      </c>
      <c r="CU42" s="135" t="n">
        <f aca="false">BB24</f>
        <v>2015</v>
      </c>
      <c r="CV42" s="136" t="n">
        <v>0</v>
      </c>
      <c r="CW42" s="137" t="n">
        <v>0</v>
      </c>
      <c r="CX42" s="137" t="n">
        <v>0</v>
      </c>
      <c r="CY42" s="137" t="n">
        <v>0</v>
      </c>
      <c r="CZ42" s="137" t="n">
        <v>0</v>
      </c>
      <c r="DA42" s="137" t="n">
        <v>0</v>
      </c>
      <c r="DB42" s="137" t="n">
        <v>0</v>
      </c>
      <c r="DC42" s="137" t="n">
        <v>0</v>
      </c>
      <c r="DD42" s="137" t="n">
        <v>0</v>
      </c>
      <c r="DE42" s="137" t="n">
        <v>0</v>
      </c>
      <c r="DF42" s="137" t="n">
        <v>0</v>
      </c>
      <c r="DG42" s="138" t="n">
        <v>0</v>
      </c>
      <c r="DI42" s="135" t="n">
        <f aca="false">BB24</f>
        <v>2015</v>
      </c>
      <c r="DJ42" s="136" t="n">
        <v>0</v>
      </c>
      <c r="DK42" s="137" t="n">
        <v>0</v>
      </c>
      <c r="DL42" s="137" t="n">
        <v>0</v>
      </c>
      <c r="DM42" s="137" t="n">
        <v>0</v>
      </c>
      <c r="DN42" s="137" t="n">
        <v>0</v>
      </c>
      <c r="DO42" s="137" t="n">
        <v>0</v>
      </c>
      <c r="DP42" s="137" t="n">
        <v>0</v>
      </c>
      <c r="DQ42" s="137" t="n">
        <v>0</v>
      </c>
      <c r="DR42" s="137" t="n">
        <v>0</v>
      </c>
      <c r="DS42" s="137" t="n">
        <v>0</v>
      </c>
      <c r="DT42" s="137" t="n">
        <v>0</v>
      </c>
      <c r="DU42" s="138" t="n">
        <v>0</v>
      </c>
    </row>
    <row r="43" customFormat="false" ht="12.75" hidden="false" customHeight="false" outlineLevel="0" collapsed="false">
      <c r="A43" s="0" t="n">
        <f aca="true">IF(ISERROR(MATCH(D43,iRefDt,0)),"",MATCH(D43,iRefDt,0))</f>
        <v>34</v>
      </c>
      <c r="B43" s="92" t="n">
        <f aca="false">MATCH(YEAR(D43),iSpreads)</f>
        <v>1</v>
      </c>
      <c r="C43" s="0" t="n">
        <f aca="false">MONTH(D43)</f>
        <v>11</v>
      </c>
      <c r="D43" s="93" t="n">
        <f aca="false">+EnergyCurve!D43</f>
        <v>37196</v>
      </c>
      <c r="E43" s="94" t="n">
        <f aca="false">VLOOKUP($D43,tblPriorPrice,2)</f>
        <v>159.600006103516</v>
      </c>
      <c r="F43" s="95"/>
      <c r="G43" s="264" t="n">
        <f aca="false">IF(EnergyCurve!G43&lt;200,0.001*EnergyCurve!G43+1,1.2)*EnergyCurve!G43</f>
        <v>157.044</v>
      </c>
      <c r="H43" s="96" t="n">
        <f aca="false">IF(EnergyCurve!H43&lt;200,0.001*EnergyCurve!H43+1,1.2)*EnergyCurve!H43</f>
        <v>150.689</v>
      </c>
      <c r="I43" s="96" t="n">
        <f aca="false">IF(EnergyCurve!I43&lt;200,0.001*EnergyCurve!I43+1,1.2)*EnergyCurve!I43</f>
        <v>189.569</v>
      </c>
      <c r="J43" s="94" t="n">
        <f aca="false">VLOOKUP($D43,tblPriorPrice,3)</f>
        <v>0</v>
      </c>
      <c r="K43" s="95"/>
      <c r="L43" s="264" t="n">
        <v>0</v>
      </c>
      <c r="M43" s="96" t="n">
        <f aca="false">L43</f>
        <v>0</v>
      </c>
      <c r="N43" s="96" t="n">
        <f aca="false">L43</f>
        <v>0</v>
      </c>
      <c r="O43" s="58" t="n">
        <f aca="true">IF($A43="",0,INDEX(tblPosn,$A43,2))</f>
        <v>0</v>
      </c>
      <c r="P43" s="59" t="n">
        <f aca="true">IF($A43="",0,INDEX(tblPosn,$A43,3))</f>
        <v>0</v>
      </c>
      <c r="Q43" s="59" t="n">
        <f aca="true">IF($A43="",0,INDEX(tblPosn,$A43,4))</f>
        <v>0</v>
      </c>
      <c r="R43" s="59" t="n">
        <f aca="true">IF($A43="",0,INDEX(tblPosn,$A43,5))</f>
        <v>0</v>
      </c>
      <c r="S43" s="59" t="n">
        <f aca="true">IF($A43="",0,INDEX(tblPosn,$A43,6))</f>
        <v>0</v>
      </c>
      <c r="T43" s="98" t="n">
        <f aca="false">O43*F43+P43*K43+R43*AC43+S43*AH43/0.72+Q43*X43</f>
        <v>0</v>
      </c>
      <c r="V43" s="161" t="n">
        <f aca="false">D43</f>
        <v>37196</v>
      </c>
      <c r="W43" s="94" t="n">
        <f aca="false">VLOOKUP($D43,tblPriorPrice,4)</f>
        <v>0</v>
      </c>
      <c r="X43" s="162"/>
      <c r="Y43" s="176" t="n">
        <f aca="false">L43</f>
        <v>0</v>
      </c>
      <c r="Z43" s="177" t="n">
        <f aca="false">Y43</f>
        <v>0</v>
      </c>
      <c r="AA43" s="177" t="n">
        <f aca="false">Y43</f>
        <v>0</v>
      </c>
      <c r="AB43" s="94" t="n">
        <f aca="false">VLOOKUP($D43,tblPriorPrice,5)</f>
        <v>0</v>
      </c>
      <c r="AC43" s="162"/>
      <c r="AD43" s="176" t="n">
        <f aca="false">L43</f>
        <v>0</v>
      </c>
      <c r="AE43" s="96" t="n">
        <f aca="false">AD43</f>
        <v>0</v>
      </c>
      <c r="AF43" s="97" t="n">
        <f aca="false">AD43</f>
        <v>0</v>
      </c>
      <c r="AG43" s="94" t="n">
        <f aca="false">VLOOKUP($D43,tblPriorPrice,6)</f>
        <v>0</v>
      </c>
      <c r="AH43" s="182"/>
      <c r="AI43" s="163" t="n">
        <f aca="false">AG43+AH43</f>
        <v>0</v>
      </c>
      <c r="AJ43" s="96" t="n">
        <f aca="false">AI43</f>
        <v>0</v>
      </c>
      <c r="AK43" s="97" t="n">
        <f aca="false">AI43</f>
        <v>0</v>
      </c>
      <c r="AL43" s="178" t="n">
        <v>4</v>
      </c>
      <c r="AM43" s="165" t="n">
        <v>0.15</v>
      </c>
      <c r="AN43" s="166" t="n">
        <f aca="false">EnergyCurve!AN43*2</f>
        <v>0.965</v>
      </c>
      <c r="AO43" s="166" t="n">
        <f aca="false">EnergyCurve!AO43</f>
        <v>0.43425</v>
      </c>
      <c r="AP43" s="166" t="n">
        <f aca="false">AN43*1.25</f>
        <v>1.20625</v>
      </c>
      <c r="AQ43" s="166" t="n">
        <f aca="false">EnergyCurve!AQ43*2</f>
        <v>0.965</v>
      </c>
      <c r="AR43" s="166" t="n">
        <f aca="false">EnergyCurve!AR43</f>
        <v>0.386</v>
      </c>
      <c r="AS43" s="166" t="n">
        <f aca="false">EnergyCurve!AS43*1.25</f>
        <v>0.72375</v>
      </c>
      <c r="AT43" s="168" t="n">
        <f aca="false">EnergyCurve!AT43*2*2</f>
        <v>31.384</v>
      </c>
      <c r="AU43" s="169" t="n">
        <f aca="false">EnergyCurve!AU43</f>
        <v>-1.9615</v>
      </c>
      <c r="AV43" s="169" t="n">
        <f aca="false">AT43*1.25</f>
        <v>39.23</v>
      </c>
      <c r="AW43" s="168" t="n">
        <f aca="false">EnergyCurve!AW43*2*2</f>
        <v>7.1958</v>
      </c>
      <c r="AX43" s="169" t="n">
        <f aca="false">EnergyCurve!AX43</f>
        <v>-0.4497375</v>
      </c>
      <c r="AY43" s="169" t="n">
        <f aca="false">AW43*1.25</f>
        <v>8.99475</v>
      </c>
      <c r="AZ43" s="167" t="n">
        <v>0</v>
      </c>
      <c r="BA43" s="74"/>
      <c r="BB43" s="161" t="n">
        <f aca="false">EOMONTH(BB42,0)+1</f>
        <v>37165</v>
      </c>
      <c r="BC43" s="183"/>
      <c r="BD43" s="183"/>
      <c r="BE43" s="183"/>
      <c r="BF43" s="183"/>
      <c r="BG43" s="183"/>
      <c r="BH43" s="184"/>
      <c r="BI43" s="183"/>
      <c r="BJ43" s="183"/>
      <c r="BK43" s="183"/>
      <c r="BL43" s="183"/>
      <c r="BM43" s="183"/>
      <c r="BN43" s="184"/>
      <c r="BQ43" s="108" t="n">
        <v>36907.7428240741</v>
      </c>
      <c r="BR43" s="109" t="n">
        <v>36907.7434490741</v>
      </c>
      <c r="BS43" s="110" t="n">
        <v>37408</v>
      </c>
      <c r="BT43" s="111" t="n">
        <v>0</v>
      </c>
      <c r="BU43" s="112" t="n">
        <v>0</v>
      </c>
      <c r="BV43" s="112" t="n">
        <v>0</v>
      </c>
      <c r="BW43" s="112" t="n">
        <v>0</v>
      </c>
      <c r="BX43" s="113" t="n">
        <v>0</v>
      </c>
      <c r="BZ43" s="110" t="n">
        <v>37196</v>
      </c>
      <c r="CA43" s="116" t="n">
        <v>159.600006103516</v>
      </c>
      <c r="CB43" s="116" t="n">
        <v>0</v>
      </c>
      <c r="CC43" s="116" t="n">
        <v>0</v>
      </c>
      <c r="CD43" s="116" t="n">
        <v>0</v>
      </c>
      <c r="CE43" s="117" t="n">
        <v>0</v>
      </c>
      <c r="CG43" s="135" t="n">
        <f aca="false">BB25</f>
        <v>2016</v>
      </c>
      <c r="CH43" s="136" t="n">
        <v>0</v>
      </c>
      <c r="CI43" s="137" t="n">
        <v>0</v>
      </c>
      <c r="CJ43" s="137" t="n">
        <v>0</v>
      </c>
      <c r="CK43" s="137" t="n">
        <v>0</v>
      </c>
      <c r="CL43" s="137" t="n">
        <v>0</v>
      </c>
      <c r="CM43" s="137" t="n">
        <v>0</v>
      </c>
      <c r="CN43" s="137" t="n">
        <v>0</v>
      </c>
      <c r="CO43" s="137" t="n">
        <v>0</v>
      </c>
      <c r="CP43" s="137" t="n">
        <v>0</v>
      </c>
      <c r="CQ43" s="137" t="n">
        <v>0</v>
      </c>
      <c r="CR43" s="137" t="n">
        <v>0</v>
      </c>
      <c r="CS43" s="138" t="n">
        <v>0</v>
      </c>
      <c r="CU43" s="135" t="n">
        <f aca="false">BB25</f>
        <v>2016</v>
      </c>
      <c r="CV43" s="136" t="n">
        <v>0</v>
      </c>
      <c r="CW43" s="137" t="n">
        <v>0</v>
      </c>
      <c r="CX43" s="137" t="n">
        <v>0</v>
      </c>
      <c r="CY43" s="137" t="n">
        <v>0</v>
      </c>
      <c r="CZ43" s="137" t="n">
        <v>0</v>
      </c>
      <c r="DA43" s="137" t="n">
        <v>0</v>
      </c>
      <c r="DB43" s="137" t="n">
        <v>0</v>
      </c>
      <c r="DC43" s="137" t="n">
        <v>0</v>
      </c>
      <c r="DD43" s="137" t="n">
        <v>0</v>
      </c>
      <c r="DE43" s="137" t="n">
        <v>0</v>
      </c>
      <c r="DF43" s="137" t="n">
        <v>0</v>
      </c>
      <c r="DG43" s="138" t="n">
        <v>0</v>
      </c>
      <c r="DI43" s="135" t="n">
        <f aca="false">BB25</f>
        <v>2016</v>
      </c>
      <c r="DJ43" s="136" t="n">
        <v>0</v>
      </c>
      <c r="DK43" s="137" t="n">
        <v>0</v>
      </c>
      <c r="DL43" s="137" t="n">
        <v>0</v>
      </c>
      <c r="DM43" s="137" t="n">
        <v>0</v>
      </c>
      <c r="DN43" s="137" t="n">
        <v>0</v>
      </c>
      <c r="DO43" s="137" t="n">
        <v>0</v>
      </c>
      <c r="DP43" s="137" t="n">
        <v>0</v>
      </c>
      <c r="DQ43" s="137" t="n">
        <v>0</v>
      </c>
      <c r="DR43" s="137" t="n">
        <v>0</v>
      </c>
      <c r="DS43" s="137" t="n">
        <v>0</v>
      </c>
      <c r="DT43" s="137" t="n">
        <v>0</v>
      </c>
      <c r="DU43" s="138" t="n">
        <v>0</v>
      </c>
    </row>
    <row r="44" customFormat="false" ht="12.75" hidden="false" customHeight="false" outlineLevel="0" collapsed="false">
      <c r="A44" s="0" t="n">
        <f aca="true">IF(ISERROR(MATCH(D44,iRefDt,0)),"",MATCH(D44,iRefDt,0))</f>
        <v>35</v>
      </c>
      <c r="B44" s="92" t="n">
        <f aca="false">MATCH(YEAR(D44),iSpreads)</f>
        <v>1</v>
      </c>
      <c r="C44" s="0" t="n">
        <f aca="false">MONTH(D44)</f>
        <v>12</v>
      </c>
      <c r="D44" s="93" t="n">
        <f aca="false">+EnergyCurve!D44</f>
        <v>37226</v>
      </c>
      <c r="E44" s="94" t="n">
        <f aca="false">VLOOKUP($D44,tblPriorPrice,2)</f>
        <v>181.649002075195</v>
      </c>
      <c r="F44" s="95"/>
      <c r="G44" s="264" t="n">
        <f aca="false">IF(EnergyCurve!G44&lt;200,0.001*EnergyCurve!G44+1,1.2)*EnergyCurve!G44</f>
        <v>179.025</v>
      </c>
      <c r="H44" s="96" t="n">
        <f aca="false">IF(EnergyCurve!H44&lt;200,0.001*EnergyCurve!H44+1,1.2)*EnergyCurve!H44</f>
        <v>172.5</v>
      </c>
      <c r="I44" s="96" t="n">
        <f aca="false">IF(EnergyCurve!I44&lt;200,0.001*EnergyCurve!I44+1,1.2)*EnergyCurve!I44</f>
        <v>212.4</v>
      </c>
      <c r="J44" s="94" t="n">
        <f aca="false">VLOOKUP($D44,tblPriorPrice,3)</f>
        <v>0</v>
      </c>
      <c r="K44" s="95"/>
      <c r="L44" s="264" t="n">
        <v>0</v>
      </c>
      <c r="M44" s="96" t="n">
        <f aca="false">L44</f>
        <v>0</v>
      </c>
      <c r="N44" s="96" t="n">
        <f aca="false">L44</f>
        <v>0</v>
      </c>
      <c r="O44" s="58" t="n">
        <f aca="true">IF($A44="",0,INDEX(tblPosn,$A44,2))</f>
        <v>0</v>
      </c>
      <c r="P44" s="59" t="n">
        <f aca="true">IF($A44="",0,INDEX(tblPosn,$A44,3))</f>
        <v>0</v>
      </c>
      <c r="Q44" s="59" t="n">
        <f aca="true">IF($A44="",0,INDEX(tblPosn,$A44,4))</f>
        <v>0</v>
      </c>
      <c r="R44" s="59" t="n">
        <f aca="true">IF($A44="",0,INDEX(tblPosn,$A44,5))</f>
        <v>0</v>
      </c>
      <c r="S44" s="59" t="n">
        <f aca="true">IF($A44="",0,INDEX(tblPosn,$A44,6))</f>
        <v>0</v>
      </c>
      <c r="T44" s="98" t="n">
        <f aca="false">O44*F44+P44*K44+R44*AC44+S44*AH44/0.72+Q44*X44</f>
        <v>0</v>
      </c>
      <c r="V44" s="161" t="n">
        <f aca="false">D44</f>
        <v>37226</v>
      </c>
      <c r="W44" s="94" t="n">
        <f aca="false">VLOOKUP($D44,tblPriorPrice,4)</f>
        <v>0</v>
      </c>
      <c r="X44" s="162"/>
      <c r="Y44" s="176" t="n">
        <f aca="false">L44</f>
        <v>0</v>
      </c>
      <c r="Z44" s="177" t="n">
        <f aca="false">Y44</f>
        <v>0</v>
      </c>
      <c r="AA44" s="177" t="n">
        <f aca="false">Y44</f>
        <v>0</v>
      </c>
      <c r="AB44" s="94" t="n">
        <f aca="false">VLOOKUP($D44,tblPriorPrice,5)</f>
        <v>0</v>
      </c>
      <c r="AC44" s="162"/>
      <c r="AD44" s="176" t="n">
        <f aca="false">L44</f>
        <v>0</v>
      </c>
      <c r="AE44" s="96" t="n">
        <f aca="false">AD44</f>
        <v>0</v>
      </c>
      <c r="AF44" s="97" t="n">
        <f aca="false">AD44</f>
        <v>0</v>
      </c>
      <c r="AG44" s="94" t="n">
        <f aca="false">VLOOKUP($D44,tblPriorPrice,6)</f>
        <v>0</v>
      </c>
      <c r="AH44" s="182"/>
      <c r="AI44" s="163" t="n">
        <f aca="false">AG44+AH44</f>
        <v>0</v>
      </c>
      <c r="AJ44" s="96" t="n">
        <f aca="false">AI44</f>
        <v>0</v>
      </c>
      <c r="AK44" s="97" t="n">
        <f aca="false">AI44</f>
        <v>0</v>
      </c>
      <c r="AL44" s="178" t="n">
        <v>4</v>
      </c>
      <c r="AM44" s="165" t="n">
        <v>0.15</v>
      </c>
      <c r="AN44" s="166" t="n">
        <f aca="false">EnergyCurve!AN44*2</f>
        <v>0.965</v>
      </c>
      <c r="AO44" s="166" t="n">
        <f aca="false">EnergyCurve!AO44</f>
        <v>0.43425</v>
      </c>
      <c r="AP44" s="166" t="n">
        <f aca="false">AN44*1.25</f>
        <v>1.20625</v>
      </c>
      <c r="AQ44" s="166" t="n">
        <f aca="false">EnergyCurve!AQ44*2</f>
        <v>0.965</v>
      </c>
      <c r="AR44" s="166" t="n">
        <f aca="false">EnergyCurve!AR44</f>
        <v>0.386</v>
      </c>
      <c r="AS44" s="166" t="n">
        <f aca="false">EnergyCurve!AS44*1.25</f>
        <v>0.72375</v>
      </c>
      <c r="AT44" s="168" t="n">
        <f aca="false">EnergyCurve!AT44*2*2</f>
        <v>29.99</v>
      </c>
      <c r="AU44" s="169" t="n">
        <f aca="false">EnergyCurve!AU44</f>
        <v>-1.874375</v>
      </c>
      <c r="AV44" s="169" t="n">
        <f aca="false">AT44*1.25</f>
        <v>37.4875</v>
      </c>
      <c r="AW44" s="168" t="n">
        <f aca="false">EnergyCurve!AW44*2*2</f>
        <v>7.29</v>
      </c>
      <c r="AX44" s="169" t="n">
        <f aca="false">EnergyCurve!AX44</f>
        <v>-0.455625</v>
      </c>
      <c r="AY44" s="169" t="n">
        <f aca="false">AW44*1.25</f>
        <v>9.1125</v>
      </c>
      <c r="AZ44" s="167" t="n">
        <v>0</v>
      </c>
      <c r="BA44" s="74"/>
      <c r="BB44" s="161" t="n">
        <f aca="false">EOMONTH(BB43,0)+1</f>
        <v>37196</v>
      </c>
      <c r="BC44" s="183"/>
      <c r="BD44" s="183"/>
      <c r="BE44" s="183"/>
      <c r="BF44" s="183"/>
      <c r="BG44" s="183"/>
      <c r="BH44" s="184"/>
      <c r="BI44" s="183"/>
      <c r="BJ44" s="183"/>
      <c r="BK44" s="183"/>
      <c r="BL44" s="183"/>
      <c r="BM44" s="183"/>
      <c r="BN44" s="184"/>
      <c r="BQ44" s="108" t="n">
        <v>36907.7428240741</v>
      </c>
      <c r="BR44" s="109" t="n">
        <v>36907.7434490741</v>
      </c>
      <c r="BS44" s="110" t="n">
        <v>37438</v>
      </c>
      <c r="BT44" s="111" t="n">
        <v>0</v>
      </c>
      <c r="BU44" s="112" t="n">
        <v>0</v>
      </c>
      <c r="BV44" s="112" t="n">
        <v>0</v>
      </c>
      <c r="BW44" s="112" t="n">
        <v>0</v>
      </c>
      <c r="BX44" s="113" t="n">
        <v>0</v>
      </c>
      <c r="BZ44" s="110" t="n">
        <v>37226</v>
      </c>
      <c r="CA44" s="116" t="n">
        <v>181.649002075195</v>
      </c>
      <c r="CB44" s="116" t="n">
        <v>0</v>
      </c>
      <c r="CC44" s="116" t="n">
        <v>0</v>
      </c>
      <c r="CD44" s="116" t="n">
        <v>0</v>
      </c>
      <c r="CE44" s="117" t="n">
        <v>0</v>
      </c>
      <c r="CG44" s="135" t="n">
        <f aca="false">BB26</f>
        <v>2017</v>
      </c>
      <c r="CH44" s="136" t="n">
        <v>0</v>
      </c>
      <c r="CI44" s="137" t="n">
        <v>0</v>
      </c>
      <c r="CJ44" s="137" t="n">
        <v>0</v>
      </c>
      <c r="CK44" s="137" t="n">
        <v>0</v>
      </c>
      <c r="CL44" s="137" t="n">
        <v>0</v>
      </c>
      <c r="CM44" s="137" t="n">
        <v>0</v>
      </c>
      <c r="CN44" s="137" t="n">
        <v>0</v>
      </c>
      <c r="CO44" s="137" t="n">
        <v>0</v>
      </c>
      <c r="CP44" s="137" t="n">
        <v>0</v>
      </c>
      <c r="CQ44" s="137" t="n">
        <v>0</v>
      </c>
      <c r="CR44" s="137" t="n">
        <v>0</v>
      </c>
      <c r="CS44" s="138" t="n">
        <v>0</v>
      </c>
      <c r="CU44" s="135" t="n">
        <f aca="false">BB26</f>
        <v>2017</v>
      </c>
      <c r="CV44" s="136" t="n">
        <v>0</v>
      </c>
      <c r="CW44" s="137" t="n">
        <v>0</v>
      </c>
      <c r="CX44" s="137" t="n">
        <v>0</v>
      </c>
      <c r="CY44" s="137" t="n">
        <v>0</v>
      </c>
      <c r="CZ44" s="137" t="n">
        <v>0</v>
      </c>
      <c r="DA44" s="137" t="n">
        <v>0</v>
      </c>
      <c r="DB44" s="137" t="n">
        <v>0</v>
      </c>
      <c r="DC44" s="137" t="n">
        <v>0</v>
      </c>
      <c r="DD44" s="137" t="n">
        <v>0</v>
      </c>
      <c r="DE44" s="137" t="n">
        <v>0</v>
      </c>
      <c r="DF44" s="137" t="n">
        <v>0</v>
      </c>
      <c r="DG44" s="138" t="n">
        <v>0</v>
      </c>
      <c r="DI44" s="135" t="n">
        <f aca="false">BB26</f>
        <v>2017</v>
      </c>
      <c r="DJ44" s="136" t="n">
        <v>0</v>
      </c>
      <c r="DK44" s="137" t="n">
        <v>0</v>
      </c>
      <c r="DL44" s="137" t="n">
        <v>0</v>
      </c>
      <c r="DM44" s="137" t="n">
        <v>0</v>
      </c>
      <c r="DN44" s="137" t="n">
        <v>0</v>
      </c>
      <c r="DO44" s="137" t="n">
        <v>0</v>
      </c>
      <c r="DP44" s="137" t="n">
        <v>0</v>
      </c>
      <c r="DQ44" s="137" t="n">
        <v>0</v>
      </c>
      <c r="DR44" s="137" t="n">
        <v>0</v>
      </c>
      <c r="DS44" s="137" t="n">
        <v>0</v>
      </c>
      <c r="DT44" s="137" t="n">
        <v>0</v>
      </c>
      <c r="DU44" s="138" t="n">
        <v>0</v>
      </c>
    </row>
    <row r="45" customFormat="false" ht="12.75" hidden="false" customHeight="false" outlineLevel="0" collapsed="false">
      <c r="A45" s="0" t="n">
        <f aca="true">IF(ISERROR(MATCH(D45,iRefDt,0)),"",MATCH(D45,iRefDt,0))</f>
        <v>36</v>
      </c>
      <c r="B45" s="92" t="n">
        <f aca="false">MATCH(YEAR(D45),iSpreads)</f>
        <v>2</v>
      </c>
      <c r="C45" s="0" t="n">
        <f aca="false">MONTH(D45)</f>
        <v>1</v>
      </c>
      <c r="D45" s="93" t="n">
        <f aca="false">+EnergyCurve!D45</f>
        <v>37257</v>
      </c>
      <c r="E45" s="94" t="n">
        <f aca="false">VLOOKUP($D45,tblPriorPrice,2)</f>
        <v>180.335998535156</v>
      </c>
      <c r="F45" s="95"/>
      <c r="G45" s="264" t="n">
        <f aca="false">IF(EnergyCurve!G45&lt;200,0.001*EnergyCurve!G45+1,1.2)*EnergyCurve!G45</f>
        <v>181.649</v>
      </c>
      <c r="H45" s="96" t="n">
        <f aca="false">IF(EnergyCurve!H45&lt;200,0.001*EnergyCurve!H45+1,1.2)*EnergyCurve!H45</f>
        <v>175.104</v>
      </c>
      <c r="I45" s="96" t="n">
        <f aca="false">IF(EnergyCurve!I45&lt;200,0.001*EnergyCurve!I45+1,1.2)*EnergyCurve!I45</f>
        <v>201.584</v>
      </c>
      <c r="J45" s="94" t="n">
        <f aca="false">VLOOKUP($D45,tblPriorPrice,3)</f>
        <v>0</v>
      </c>
      <c r="K45" s="95"/>
      <c r="L45" s="264" t="n">
        <v>0</v>
      </c>
      <c r="M45" s="96" t="n">
        <f aca="false">L45</f>
        <v>0</v>
      </c>
      <c r="N45" s="96" t="n">
        <f aca="false">L45</f>
        <v>0</v>
      </c>
      <c r="O45" s="58" t="n">
        <f aca="true">IF($A45="",0,INDEX(tblPosn,$A45,2))</f>
        <v>0</v>
      </c>
      <c r="P45" s="59" t="n">
        <f aca="true">IF($A45="",0,INDEX(tblPosn,$A45,3))</f>
        <v>0</v>
      </c>
      <c r="Q45" s="59" t="n">
        <f aca="true">IF($A45="",0,INDEX(tblPosn,$A45,4))</f>
        <v>0</v>
      </c>
      <c r="R45" s="59" t="n">
        <f aca="true">IF($A45="",0,INDEX(tblPosn,$A45,5))</f>
        <v>0</v>
      </c>
      <c r="S45" s="59" t="n">
        <f aca="true">IF($A45="",0,INDEX(tblPosn,$A45,6))</f>
        <v>0</v>
      </c>
      <c r="T45" s="98" t="n">
        <f aca="false">O45*F45+P45*K45+R45*AC45+S45*AH45/0.72+Q45*X45</f>
        <v>0</v>
      </c>
      <c r="V45" s="161" t="n">
        <f aca="false">D45</f>
        <v>37257</v>
      </c>
      <c r="W45" s="94" t="n">
        <f aca="false">VLOOKUP($D45,tblPriorPrice,4)</f>
        <v>0</v>
      </c>
      <c r="X45" s="162"/>
      <c r="Y45" s="176" t="n">
        <f aca="false">L45</f>
        <v>0</v>
      </c>
      <c r="Z45" s="177" t="n">
        <f aca="false">Y45</f>
        <v>0</v>
      </c>
      <c r="AA45" s="177" t="n">
        <f aca="false">Y45</f>
        <v>0</v>
      </c>
      <c r="AB45" s="94" t="n">
        <f aca="false">VLOOKUP($D45,tblPriorPrice,5)</f>
        <v>0</v>
      </c>
      <c r="AC45" s="162"/>
      <c r="AD45" s="176" t="n">
        <f aca="false">L45</f>
        <v>0</v>
      </c>
      <c r="AE45" s="96" t="n">
        <f aca="false">AD45</f>
        <v>0</v>
      </c>
      <c r="AF45" s="97" t="n">
        <f aca="false">AD45</f>
        <v>0</v>
      </c>
      <c r="AG45" s="94" t="n">
        <f aca="false">VLOOKUP($D45,tblPriorPrice,6)</f>
        <v>0</v>
      </c>
      <c r="AH45" s="182"/>
      <c r="AI45" s="163" t="n">
        <f aca="false">AG45+AH45</f>
        <v>0</v>
      </c>
      <c r="AJ45" s="96" t="n">
        <f aca="false">AI45</f>
        <v>0</v>
      </c>
      <c r="AK45" s="97" t="n">
        <f aca="false">AI45</f>
        <v>0</v>
      </c>
      <c r="AL45" s="178" t="n">
        <v>5</v>
      </c>
      <c r="AM45" s="165" t="n">
        <v>0.15</v>
      </c>
      <c r="AN45" s="166" t="n">
        <f aca="false">EnergyCurve!AN45*2</f>
        <v>0.965</v>
      </c>
      <c r="AO45" s="166" t="n">
        <f aca="false">EnergyCurve!AO45</f>
        <v>0.43425</v>
      </c>
      <c r="AP45" s="166" t="n">
        <f aca="false">AN45*1.25</f>
        <v>1.20625</v>
      </c>
      <c r="AQ45" s="166" t="n">
        <f aca="false">EnergyCurve!AQ45*2</f>
        <v>0.965</v>
      </c>
      <c r="AR45" s="166" t="n">
        <f aca="false">EnergyCurve!AR45</f>
        <v>0.386</v>
      </c>
      <c r="AS45" s="166" t="n">
        <f aca="false">EnergyCurve!AS45*1.25</f>
        <v>0.72375</v>
      </c>
      <c r="AT45" s="168" t="n">
        <f aca="false">EnergyCurve!AT45*2*2</f>
        <v>29.826</v>
      </c>
      <c r="AU45" s="169" t="n">
        <f aca="false">EnergyCurve!AU45</f>
        <v>-1.864125</v>
      </c>
      <c r="AV45" s="169" t="n">
        <f aca="false">AT45*1.25</f>
        <v>37.2825</v>
      </c>
      <c r="AW45" s="168" t="n">
        <f aca="false">EnergyCurve!AW45*2*2</f>
        <v>7.4784</v>
      </c>
      <c r="AX45" s="169" t="n">
        <f aca="false">EnergyCurve!AX45</f>
        <v>-0.4674</v>
      </c>
      <c r="AY45" s="169" t="n">
        <f aca="false">AW45*1.25</f>
        <v>9.348</v>
      </c>
      <c r="AZ45" s="167" t="n">
        <v>0</v>
      </c>
      <c r="BA45" s="74"/>
      <c r="BB45" s="161" t="n">
        <f aca="false">EOMONTH(BB44,0)+1</f>
        <v>37226</v>
      </c>
      <c r="BC45" s="183"/>
      <c r="BD45" s="183"/>
      <c r="BE45" s="183"/>
      <c r="BF45" s="183"/>
      <c r="BG45" s="183"/>
      <c r="BH45" s="184"/>
      <c r="BI45" s="183"/>
      <c r="BJ45" s="183"/>
      <c r="BK45" s="183"/>
      <c r="BL45" s="183"/>
      <c r="BM45" s="183"/>
      <c r="BN45" s="184"/>
      <c r="BQ45" s="108" t="n">
        <v>36907.7428240741</v>
      </c>
      <c r="BR45" s="109" t="n">
        <v>36907.7434490741</v>
      </c>
      <c r="BS45" s="110" t="n">
        <v>37469</v>
      </c>
      <c r="BT45" s="111" t="n">
        <v>0</v>
      </c>
      <c r="BU45" s="112" t="n">
        <v>0</v>
      </c>
      <c r="BV45" s="112" t="n">
        <v>0</v>
      </c>
      <c r="BW45" s="112" t="n">
        <v>0</v>
      </c>
      <c r="BX45" s="113" t="n">
        <v>0</v>
      </c>
      <c r="BZ45" s="110" t="n">
        <v>37257</v>
      </c>
      <c r="CA45" s="116" t="n">
        <v>180.335998535156</v>
      </c>
      <c r="CB45" s="116" t="n">
        <v>0</v>
      </c>
      <c r="CC45" s="116" t="n">
        <v>0</v>
      </c>
      <c r="CD45" s="116" t="n">
        <v>0</v>
      </c>
      <c r="CE45" s="117" t="n">
        <v>0</v>
      </c>
      <c r="CG45" s="135" t="n">
        <f aca="false">BB27</f>
        <v>2018</v>
      </c>
      <c r="CH45" s="136" t="n">
        <v>0</v>
      </c>
      <c r="CI45" s="137" t="n">
        <v>0</v>
      </c>
      <c r="CJ45" s="137" t="n">
        <v>0</v>
      </c>
      <c r="CK45" s="137" t="n">
        <v>0</v>
      </c>
      <c r="CL45" s="137" t="n">
        <v>0</v>
      </c>
      <c r="CM45" s="137" t="n">
        <v>0</v>
      </c>
      <c r="CN45" s="137" t="n">
        <v>0</v>
      </c>
      <c r="CO45" s="137" t="n">
        <v>0</v>
      </c>
      <c r="CP45" s="137" t="n">
        <v>0</v>
      </c>
      <c r="CQ45" s="137" t="n">
        <v>0</v>
      </c>
      <c r="CR45" s="137" t="n">
        <v>0</v>
      </c>
      <c r="CS45" s="138" t="n">
        <v>0</v>
      </c>
      <c r="CU45" s="135" t="n">
        <f aca="false">BB27</f>
        <v>2018</v>
      </c>
      <c r="CV45" s="136" t="n">
        <v>0</v>
      </c>
      <c r="CW45" s="137" t="n">
        <v>0</v>
      </c>
      <c r="CX45" s="137" t="n">
        <v>0</v>
      </c>
      <c r="CY45" s="137" t="n">
        <v>0</v>
      </c>
      <c r="CZ45" s="137" t="n">
        <v>0</v>
      </c>
      <c r="DA45" s="137" t="n">
        <v>0</v>
      </c>
      <c r="DB45" s="137" t="n">
        <v>0</v>
      </c>
      <c r="DC45" s="137" t="n">
        <v>0</v>
      </c>
      <c r="DD45" s="137" t="n">
        <v>0</v>
      </c>
      <c r="DE45" s="137" t="n">
        <v>0</v>
      </c>
      <c r="DF45" s="137" t="n">
        <v>0</v>
      </c>
      <c r="DG45" s="138" t="n">
        <v>0</v>
      </c>
      <c r="DI45" s="135" t="n">
        <f aca="false">BB27</f>
        <v>2018</v>
      </c>
      <c r="DJ45" s="136" t="n">
        <v>0</v>
      </c>
      <c r="DK45" s="137" t="n">
        <v>0</v>
      </c>
      <c r="DL45" s="137" t="n">
        <v>0</v>
      </c>
      <c r="DM45" s="137" t="n">
        <v>0</v>
      </c>
      <c r="DN45" s="137" t="n">
        <v>0</v>
      </c>
      <c r="DO45" s="137" t="n">
        <v>0</v>
      </c>
      <c r="DP45" s="137" t="n">
        <v>0</v>
      </c>
      <c r="DQ45" s="137" t="n">
        <v>0</v>
      </c>
      <c r="DR45" s="137" t="n">
        <v>0</v>
      </c>
      <c r="DS45" s="137" t="n">
        <v>0</v>
      </c>
      <c r="DT45" s="137" t="n">
        <v>0</v>
      </c>
      <c r="DU45" s="138" t="n">
        <v>0</v>
      </c>
    </row>
    <row r="46" customFormat="false" ht="12.75" hidden="false" customHeight="false" outlineLevel="0" collapsed="false">
      <c r="A46" s="0" t="n">
        <f aca="true">IF(ISERROR(MATCH(D46,iRefDt,0)),"",MATCH(D46,iRefDt,0))</f>
        <v>37</v>
      </c>
      <c r="B46" s="92" t="n">
        <f aca="false">MATCH(YEAR(D46),iSpreads)</f>
        <v>2</v>
      </c>
      <c r="C46" s="0" t="n">
        <f aca="false">MONTH(D46)</f>
        <v>2</v>
      </c>
      <c r="D46" s="93" t="n">
        <f aca="false">+EnergyCurve!D46</f>
        <v>37288</v>
      </c>
      <c r="E46" s="94" t="n">
        <f aca="false">VLOOKUP($D46,tblPriorPrice,2)</f>
        <v>160.880996704102</v>
      </c>
      <c r="F46" s="95"/>
      <c r="G46" s="264" t="n">
        <f aca="false">IF(EnergyCurve!G46&lt;200,0.001*EnergyCurve!G46+1,1.2)*EnergyCurve!G46</f>
        <v>162.164</v>
      </c>
      <c r="H46" s="96" t="n">
        <f aca="false">IF(EnergyCurve!H46&lt;200,0.001*EnergyCurve!H46+1,1.2)*EnergyCurve!H46</f>
        <v>155.769</v>
      </c>
      <c r="I46" s="96" t="n">
        <f aca="false">IF(EnergyCurve!I46&lt;200,0.001*EnergyCurve!I46+1,1.2)*EnergyCurve!I46</f>
        <v>181.649</v>
      </c>
      <c r="J46" s="94" t="n">
        <f aca="false">VLOOKUP($D46,tblPriorPrice,3)</f>
        <v>0</v>
      </c>
      <c r="K46" s="95"/>
      <c r="L46" s="264" t="n">
        <v>0</v>
      </c>
      <c r="M46" s="96" t="n">
        <f aca="false">L46</f>
        <v>0</v>
      </c>
      <c r="N46" s="96" t="n">
        <f aca="false">L46</f>
        <v>0</v>
      </c>
      <c r="O46" s="58" t="n">
        <f aca="true">IF($A46="",0,INDEX(tblPosn,$A46,2))</f>
        <v>0</v>
      </c>
      <c r="P46" s="59" t="n">
        <f aca="true">IF($A46="",0,INDEX(tblPosn,$A46,3))</f>
        <v>0</v>
      </c>
      <c r="Q46" s="59" t="n">
        <f aca="true">IF($A46="",0,INDEX(tblPosn,$A46,4))</f>
        <v>0</v>
      </c>
      <c r="R46" s="59" t="n">
        <f aca="true">IF($A46="",0,INDEX(tblPosn,$A46,5))</f>
        <v>0</v>
      </c>
      <c r="S46" s="59" t="n">
        <f aca="true">IF($A46="",0,INDEX(tblPosn,$A46,6))</f>
        <v>0</v>
      </c>
      <c r="T46" s="98" t="n">
        <f aca="false">O46*F46+P46*K46+R46*AC46+S46*AH46/0.72+Q46*X46</f>
        <v>0</v>
      </c>
      <c r="V46" s="161" t="n">
        <f aca="false">D46</f>
        <v>37288</v>
      </c>
      <c r="W46" s="94" t="n">
        <f aca="false">VLOOKUP($D46,tblPriorPrice,4)</f>
        <v>0</v>
      </c>
      <c r="X46" s="162"/>
      <c r="Y46" s="176" t="n">
        <f aca="false">L46</f>
        <v>0</v>
      </c>
      <c r="Z46" s="177" t="n">
        <f aca="false">Y46</f>
        <v>0</v>
      </c>
      <c r="AA46" s="177" t="n">
        <f aca="false">Y46</f>
        <v>0</v>
      </c>
      <c r="AB46" s="94" t="n">
        <f aca="false">VLOOKUP($D46,tblPriorPrice,5)</f>
        <v>0</v>
      </c>
      <c r="AC46" s="162"/>
      <c r="AD46" s="176" t="n">
        <f aca="false">L46</f>
        <v>0</v>
      </c>
      <c r="AE46" s="96" t="n">
        <f aca="false">AD46</f>
        <v>0</v>
      </c>
      <c r="AF46" s="97" t="n">
        <f aca="false">AD46</f>
        <v>0</v>
      </c>
      <c r="AG46" s="94" t="n">
        <f aca="false">VLOOKUP($D46,tblPriorPrice,6)</f>
        <v>0</v>
      </c>
      <c r="AH46" s="182"/>
      <c r="AI46" s="163" t="n">
        <f aca="false">AG46+AH46</f>
        <v>0</v>
      </c>
      <c r="AJ46" s="96" t="n">
        <f aca="false">AI46</f>
        <v>0</v>
      </c>
      <c r="AK46" s="97" t="n">
        <f aca="false">AI46</f>
        <v>0</v>
      </c>
      <c r="AL46" s="178" t="n">
        <v>5</v>
      </c>
      <c r="AM46" s="165" t="n">
        <v>0.15</v>
      </c>
      <c r="AN46" s="166" t="n">
        <f aca="false">EnergyCurve!AN46*2</f>
        <v>0.94</v>
      </c>
      <c r="AO46" s="166" t="n">
        <f aca="false">EnergyCurve!AO46</f>
        <v>0.423</v>
      </c>
      <c r="AP46" s="166" t="n">
        <f aca="false">AN46*1.25</f>
        <v>1.175</v>
      </c>
      <c r="AQ46" s="166" t="n">
        <f aca="false">EnergyCurve!AQ46*2</f>
        <v>0.94</v>
      </c>
      <c r="AR46" s="166" t="n">
        <f aca="false">EnergyCurve!AR46</f>
        <v>0.376</v>
      </c>
      <c r="AS46" s="166" t="n">
        <f aca="false">EnergyCurve!AS46*1.25</f>
        <v>0.705</v>
      </c>
      <c r="AT46" s="168" t="n">
        <f aca="false">EnergyCurve!AT46*2*2</f>
        <v>31.056</v>
      </c>
      <c r="AU46" s="169" t="n">
        <f aca="false">EnergyCurve!AU46</f>
        <v>-1.941</v>
      </c>
      <c r="AV46" s="169" t="n">
        <f aca="false">AT46*1.25</f>
        <v>38.82</v>
      </c>
      <c r="AW46" s="168" t="n">
        <f aca="false">EnergyCurve!AW46*2*2</f>
        <v>7.761</v>
      </c>
      <c r="AX46" s="169" t="n">
        <f aca="false">EnergyCurve!AX46</f>
        <v>-0.4850625</v>
      </c>
      <c r="AY46" s="169" t="n">
        <f aca="false">AW46*1.25</f>
        <v>9.70125</v>
      </c>
      <c r="AZ46" s="167" t="n">
        <v>0</v>
      </c>
      <c r="BA46" s="74"/>
      <c r="BB46" s="161" t="n">
        <f aca="false">EOMONTH(BB45,0)+1</f>
        <v>37257</v>
      </c>
      <c r="BC46" s="183"/>
      <c r="BD46" s="183"/>
      <c r="BE46" s="183"/>
      <c r="BF46" s="183"/>
      <c r="BG46" s="183"/>
      <c r="BH46" s="184"/>
      <c r="BI46" s="183"/>
      <c r="BJ46" s="183"/>
      <c r="BK46" s="183"/>
      <c r="BL46" s="183"/>
      <c r="BM46" s="183"/>
      <c r="BN46" s="184"/>
      <c r="BQ46" s="108" t="n">
        <v>36907.7428240741</v>
      </c>
      <c r="BR46" s="109" t="n">
        <v>36907.7434490741</v>
      </c>
      <c r="BS46" s="110" t="n">
        <v>37500</v>
      </c>
      <c r="BT46" s="111" t="n">
        <v>0</v>
      </c>
      <c r="BU46" s="112" t="n">
        <v>0</v>
      </c>
      <c r="BV46" s="112" t="n">
        <v>0</v>
      </c>
      <c r="BW46" s="112" t="n">
        <v>0</v>
      </c>
      <c r="BX46" s="113" t="n">
        <v>0</v>
      </c>
      <c r="BZ46" s="110" t="n">
        <v>37288</v>
      </c>
      <c r="CA46" s="116" t="n">
        <v>160.880996704102</v>
      </c>
      <c r="CB46" s="116" t="n">
        <v>0</v>
      </c>
      <c r="CC46" s="116" t="n">
        <v>0</v>
      </c>
      <c r="CD46" s="116" t="n">
        <v>0</v>
      </c>
      <c r="CE46" s="117" t="n">
        <v>0</v>
      </c>
      <c r="CG46" s="135" t="n">
        <f aca="false">BB28</f>
        <v>2019</v>
      </c>
      <c r="CH46" s="136" t="n">
        <v>0</v>
      </c>
      <c r="CI46" s="137" t="n">
        <v>0</v>
      </c>
      <c r="CJ46" s="137" t="n">
        <v>0</v>
      </c>
      <c r="CK46" s="137" t="n">
        <v>0</v>
      </c>
      <c r="CL46" s="137" t="n">
        <v>0</v>
      </c>
      <c r="CM46" s="137" t="n">
        <v>0</v>
      </c>
      <c r="CN46" s="137" t="n">
        <v>0</v>
      </c>
      <c r="CO46" s="137" t="n">
        <v>0</v>
      </c>
      <c r="CP46" s="137" t="n">
        <v>0</v>
      </c>
      <c r="CQ46" s="137" t="n">
        <v>0</v>
      </c>
      <c r="CR46" s="137" t="n">
        <v>0</v>
      </c>
      <c r="CS46" s="138" t="n">
        <v>0</v>
      </c>
      <c r="CU46" s="135" t="n">
        <f aca="false">BB28</f>
        <v>2019</v>
      </c>
      <c r="CV46" s="136" t="n">
        <v>0</v>
      </c>
      <c r="CW46" s="137" t="n">
        <v>0</v>
      </c>
      <c r="CX46" s="137" t="n">
        <v>0</v>
      </c>
      <c r="CY46" s="137" t="n">
        <v>0</v>
      </c>
      <c r="CZ46" s="137" t="n">
        <v>0</v>
      </c>
      <c r="DA46" s="137" t="n">
        <v>0</v>
      </c>
      <c r="DB46" s="137" t="n">
        <v>0</v>
      </c>
      <c r="DC46" s="137" t="n">
        <v>0</v>
      </c>
      <c r="DD46" s="137" t="n">
        <v>0</v>
      </c>
      <c r="DE46" s="137" t="n">
        <v>0</v>
      </c>
      <c r="DF46" s="137" t="n">
        <v>0</v>
      </c>
      <c r="DG46" s="138" t="n">
        <v>0</v>
      </c>
      <c r="DI46" s="135" t="n">
        <f aca="false">BB28</f>
        <v>2019</v>
      </c>
      <c r="DJ46" s="136" t="n">
        <v>0</v>
      </c>
      <c r="DK46" s="137" t="n">
        <v>0</v>
      </c>
      <c r="DL46" s="137" t="n">
        <v>0</v>
      </c>
      <c r="DM46" s="137" t="n">
        <v>0</v>
      </c>
      <c r="DN46" s="137" t="n">
        <v>0</v>
      </c>
      <c r="DO46" s="137" t="n">
        <v>0</v>
      </c>
      <c r="DP46" s="137" t="n">
        <v>0</v>
      </c>
      <c r="DQ46" s="137" t="n">
        <v>0</v>
      </c>
      <c r="DR46" s="137" t="n">
        <v>0</v>
      </c>
      <c r="DS46" s="137" t="n">
        <v>0</v>
      </c>
      <c r="DT46" s="137" t="n">
        <v>0</v>
      </c>
      <c r="DU46" s="138" t="n">
        <v>0</v>
      </c>
    </row>
    <row r="47" customFormat="false" ht="12.75" hidden="false" customHeight="false" outlineLevel="0" collapsed="false">
      <c r="A47" s="0" t="n">
        <f aca="true">IF(ISERROR(MATCH(D47,iRefDt,0)),"",MATCH(D47,iRefDt,0))</f>
        <v>38</v>
      </c>
      <c r="B47" s="92" t="n">
        <f aca="false">MATCH(YEAR(D47),iSpreads)</f>
        <v>2</v>
      </c>
      <c r="C47" s="0" t="n">
        <f aca="false">MONTH(D47)</f>
        <v>3</v>
      </c>
      <c r="D47" s="93" t="n">
        <f aca="false">+EnergyCurve!D47</f>
        <v>37316</v>
      </c>
      <c r="E47" s="94" t="n">
        <f aca="false">VLOOKUP($D47,tblPriorPrice,2)</f>
        <v>126.996002197266</v>
      </c>
      <c r="F47" s="95"/>
      <c r="G47" s="264" t="n">
        <f aca="false">IF(EnergyCurve!G47&lt;200,0.001*EnergyCurve!G47+1,1.2)*EnergyCurve!G47</f>
        <v>128.225</v>
      </c>
      <c r="H47" s="96" t="n">
        <f aca="false">IF(EnergyCurve!H47&lt;200,0.001*EnergyCurve!H47+1,1.2)*EnergyCurve!H47</f>
        <v>122.1</v>
      </c>
      <c r="I47" s="96" t="n">
        <f aca="false">IF(EnergyCurve!I47&lt;200,0.001*EnergyCurve!I47+1,1.2)*EnergyCurve!I47</f>
        <v>146.9</v>
      </c>
      <c r="J47" s="94" t="n">
        <f aca="false">VLOOKUP($D47,tblPriorPrice,3)</f>
        <v>0</v>
      </c>
      <c r="K47" s="95"/>
      <c r="L47" s="264" t="n">
        <v>0</v>
      </c>
      <c r="M47" s="96" t="n">
        <f aca="false">L47</f>
        <v>0</v>
      </c>
      <c r="N47" s="96" t="n">
        <f aca="false">L47</f>
        <v>0</v>
      </c>
      <c r="O47" s="58" t="n">
        <f aca="true">IF($A47="",0,INDEX(tblPosn,$A47,2))</f>
        <v>0</v>
      </c>
      <c r="P47" s="59" t="n">
        <f aca="true">IF($A47="",0,INDEX(tblPosn,$A47,3))</f>
        <v>0</v>
      </c>
      <c r="Q47" s="59" t="n">
        <f aca="true">IF($A47="",0,INDEX(tblPosn,$A47,4))</f>
        <v>0</v>
      </c>
      <c r="R47" s="59" t="n">
        <f aca="true">IF($A47="",0,INDEX(tblPosn,$A47,5))</f>
        <v>0</v>
      </c>
      <c r="S47" s="59" t="n">
        <f aca="true">IF($A47="",0,INDEX(tblPosn,$A47,6))</f>
        <v>0</v>
      </c>
      <c r="T47" s="98" t="n">
        <f aca="false">O47*F47+P47*K47+R47*AC47+S47*AH47/0.72+Q47*X47</f>
        <v>0</v>
      </c>
      <c r="V47" s="161" t="n">
        <f aca="false">D47</f>
        <v>37316</v>
      </c>
      <c r="W47" s="94" t="n">
        <f aca="false">VLOOKUP($D47,tblPriorPrice,4)</f>
        <v>0</v>
      </c>
      <c r="X47" s="162"/>
      <c r="Y47" s="176" t="n">
        <f aca="false">L47</f>
        <v>0</v>
      </c>
      <c r="Z47" s="177" t="n">
        <f aca="false">Y47</f>
        <v>0</v>
      </c>
      <c r="AA47" s="177" t="n">
        <f aca="false">Y47</f>
        <v>0</v>
      </c>
      <c r="AB47" s="94" t="n">
        <f aca="false">VLOOKUP($D47,tblPriorPrice,5)</f>
        <v>0</v>
      </c>
      <c r="AC47" s="162"/>
      <c r="AD47" s="176" t="n">
        <f aca="false">L47</f>
        <v>0</v>
      </c>
      <c r="AE47" s="96" t="n">
        <f aca="false">AD47</f>
        <v>0</v>
      </c>
      <c r="AF47" s="97" t="n">
        <f aca="false">AD47</f>
        <v>0</v>
      </c>
      <c r="AG47" s="94" t="n">
        <f aca="false">VLOOKUP($D47,tblPriorPrice,6)</f>
        <v>0</v>
      </c>
      <c r="AH47" s="182"/>
      <c r="AI47" s="163" t="n">
        <f aca="false">AG47+AH47</f>
        <v>0</v>
      </c>
      <c r="AJ47" s="96" t="n">
        <f aca="false">AI47</f>
        <v>0</v>
      </c>
      <c r="AK47" s="97" t="n">
        <f aca="false">AI47</f>
        <v>0</v>
      </c>
      <c r="AL47" s="178" t="n">
        <v>5</v>
      </c>
      <c r="AM47" s="165" t="n">
        <v>0.15</v>
      </c>
      <c r="AN47" s="166" t="n">
        <f aca="false">EnergyCurve!AN47*2</f>
        <v>0.87</v>
      </c>
      <c r="AO47" s="166" t="n">
        <f aca="false">EnergyCurve!AO47</f>
        <v>0.3915</v>
      </c>
      <c r="AP47" s="166" t="n">
        <f aca="false">AN47*1.25</f>
        <v>1.0875</v>
      </c>
      <c r="AQ47" s="166" t="n">
        <f aca="false">EnergyCurve!AQ47*2</f>
        <v>0.87</v>
      </c>
      <c r="AR47" s="166" t="n">
        <f aca="false">EnergyCurve!AR47</f>
        <v>0.348</v>
      </c>
      <c r="AS47" s="166" t="n">
        <f aca="false">EnergyCurve!AS47*1.25</f>
        <v>0.6525</v>
      </c>
      <c r="AT47" s="168" t="n">
        <f aca="false">EnergyCurve!AT47*2*2</f>
        <v>33.27</v>
      </c>
      <c r="AU47" s="169" t="n">
        <f aca="false">EnergyCurve!AU47</f>
        <v>-2.079375</v>
      </c>
      <c r="AV47" s="169" t="n">
        <f aca="false">AT47*1.25</f>
        <v>41.5875</v>
      </c>
      <c r="AW47" s="168" t="n">
        <f aca="false">EnergyCurve!AW47*2*2</f>
        <v>8.1378</v>
      </c>
      <c r="AX47" s="169" t="n">
        <f aca="false">EnergyCurve!AX47</f>
        <v>-0.5086125</v>
      </c>
      <c r="AY47" s="169" t="n">
        <f aca="false">AW47*1.25</f>
        <v>10.17225</v>
      </c>
      <c r="AZ47" s="167" t="n">
        <v>0</v>
      </c>
      <c r="BA47" s="74"/>
      <c r="BB47" s="161" t="n">
        <f aca="false">EOMONTH(BB46,0)+1</f>
        <v>37288</v>
      </c>
      <c r="BC47" s="183"/>
      <c r="BD47" s="183"/>
      <c r="BE47" s="183"/>
      <c r="BF47" s="183"/>
      <c r="BG47" s="183"/>
      <c r="BH47" s="184"/>
      <c r="BI47" s="183"/>
      <c r="BJ47" s="183"/>
      <c r="BK47" s="183"/>
      <c r="BL47" s="183"/>
      <c r="BM47" s="183"/>
      <c r="BN47" s="184"/>
      <c r="BQ47" s="108" t="n">
        <v>36907.7428240741</v>
      </c>
      <c r="BR47" s="109" t="n">
        <v>36907.7434490741</v>
      </c>
      <c r="BS47" s="110" t="n">
        <v>37530</v>
      </c>
      <c r="BT47" s="111" t="n">
        <v>0</v>
      </c>
      <c r="BU47" s="112" t="n">
        <v>0</v>
      </c>
      <c r="BV47" s="112" t="n">
        <v>0</v>
      </c>
      <c r="BW47" s="112" t="n">
        <v>0</v>
      </c>
      <c r="BX47" s="113" t="n">
        <v>0</v>
      </c>
      <c r="BZ47" s="110" t="n">
        <v>37316</v>
      </c>
      <c r="CA47" s="116" t="n">
        <v>126.996002197266</v>
      </c>
      <c r="CB47" s="116" t="n">
        <v>0</v>
      </c>
      <c r="CC47" s="116" t="n">
        <v>0</v>
      </c>
      <c r="CD47" s="116" t="n">
        <v>0</v>
      </c>
      <c r="CE47" s="117" t="n">
        <v>0</v>
      </c>
      <c r="CG47" s="152" t="n">
        <f aca="false">BB29</f>
        <v>2020</v>
      </c>
      <c r="CH47" s="136" t="n">
        <v>0</v>
      </c>
      <c r="CI47" s="137" t="n">
        <v>0</v>
      </c>
      <c r="CJ47" s="137" t="n">
        <v>0</v>
      </c>
      <c r="CK47" s="137" t="n">
        <v>0</v>
      </c>
      <c r="CL47" s="137" t="n">
        <v>0</v>
      </c>
      <c r="CM47" s="137" t="n">
        <v>0</v>
      </c>
      <c r="CN47" s="137" t="n">
        <v>0</v>
      </c>
      <c r="CO47" s="137" t="n">
        <v>0</v>
      </c>
      <c r="CP47" s="137" t="n">
        <v>0</v>
      </c>
      <c r="CQ47" s="137" t="n">
        <v>0</v>
      </c>
      <c r="CR47" s="137" t="n">
        <v>0</v>
      </c>
      <c r="CS47" s="138" t="n">
        <v>0</v>
      </c>
      <c r="CU47" s="152" t="n">
        <f aca="false">BB29</f>
        <v>2020</v>
      </c>
      <c r="CV47" s="136" t="n">
        <v>0</v>
      </c>
      <c r="CW47" s="137" t="n">
        <v>0</v>
      </c>
      <c r="CX47" s="137" t="n">
        <v>0</v>
      </c>
      <c r="CY47" s="137" t="n">
        <v>0</v>
      </c>
      <c r="CZ47" s="137" t="n">
        <v>0</v>
      </c>
      <c r="DA47" s="137" t="n">
        <v>0</v>
      </c>
      <c r="DB47" s="137" t="n">
        <v>0</v>
      </c>
      <c r="DC47" s="137" t="n">
        <v>0</v>
      </c>
      <c r="DD47" s="137" t="n">
        <v>0</v>
      </c>
      <c r="DE47" s="137" t="n">
        <v>0</v>
      </c>
      <c r="DF47" s="137" t="n">
        <v>0</v>
      </c>
      <c r="DG47" s="138" t="n">
        <v>0</v>
      </c>
      <c r="DI47" s="152" t="n">
        <f aca="false">BB29</f>
        <v>2020</v>
      </c>
      <c r="DJ47" s="136" t="n">
        <v>0</v>
      </c>
      <c r="DK47" s="137" t="n">
        <v>0</v>
      </c>
      <c r="DL47" s="137" t="n">
        <v>0</v>
      </c>
      <c r="DM47" s="137" t="n">
        <v>0</v>
      </c>
      <c r="DN47" s="137" t="n">
        <v>0</v>
      </c>
      <c r="DO47" s="137" t="n">
        <v>0</v>
      </c>
      <c r="DP47" s="137" t="n">
        <v>0</v>
      </c>
      <c r="DQ47" s="137" t="n">
        <v>0</v>
      </c>
      <c r="DR47" s="137" t="n">
        <v>0</v>
      </c>
      <c r="DS47" s="137" t="n">
        <v>0</v>
      </c>
      <c r="DT47" s="137" t="n">
        <v>0</v>
      </c>
      <c r="DU47" s="138" t="n">
        <v>0</v>
      </c>
    </row>
    <row r="48" customFormat="false" ht="12.75" hidden="false" customHeight="false" outlineLevel="0" collapsed="false">
      <c r="A48" s="0" t="n">
        <f aca="true">IF(ISERROR(MATCH(D48,iRefDt,0)),"",MATCH(D48,iRefDt,0))</f>
        <v>39</v>
      </c>
      <c r="B48" s="92" t="n">
        <f aca="false">MATCH(YEAR(D48),iSpreads)</f>
        <v>2</v>
      </c>
      <c r="C48" s="0" t="n">
        <f aca="false">MONTH(D48)</f>
        <v>4</v>
      </c>
      <c r="D48" s="93" t="n">
        <f aca="false">+EnergyCurve!D48</f>
        <v>37347</v>
      </c>
      <c r="E48" s="94" t="n">
        <f aca="false">VLOOKUP($D48,tblPriorPrice,2)</f>
        <v>69.2249984741211</v>
      </c>
      <c r="F48" s="95"/>
      <c r="G48" s="264" t="n">
        <f aca="false">IF(EnergyCurve!G48&lt;200,0.001*EnergyCurve!G48+1,1.2)*EnergyCurve!G48</f>
        <v>70.356</v>
      </c>
      <c r="H48" s="96" t="n">
        <f aca="false">IF(EnergyCurve!H48&lt;200,0.001*EnergyCurve!H48+1,1.2)*EnergyCurve!H48</f>
        <v>64.721</v>
      </c>
      <c r="I48" s="96" t="n">
        <f aca="false">IF(EnergyCurve!I48&lt;200,0.001*EnergyCurve!I48+1,1.2)*EnergyCurve!I48</f>
        <v>87.561</v>
      </c>
      <c r="J48" s="94" t="n">
        <f aca="false">VLOOKUP($D48,tblPriorPrice,3)</f>
        <v>0</v>
      </c>
      <c r="K48" s="95"/>
      <c r="L48" s="264" t="n">
        <v>0</v>
      </c>
      <c r="M48" s="96" t="n">
        <f aca="false">L48</f>
        <v>0</v>
      </c>
      <c r="N48" s="96" t="n">
        <f aca="false">L48</f>
        <v>0</v>
      </c>
      <c r="O48" s="58" t="n">
        <f aca="true">IF($A48="",0,INDEX(tblPosn,$A48,2))</f>
        <v>0</v>
      </c>
      <c r="P48" s="59" t="n">
        <f aca="true">IF($A48="",0,INDEX(tblPosn,$A48,3))</f>
        <v>0</v>
      </c>
      <c r="Q48" s="59" t="n">
        <f aca="true">IF($A48="",0,INDEX(tblPosn,$A48,4))</f>
        <v>0</v>
      </c>
      <c r="R48" s="59" t="n">
        <f aca="true">IF($A48="",0,INDEX(tblPosn,$A48,5))</f>
        <v>0</v>
      </c>
      <c r="S48" s="59" t="n">
        <f aca="true">IF($A48="",0,INDEX(tblPosn,$A48,6))</f>
        <v>0</v>
      </c>
      <c r="T48" s="98" t="n">
        <f aca="false">O48*F48+P48*K48+R48*AC48+S48*AH48/0.72+Q48*X48</f>
        <v>0</v>
      </c>
      <c r="V48" s="161" t="n">
        <f aca="false">D48</f>
        <v>37347</v>
      </c>
      <c r="W48" s="94" t="n">
        <f aca="false">VLOOKUP($D48,tblPriorPrice,4)</f>
        <v>0</v>
      </c>
      <c r="X48" s="162"/>
      <c r="Y48" s="176" t="n">
        <f aca="false">L48</f>
        <v>0</v>
      </c>
      <c r="Z48" s="177" t="n">
        <f aca="false">Y48</f>
        <v>0</v>
      </c>
      <c r="AA48" s="177" t="n">
        <f aca="false">Y48</f>
        <v>0</v>
      </c>
      <c r="AB48" s="94" t="n">
        <f aca="false">VLOOKUP($D48,tblPriorPrice,5)</f>
        <v>0</v>
      </c>
      <c r="AC48" s="162"/>
      <c r="AD48" s="176" t="n">
        <f aca="false">L48</f>
        <v>0</v>
      </c>
      <c r="AE48" s="96" t="n">
        <f aca="false">AD48</f>
        <v>0</v>
      </c>
      <c r="AF48" s="97" t="n">
        <f aca="false">AD48</f>
        <v>0</v>
      </c>
      <c r="AG48" s="94" t="n">
        <f aca="false">VLOOKUP($D48,tblPriorPrice,6)</f>
        <v>0</v>
      </c>
      <c r="AH48" s="182"/>
      <c r="AI48" s="163" t="n">
        <f aca="false">AG48+AH48</f>
        <v>0</v>
      </c>
      <c r="AJ48" s="96" t="n">
        <f aca="false">AI48</f>
        <v>0</v>
      </c>
      <c r="AK48" s="97" t="n">
        <f aca="false">AI48</f>
        <v>0</v>
      </c>
      <c r="AL48" s="178" t="n">
        <v>6</v>
      </c>
      <c r="AM48" s="165" t="n">
        <v>0.15</v>
      </c>
      <c r="AN48" s="166" t="n">
        <f aca="false">EnergyCurve!AN48*2</f>
        <v>0.72</v>
      </c>
      <c r="AO48" s="166" t="n">
        <f aca="false">EnergyCurve!AO48</f>
        <v>0.324</v>
      </c>
      <c r="AP48" s="166" t="n">
        <f aca="false">AN48*1.25</f>
        <v>0.9</v>
      </c>
      <c r="AQ48" s="166" t="n">
        <f aca="false">EnergyCurve!AQ48*2</f>
        <v>0.72</v>
      </c>
      <c r="AR48" s="166" t="n">
        <f aca="false">EnergyCurve!AR48</f>
        <v>0.288</v>
      </c>
      <c r="AS48" s="166" t="n">
        <f aca="false">EnergyCurve!AS48*1.25</f>
        <v>0.54</v>
      </c>
      <c r="AT48" s="168" t="n">
        <f aca="false">EnergyCurve!AT48*2*2</f>
        <v>17.5437330495317</v>
      </c>
      <c r="AU48" s="169" t="n">
        <f aca="false">EnergyCurve!AU48</f>
        <v>-1.09648331559573</v>
      </c>
      <c r="AV48" s="169" t="n">
        <f aca="false">AT48*1.25</f>
        <v>21.9296663119147</v>
      </c>
      <c r="AW48" s="168" t="n">
        <f aca="false">EnergyCurve!AW48*2*2</f>
        <v>8.9856</v>
      </c>
      <c r="AX48" s="169" t="n">
        <f aca="false">EnergyCurve!AX48</f>
        <v>-0.5616</v>
      </c>
      <c r="AY48" s="169" t="n">
        <f aca="false">AW48*1.25</f>
        <v>11.232</v>
      </c>
      <c r="AZ48" s="167" t="n">
        <v>0</v>
      </c>
      <c r="BA48" s="74"/>
      <c r="BB48" s="161" t="n">
        <f aca="false">EOMONTH(BB47,0)+1</f>
        <v>37316</v>
      </c>
      <c r="BC48" s="183"/>
      <c r="BD48" s="183"/>
      <c r="BE48" s="183"/>
      <c r="BF48" s="183"/>
      <c r="BG48" s="183"/>
      <c r="BH48" s="184"/>
      <c r="BI48" s="183"/>
      <c r="BJ48" s="183"/>
      <c r="BK48" s="183"/>
      <c r="BL48" s="183"/>
      <c r="BM48" s="183"/>
      <c r="BN48" s="184"/>
      <c r="BQ48" s="108" t="n">
        <v>36907.7428240741</v>
      </c>
      <c r="BR48" s="109" t="n">
        <v>36907.7434490741</v>
      </c>
      <c r="BS48" s="110" t="n">
        <v>37561</v>
      </c>
      <c r="BT48" s="111" t="n">
        <v>0</v>
      </c>
      <c r="BU48" s="112" t="n">
        <v>0</v>
      </c>
      <c r="BV48" s="112" t="n">
        <v>0</v>
      </c>
      <c r="BW48" s="112" t="n">
        <v>0</v>
      </c>
      <c r="BX48" s="113" t="n">
        <v>0</v>
      </c>
      <c r="BZ48" s="110" t="n">
        <v>37347</v>
      </c>
      <c r="CA48" s="116" t="n">
        <v>69.2249984741211</v>
      </c>
      <c r="CB48" s="116" t="n">
        <v>0</v>
      </c>
      <c r="CC48" s="116" t="n">
        <v>0</v>
      </c>
      <c r="CD48" s="116" t="n">
        <v>0</v>
      </c>
      <c r="CE48" s="117" t="n">
        <v>0</v>
      </c>
    </row>
    <row r="49" customFormat="false" ht="12.75" hidden="false" customHeight="false" outlineLevel="0" collapsed="false">
      <c r="A49" s="0" t="n">
        <f aca="true">IF(ISERROR(MATCH(D49,iRefDt,0)),"",MATCH(D49,iRefDt,0))</f>
        <v>40</v>
      </c>
      <c r="B49" s="92" t="n">
        <f aca="false">MATCH(YEAR(D49),iSpreads)</f>
        <v>2</v>
      </c>
      <c r="C49" s="0" t="n">
        <f aca="false">MONTH(D49)</f>
        <v>5</v>
      </c>
      <c r="D49" s="93" t="n">
        <f aca="false">+EnergyCurve!D49</f>
        <v>37377</v>
      </c>
      <c r="E49" s="94" t="n">
        <f aca="false">VLOOKUP($D49,tblPriorPrice,2)</f>
        <v>73.7610015869141</v>
      </c>
      <c r="F49" s="95"/>
      <c r="G49" s="264" t="n">
        <f aca="false">IF(EnergyCurve!G49&lt;200,0.001*EnergyCurve!G49+1,1.2)*EnergyCurve!G49</f>
        <v>74.9</v>
      </c>
      <c r="H49" s="96" t="n">
        <f aca="false">IF(EnergyCurve!H49&lt;200,0.001*EnergyCurve!H49+1,1.2)*EnergyCurve!H49</f>
        <v>69.225</v>
      </c>
      <c r="I49" s="96" t="n">
        <f aca="false">IF(EnergyCurve!I49&lt;200,0.001*EnergyCurve!I49+1,1.2)*EnergyCurve!I49</f>
        <v>92.225</v>
      </c>
      <c r="J49" s="94" t="n">
        <f aca="false">VLOOKUP($D49,tblPriorPrice,3)</f>
        <v>0</v>
      </c>
      <c r="K49" s="95"/>
      <c r="L49" s="264" t="n">
        <v>0</v>
      </c>
      <c r="M49" s="96" t="n">
        <f aca="false">L49</f>
        <v>0</v>
      </c>
      <c r="N49" s="96" t="n">
        <f aca="false">L49</f>
        <v>0</v>
      </c>
      <c r="O49" s="58" t="n">
        <f aca="true">IF($A49="",0,INDEX(tblPosn,$A49,2))</f>
        <v>0</v>
      </c>
      <c r="P49" s="59" t="n">
        <f aca="true">IF($A49="",0,INDEX(tblPosn,$A49,3))</f>
        <v>0</v>
      </c>
      <c r="Q49" s="59" t="n">
        <f aca="true">IF($A49="",0,INDEX(tblPosn,$A49,4))</f>
        <v>0</v>
      </c>
      <c r="R49" s="59" t="n">
        <f aca="true">IF($A49="",0,INDEX(tblPosn,$A49,5))</f>
        <v>0</v>
      </c>
      <c r="S49" s="59" t="n">
        <f aca="true">IF($A49="",0,INDEX(tblPosn,$A49,6))</f>
        <v>0</v>
      </c>
      <c r="T49" s="98" t="n">
        <f aca="false">O49*F49+P49*K49+R49*AC49+S49*AH49/0.72+Q49*X49</f>
        <v>0</v>
      </c>
      <c r="V49" s="161" t="n">
        <f aca="false">D49</f>
        <v>37377</v>
      </c>
      <c r="W49" s="94" t="n">
        <f aca="false">VLOOKUP($D49,tblPriorPrice,4)</f>
        <v>0</v>
      </c>
      <c r="X49" s="162"/>
      <c r="Y49" s="176" t="n">
        <f aca="false">L49</f>
        <v>0</v>
      </c>
      <c r="Z49" s="177" t="n">
        <f aca="false">Y49</f>
        <v>0</v>
      </c>
      <c r="AA49" s="177" t="n">
        <f aca="false">Y49</f>
        <v>0</v>
      </c>
      <c r="AB49" s="94" t="n">
        <f aca="false">VLOOKUP($D49,tblPriorPrice,5)</f>
        <v>0</v>
      </c>
      <c r="AC49" s="162"/>
      <c r="AD49" s="176" t="n">
        <f aca="false">L49</f>
        <v>0</v>
      </c>
      <c r="AE49" s="96" t="n">
        <f aca="false">AD49</f>
        <v>0</v>
      </c>
      <c r="AF49" s="97" t="n">
        <f aca="false">AD49</f>
        <v>0</v>
      </c>
      <c r="AG49" s="94" t="n">
        <f aca="false">VLOOKUP($D49,tblPriorPrice,6)</f>
        <v>0</v>
      </c>
      <c r="AH49" s="182"/>
      <c r="AI49" s="163" t="n">
        <f aca="false">AG49+AH49</f>
        <v>0</v>
      </c>
      <c r="AJ49" s="96" t="n">
        <f aca="false">AI49</f>
        <v>0</v>
      </c>
      <c r="AK49" s="97" t="n">
        <f aca="false">AI49</f>
        <v>0</v>
      </c>
      <c r="AL49" s="178" t="n">
        <v>6</v>
      </c>
      <c r="AM49" s="165" t="n">
        <v>0.15</v>
      </c>
      <c r="AN49" s="166" t="n">
        <f aca="false">EnergyCurve!AN49*2</f>
        <v>0.67</v>
      </c>
      <c r="AO49" s="166" t="n">
        <f aca="false">EnergyCurve!AO49</f>
        <v>0.3015</v>
      </c>
      <c r="AP49" s="166" t="n">
        <f aca="false">AN49*1.25</f>
        <v>0.8375</v>
      </c>
      <c r="AQ49" s="166" t="n">
        <f aca="false">EnergyCurve!AQ49*2</f>
        <v>0.67</v>
      </c>
      <c r="AR49" s="166" t="n">
        <f aca="false">EnergyCurve!AR49</f>
        <v>0.268</v>
      </c>
      <c r="AS49" s="166" t="n">
        <f aca="false">EnergyCurve!AS49*1.25</f>
        <v>0.5025</v>
      </c>
      <c r="AT49" s="168" t="n">
        <f aca="false">EnergyCurve!AT49*2*2</f>
        <v>19.0436558479145</v>
      </c>
      <c r="AU49" s="169" t="n">
        <f aca="false">EnergyCurve!AU49</f>
        <v>-1.19022849049465</v>
      </c>
      <c r="AV49" s="169" t="n">
        <f aca="false">AT49*1.25</f>
        <v>23.8045698098931</v>
      </c>
      <c r="AW49" s="168" t="n">
        <f aca="false">EnergyCurve!AW49*2*2</f>
        <v>8.7972</v>
      </c>
      <c r="AX49" s="169" t="n">
        <f aca="false">EnergyCurve!AX49</f>
        <v>-0.549825</v>
      </c>
      <c r="AY49" s="169" t="n">
        <f aca="false">AW49*1.25</f>
        <v>10.9965</v>
      </c>
      <c r="AZ49" s="167" t="n">
        <v>0</v>
      </c>
      <c r="BA49" s="74"/>
      <c r="BB49" s="161" t="n">
        <f aca="false">EOMONTH(BB48,0)+1</f>
        <v>37347</v>
      </c>
      <c r="BC49" s="183"/>
      <c r="BD49" s="183"/>
      <c r="BE49" s="183"/>
      <c r="BF49" s="183"/>
      <c r="BG49" s="183"/>
      <c r="BH49" s="184"/>
      <c r="BI49" s="183"/>
      <c r="BJ49" s="183"/>
      <c r="BK49" s="183"/>
      <c r="BL49" s="183"/>
      <c r="BM49" s="183"/>
      <c r="BN49" s="184"/>
      <c r="BQ49" s="108" t="n">
        <v>36907.7428240741</v>
      </c>
      <c r="BR49" s="109" t="n">
        <v>36907.7434490741</v>
      </c>
      <c r="BS49" s="110" t="n">
        <v>37591</v>
      </c>
      <c r="BT49" s="111" t="n">
        <v>0</v>
      </c>
      <c r="BU49" s="112" t="n">
        <v>0</v>
      </c>
      <c r="BV49" s="112" t="n">
        <v>0</v>
      </c>
      <c r="BW49" s="112" t="n">
        <v>0</v>
      </c>
      <c r="BX49" s="113" t="n">
        <v>0</v>
      </c>
      <c r="BZ49" s="110" t="n">
        <v>37377</v>
      </c>
      <c r="CA49" s="116" t="n">
        <v>73.7610015869141</v>
      </c>
      <c r="CB49" s="116" t="n">
        <v>0</v>
      </c>
      <c r="CC49" s="116" t="n">
        <v>0</v>
      </c>
      <c r="CD49" s="116" t="n">
        <v>0</v>
      </c>
      <c r="CE49" s="117" t="n">
        <v>0</v>
      </c>
      <c r="CG49" s="105" t="s">
        <v>84</v>
      </c>
      <c r="CH49" s="118"/>
      <c r="CI49" s="118"/>
      <c r="CJ49" s="119"/>
      <c r="CU49" s="105" t="s">
        <v>84</v>
      </c>
      <c r="CV49" s="118"/>
      <c r="CW49" s="118"/>
      <c r="CX49" s="119"/>
      <c r="DI49" s="105" t="s">
        <v>84</v>
      </c>
      <c r="DJ49" s="118"/>
      <c r="DK49" s="118"/>
      <c r="DL49" s="119"/>
    </row>
    <row r="50" customFormat="false" ht="12.75" hidden="false" customHeight="false" outlineLevel="0" collapsed="false">
      <c r="A50" s="0" t="n">
        <f aca="true">IF(ISERROR(MATCH(D50,iRefDt,0)),"",MATCH(D50,iRefDt,0))</f>
        <v>41</v>
      </c>
      <c r="B50" s="92" t="n">
        <f aca="false">MATCH(YEAR(D50),iSpreads)</f>
        <v>2</v>
      </c>
      <c r="C50" s="0" t="n">
        <f aca="false">MONTH(D50)</f>
        <v>6</v>
      </c>
      <c r="D50" s="93" t="n">
        <f aca="false">+EnergyCurve!D50</f>
        <v>37408</v>
      </c>
      <c r="E50" s="94" t="n">
        <f aca="false">VLOOKUP($D50,tblPriorPrice,2)</f>
        <v>85.2409973144531</v>
      </c>
      <c r="F50" s="95"/>
      <c r="G50" s="264" t="n">
        <f aca="false">IF(EnergyCurve!G50&lt;200,0.001*EnergyCurve!G50+1,1.2)*EnergyCurve!G50</f>
        <v>86.4</v>
      </c>
      <c r="H50" s="96" t="n">
        <f aca="false">IF(EnergyCurve!H50&lt;200,0.001*EnergyCurve!H50+1,1.2)*EnergyCurve!H50</f>
        <v>80.625</v>
      </c>
      <c r="I50" s="96" t="n">
        <f aca="false">IF(EnergyCurve!I50&lt;200,0.001*EnergyCurve!I50+1,1.2)*EnergyCurve!I50</f>
        <v>104.025</v>
      </c>
      <c r="J50" s="94" t="n">
        <f aca="false">VLOOKUP($D50,tblPriorPrice,3)</f>
        <v>0</v>
      </c>
      <c r="K50" s="95"/>
      <c r="L50" s="264" t="n">
        <v>0</v>
      </c>
      <c r="M50" s="96" t="n">
        <f aca="false">L50</f>
        <v>0</v>
      </c>
      <c r="N50" s="96" t="n">
        <f aca="false">L50</f>
        <v>0</v>
      </c>
      <c r="O50" s="58" t="n">
        <f aca="true">IF($A50="",0,INDEX(tblPosn,$A50,2))</f>
        <v>0</v>
      </c>
      <c r="P50" s="59" t="n">
        <f aca="true">IF($A50="",0,INDEX(tblPosn,$A50,3))</f>
        <v>0</v>
      </c>
      <c r="Q50" s="59" t="n">
        <f aca="true">IF($A50="",0,INDEX(tblPosn,$A50,4))</f>
        <v>0</v>
      </c>
      <c r="R50" s="59" t="n">
        <f aca="true">IF($A50="",0,INDEX(tblPosn,$A50,5))</f>
        <v>0</v>
      </c>
      <c r="S50" s="59" t="n">
        <f aca="true">IF($A50="",0,INDEX(tblPosn,$A50,6))</f>
        <v>0</v>
      </c>
      <c r="T50" s="98" t="n">
        <f aca="false">O50*F50+P50*K50+R50*AC50+S50*AH50/0.72+Q50*X50</f>
        <v>0</v>
      </c>
      <c r="V50" s="161" t="n">
        <f aca="false">D50</f>
        <v>37408</v>
      </c>
      <c r="W50" s="94" t="n">
        <f aca="false">VLOOKUP($D50,tblPriorPrice,4)</f>
        <v>0</v>
      </c>
      <c r="X50" s="162"/>
      <c r="Y50" s="176" t="n">
        <f aca="false">L50</f>
        <v>0</v>
      </c>
      <c r="Z50" s="177" t="n">
        <f aca="false">Y50</f>
        <v>0</v>
      </c>
      <c r="AA50" s="177" t="n">
        <f aca="false">Y50</f>
        <v>0</v>
      </c>
      <c r="AB50" s="94" t="n">
        <f aca="false">VLOOKUP($D50,tblPriorPrice,5)</f>
        <v>0</v>
      </c>
      <c r="AC50" s="162"/>
      <c r="AD50" s="176" t="n">
        <f aca="false">L50</f>
        <v>0</v>
      </c>
      <c r="AE50" s="96" t="n">
        <f aca="false">AD50</f>
        <v>0</v>
      </c>
      <c r="AF50" s="97" t="n">
        <f aca="false">AD50</f>
        <v>0</v>
      </c>
      <c r="AG50" s="94" t="n">
        <f aca="false">VLOOKUP($D50,tblPriorPrice,6)</f>
        <v>0</v>
      </c>
      <c r="AH50" s="182"/>
      <c r="AI50" s="163" t="n">
        <f aca="false">AG50+AH50</f>
        <v>0</v>
      </c>
      <c r="AJ50" s="96" t="n">
        <f aca="false">AI50</f>
        <v>0</v>
      </c>
      <c r="AK50" s="97" t="n">
        <f aca="false">AI50</f>
        <v>0</v>
      </c>
      <c r="AL50" s="178" t="n">
        <v>6</v>
      </c>
      <c r="AM50" s="165" t="n">
        <v>0.2</v>
      </c>
      <c r="AN50" s="166" t="n">
        <f aca="false">EnergyCurve!AN50*2</f>
        <v>0.655</v>
      </c>
      <c r="AO50" s="166" t="n">
        <f aca="false">EnergyCurve!AO50</f>
        <v>0.29475</v>
      </c>
      <c r="AP50" s="166" t="n">
        <f aca="false">AN50*1.25</f>
        <v>0.81875</v>
      </c>
      <c r="AQ50" s="166" t="n">
        <f aca="false">EnergyCurve!AQ50*2</f>
        <v>0.655</v>
      </c>
      <c r="AR50" s="166" t="n">
        <f aca="false">EnergyCurve!AR50</f>
        <v>0.262</v>
      </c>
      <c r="AS50" s="166" t="n">
        <f aca="false">EnergyCurve!AS50*1.25</f>
        <v>0.49125</v>
      </c>
      <c r="AT50" s="168" t="n">
        <f aca="false">EnergyCurve!AT50*2*2</f>
        <v>22.7931804034804</v>
      </c>
      <c r="AU50" s="169" t="n">
        <f aca="false">EnergyCurve!AU50</f>
        <v>-1.42457377521753</v>
      </c>
      <c r="AV50" s="169" t="n">
        <f aca="false">AT50*1.25</f>
        <v>28.4914755043506</v>
      </c>
      <c r="AW50" s="168" t="n">
        <f aca="false">EnergyCurve!AW50*2*2</f>
        <v>8.3262</v>
      </c>
      <c r="AX50" s="169" t="n">
        <f aca="false">EnergyCurve!AX50</f>
        <v>-0.5203875</v>
      </c>
      <c r="AY50" s="169" t="n">
        <f aca="false">AW50*1.25</f>
        <v>10.40775</v>
      </c>
      <c r="AZ50" s="167" t="n">
        <v>0</v>
      </c>
      <c r="BA50" s="74"/>
      <c r="BB50" s="161" t="n">
        <f aca="false">EOMONTH(BB49,0)+1</f>
        <v>37377</v>
      </c>
      <c r="BC50" s="183"/>
      <c r="BD50" s="183"/>
      <c r="BE50" s="183"/>
      <c r="BF50" s="183"/>
      <c r="BG50" s="183"/>
      <c r="BH50" s="184"/>
      <c r="BI50" s="183"/>
      <c r="BJ50" s="183"/>
      <c r="BK50" s="183"/>
      <c r="BL50" s="183"/>
      <c r="BM50" s="183"/>
      <c r="BN50" s="184"/>
      <c r="BQ50" s="108" t="n">
        <v>36907.7428240741</v>
      </c>
      <c r="BR50" s="109" t="n">
        <v>36907.7434490741</v>
      </c>
      <c r="BS50" s="110" t="n">
        <v>37622</v>
      </c>
      <c r="BT50" s="111" t="n">
        <v>0</v>
      </c>
      <c r="BU50" s="112" t="n">
        <v>0</v>
      </c>
      <c r="BV50" s="112" t="n">
        <v>0</v>
      </c>
      <c r="BW50" s="112" t="n">
        <v>0</v>
      </c>
      <c r="BX50" s="113" t="n">
        <v>0</v>
      </c>
      <c r="BZ50" s="110" t="n">
        <v>37408</v>
      </c>
      <c r="CA50" s="116" t="n">
        <v>85.2409973144531</v>
      </c>
      <c r="CB50" s="116" t="n">
        <v>0</v>
      </c>
      <c r="CC50" s="116" t="n">
        <v>0</v>
      </c>
      <c r="CD50" s="116" t="n">
        <v>0</v>
      </c>
      <c r="CE50" s="117" t="n">
        <v>0</v>
      </c>
      <c r="CG50" s="125" t="s">
        <v>99</v>
      </c>
      <c r="CH50" s="126" t="s">
        <v>100</v>
      </c>
      <c r="CI50" s="126" t="s">
        <v>101</v>
      </c>
      <c r="CJ50" s="126" t="s">
        <v>102</v>
      </c>
      <c r="CK50" s="126" t="s">
        <v>103</v>
      </c>
      <c r="CL50" s="126" t="s">
        <v>104</v>
      </c>
      <c r="CM50" s="126" t="s">
        <v>105</v>
      </c>
      <c r="CN50" s="126" t="s">
        <v>106</v>
      </c>
      <c r="CO50" s="126" t="s">
        <v>107</v>
      </c>
      <c r="CP50" s="126" t="s">
        <v>108</v>
      </c>
      <c r="CQ50" s="126" t="s">
        <v>109</v>
      </c>
      <c r="CR50" s="126" t="s">
        <v>110</v>
      </c>
      <c r="CS50" s="126" t="s">
        <v>111</v>
      </c>
      <c r="CU50" s="125" t="s">
        <v>99</v>
      </c>
      <c r="CV50" s="126" t="s">
        <v>100</v>
      </c>
      <c r="CW50" s="126" t="s">
        <v>101</v>
      </c>
      <c r="CX50" s="126" t="s">
        <v>102</v>
      </c>
      <c r="CY50" s="126" t="s">
        <v>103</v>
      </c>
      <c r="CZ50" s="126" t="s">
        <v>104</v>
      </c>
      <c r="DA50" s="126" t="s">
        <v>105</v>
      </c>
      <c r="DB50" s="126" t="s">
        <v>106</v>
      </c>
      <c r="DC50" s="126" t="s">
        <v>107</v>
      </c>
      <c r="DD50" s="126" t="s">
        <v>108</v>
      </c>
      <c r="DE50" s="126" t="s">
        <v>109</v>
      </c>
      <c r="DF50" s="126" t="s">
        <v>110</v>
      </c>
      <c r="DG50" s="126" t="s">
        <v>111</v>
      </c>
      <c r="DI50" s="125" t="s">
        <v>99</v>
      </c>
      <c r="DJ50" s="126" t="s">
        <v>100</v>
      </c>
      <c r="DK50" s="126" t="s">
        <v>101</v>
      </c>
      <c r="DL50" s="126" t="s">
        <v>102</v>
      </c>
      <c r="DM50" s="126" t="s">
        <v>103</v>
      </c>
      <c r="DN50" s="126" t="s">
        <v>104</v>
      </c>
      <c r="DO50" s="126" t="s">
        <v>105</v>
      </c>
      <c r="DP50" s="126" t="s">
        <v>106</v>
      </c>
      <c r="DQ50" s="126" t="s">
        <v>107</v>
      </c>
      <c r="DR50" s="126" t="s">
        <v>108</v>
      </c>
      <c r="DS50" s="126" t="s">
        <v>109</v>
      </c>
      <c r="DT50" s="126" t="s">
        <v>110</v>
      </c>
      <c r="DU50" s="126" t="s">
        <v>111</v>
      </c>
    </row>
    <row r="51" customFormat="false" ht="12.75" hidden="false" customHeight="false" outlineLevel="0" collapsed="false">
      <c r="A51" s="0" t="n">
        <f aca="true">IF(ISERROR(MATCH(D51,iRefDt,0)),"",MATCH(D51,iRefDt,0))</f>
        <v>42</v>
      </c>
      <c r="B51" s="92" t="n">
        <f aca="false">MATCH(YEAR(D51),iSpreads)</f>
        <v>2</v>
      </c>
      <c r="C51" s="0" t="n">
        <f aca="false">MONTH(D51)</f>
        <v>7</v>
      </c>
      <c r="D51" s="93" t="n">
        <f aca="false">+EnergyCurve!D51</f>
        <v>37438</v>
      </c>
      <c r="E51" s="94" t="n">
        <f aca="false">VLOOKUP($D51,tblPriorPrice,2)</f>
        <v>116.025001525879</v>
      </c>
      <c r="F51" s="95"/>
      <c r="G51" s="264" t="n">
        <f aca="false">IF(EnergyCurve!G51&lt;200,0.001*EnergyCurve!G51+1,1.2)*EnergyCurve!G51</f>
        <v>117.236</v>
      </c>
      <c r="H51" s="96" t="n">
        <f aca="false">IF(EnergyCurve!H51&lt;200,0.001*EnergyCurve!H51+1,1.2)*EnergyCurve!H51</f>
        <v>111.201</v>
      </c>
      <c r="I51" s="96" t="n">
        <f aca="false">IF(EnergyCurve!I51&lt;200,0.001*EnergyCurve!I51+1,1.2)*EnergyCurve!I51</f>
        <v>135.641</v>
      </c>
      <c r="J51" s="94" t="n">
        <f aca="false">VLOOKUP($D51,tblPriorPrice,3)</f>
        <v>0</v>
      </c>
      <c r="K51" s="95"/>
      <c r="L51" s="264" t="n">
        <v>0</v>
      </c>
      <c r="M51" s="96" t="n">
        <f aca="false">L51</f>
        <v>0</v>
      </c>
      <c r="N51" s="96" t="n">
        <f aca="false">L51</f>
        <v>0</v>
      </c>
      <c r="O51" s="58" t="n">
        <f aca="true">IF($A51="",0,INDEX(tblPosn,$A51,2))</f>
        <v>0</v>
      </c>
      <c r="P51" s="59" t="n">
        <f aca="true">IF($A51="",0,INDEX(tblPosn,$A51,3))</f>
        <v>0</v>
      </c>
      <c r="Q51" s="59" t="n">
        <f aca="true">IF($A51="",0,INDEX(tblPosn,$A51,4))</f>
        <v>0</v>
      </c>
      <c r="R51" s="59" t="n">
        <f aca="true">IF($A51="",0,INDEX(tblPosn,$A51,5))</f>
        <v>0</v>
      </c>
      <c r="S51" s="59" t="n">
        <f aca="true">IF($A51="",0,INDEX(tblPosn,$A51,6))</f>
        <v>0</v>
      </c>
      <c r="T51" s="98" t="n">
        <f aca="false">O51*F51+P51*K51+R51*AC51+S51*AH51/0.72+Q51*X51</f>
        <v>0</v>
      </c>
      <c r="V51" s="161" t="n">
        <f aca="false">D51</f>
        <v>37438</v>
      </c>
      <c r="W51" s="94" t="n">
        <f aca="false">VLOOKUP($D51,tblPriorPrice,4)</f>
        <v>0</v>
      </c>
      <c r="X51" s="162"/>
      <c r="Y51" s="176" t="n">
        <f aca="false">L51</f>
        <v>0</v>
      </c>
      <c r="Z51" s="177" t="n">
        <f aca="false">Y51</f>
        <v>0</v>
      </c>
      <c r="AA51" s="177" t="n">
        <f aca="false">Y51</f>
        <v>0</v>
      </c>
      <c r="AB51" s="94" t="n">
        <f aca="false">VLOOKUP($D51,tblPriorPrice,5)</f>
        <v>0</v>
      </c>
      <c r="AC51" s="162"/>
      <c r="AD51" s="176" t="n">
        <f aca="false">L51</f>
        <v>0</v>
      </c>
      <c r="AE51" s="96" t="n">
        <f aca="false">AD51</f>
        <v>0</v>
      </c>
      <c r="AF51" s="97" t="n">
        <f aca="false">AD51</f>
        <v>0</v>
      </c>
      <c r="AG51" s="94" t="n">
        <f aca="false">VLOOKUP($D51,tblPriorPrice,6)</f>
        <v>0</v>
      </c>
      <c r="AH51" s="182"/>
      <c r="AI51" s="163" t="n">
        <f aca="false">AG51+AH51</f>
        <v>0</v>
      </c>
      <c r="AJ51" s="96" t="n">
        <f aca="false">AI51</f>
        <v>0</v>
      </c>
      <c r="AK51" s="97" t="n">
        <f aca="false">AI51</f>
        <v>0</v>
      </c>
      <c r="AL51" s="178" t="n">
        <v>7</v>
      </c>
      <c r="AM51" s="165" t="n">
        <v>0.2</v>
      </c>
      <c r="AN51" s="166" t="n">
        <f aca="false">EnergyCurve!AN51*2</f>
        <v>0.645</v>
      </c>
      <c r="AO51" s="166" t="n">
        <f aca="false">EnergyCurve!AO51</f>
        <v>0.29025</v>
      </c>
      <c r="AP51" s="166" t="n">
        <f aca="false">AN51*1.25</f>
        <v>0.80625</v>
      </c>
      <c r="AQ51" s="166" t="n">
        <f aca="false">EnergyCurve!AQ51*2</f>
        <v>0.645</v>
      </c>
      <c r="AR51" s="166" t="n">
        <f aca="false">EnergyCurve!AR51</f>
        <v>0.258</v>
      </c>
      <c r="AS51" s="166" t="n">
        <f aca="false">EnergyCurve!AS51*1.25</f>
        <v>0.48375</v>
      </c>
      <c r="AT51" s="168" t="n">
        <f aca="false">EnergyCurve!AT51*2*2</f>
        <v>32.2663256034427</v>
      </c>
      <c r="AU51" s="169" t="n">
        <f aca="false">EnergyCurve!AU51</f>
        <v>-2.01664535021517</v>
      </c>
      <c r="AV51" s="169" t="n">
        <f aca="false">AT51*1.25</f>
        <v>40.3329070043033</v>
      </c>
      <c r="AW51" s="168" t="n">
        <f aca="false">EnergyCurve!AW51*2*2</f>
        <v>8.3262</v>
      </c>
      <c r="AX51" s="169" t="n">
        <f aca="false">EnergyCurve!AX51</f>
        <v>-0.5203875</v>
      </c>
      <c r="AY51" s="169" t="n">
        <f aca="false">AW51*1.25</f>
        <v>10.40775</v>
      </c>
      <c r="AZ51" s="167" t="n">
        <v>0</v>
      </c>
      <c r="BA51" s="74"/>
      <c r="BB51" s="161" t="n">
        <f aca="false">EOMONTH(BB50,0)+1</f>
        <v>37408</v>
      </c>
      <c r="BC51" s="183"/>
      <c r="BD51" s="183"/>
      <c r="BE51" s="183"/>
      <c r="BF51" s="183"/>
      <c r="BG51" s="183"/>
      <c r="BH51" s="184"/>
      <c r="BI51" s="183"/>
      <c r="BJ51" s="183"/>
      <c r="BK51" s="183"/>
      <c r="BL51" s="183"/>
      <c r="BM51" s="183"/>
      <c r="BN51" s="184"/>
      <c r="BQ51" s="108" t="n">
        <v>36907.7428240741</v>
      </c>
      <c r="BR51" s="109" t="n">
        <v>36907.7434490741</v>
      </c>
      <c r="BS51" s="110" t="n">
        <v>37653</v>
      </c>
      <c r="BT51" s="111" t="n">
        <v>0</v>
      </c>
      <c r="BU51" s="112" t="n">
        <v>0</v>
      </c>
      <c r="BV51" s="112" t="n">
        <v>0</v>
      </c>
      <c r="BW51" s="112" t="n">
        <v>0</v>
      </c>
      <c r="BX51" s="113" t="n">
        <v>0</v>
      </c>
      <c r="BZ51" s="110" t="n">
        <v>37438</v>
      </c>
      <c r="CA51" s="116" t="n">
        <v>116.025001525879</v>
      </c>
      <c r="CB51" s="116" t="n">
        <v>0</v>
      </c>
      <c r="CC51" s="116" t="n">
        <v>0</v>
      </c>
      <c r="CD51" s="116" t="n">
        <v>0</v>
      </c>
      <c r="CE51" s="117" t="n">
        <v>0</v>
      </c>
      <c r="CG51" s="128" t="n">
        <f aca="false">BB10</f>
        <v>2001</v>
      </c>
      <c r="CH51" s="129" t="n">
        <v>0</v>
      </c>
      <c r="CI51" s="130" t="n">
        <v>0</v>
      </c>
      <c r="CJ51" s="130" t="n">
        <v>0</v>
      </c>
      <c r="CK51" s="130" t="n">
        <v>0</v>
      </c>
      <c r="CL51" s="130" t="n">
        <v>0</v>
      </c>
      <c r="CM51" s="130" t="n">
        <v>0</v>
      </c>
      <c r="CN51" s="130" t="n">
        <v>0</v>
      </c>
      <c r="CO51" s="130" t="n">
        <v>0</v>
      </c>
      <c r="CP51" s="130" t="n">
        <v>0</v>
      </c>
      <c r="CQ51" s="130" t="n">
        <v>0</v>
      </c>
      <c r="CR51" s="130" t="n">
        <v>0</v>
      </c>
      <c r="CS51" s="131" t="n">
        <v>0</v>
      </c>
      <c r="CU51" s="128" t="n">
        <f aca="false">BB10</f>
        <v>2001</v>
      </c>
      <c r="CV51" s="129" t="n">
        <v>0</v>
      </c>
      <c r="CW51" s="130" t="n">
        <v>0</v>
      </c>
      <c r="CX51" s="130" t="n">
        <v>0</v>
      </c>
      <c r="CY51" s="130" t="n">
        <v>0</v>
      </c>
      <c r="CZ51" s="130" t="n">
        <v>0</v>
      </c>
      <c r="DA51" s="130" t="n">
        <v>0</v>
      </c>
      <c r="DB51" s="130" t="n">
        <v>0</v>
      </c>
      <c r="DC51" s="130" t="n">
        <v>0</v>
      </c>
      <c r="DD51" s="130" t="n">
        <v>0</v>
      </c>
      <c r="DE51" s="130" t="n">
        <v>0</v>
      </c>
      <c r="DF51" s="130" t="n">
        <v>0</v>
      </c>
      <c r="DG51" s="131" t="n">
        <v>0</v>
      </c>
      <c r="DI51" s="128" t="n">
        <f aca="false">BB10</f>
        <v>2001</v>
      </c>
      <c r="DJ51" s="129" t="n">
        <v>0</v>
      </c>
      <c r="DK51" s="130" t="n">
        <v>0</v>
      </c>
      <c r="DL51" s="130" t="n">
        <v>0</v>
      </c>
      <c r="DM51" s="130" t="n">
        <v>0</v>
      </c>
      <c r="DN51" s="130" t="n">
        <v>0</v>
      </c>
      <c r="DO51" s="130" t="n">
        <v>0</v>
      </c>
      <c r="DP51" s="130" t="n">
        <v>0</v>
      </c>
      <c r="DQ51" s="130" t="n">
        <v>0</v>
      </c>
      <c r="DR51" s="130" t="n">
        <v>0</v>
      </c>
      <c r="DS51" s="130" t="n">
        <v>0</v>
      </c>
      <c r="DT51" s="130" t="n">
        <v>0</v>
      </c>
      <c r="DU51" s="131" t="n">
        <v>0</v>
      </c>
    </row>
    <row r="52" customFormat="false" ht="12.75" hidden="false" customHeight="false" outlineLevel="0" collapsed="false">
      <c r="A52" s="0" t="n">
        <f aca="true">IF(ISERROR(MATCH(D52,iRefDt,0)),"",MATCH(D52,iRefDt,0))</f>
        <v>43</v>
      </c>
      <c r="B52" s="92" t="n">
        <f aca="false">MATCH(YEAR(D52),iSpreads)</f>
        <v>2</v>
      </c>
      <c r="C52" s="0" t="n">
        <f aca="false">MONTH(D52)</f>
        <v>8</v>
      </c>
      <c r="D52" s="93" t="n">
        <f aca="false">+EnergyCurve!D52</f>
        <v>37469</v>
      </c>
      <c r="E52" s="94" t="n">
        <f aca="false">VLOOKUP($D52,tblPriorPrice,2)</f>
        <v>168.608993530273</v>
      </c>
      <c r="F52" s="95"/>
      <c r="G52" s="264" t="n">
        <f aca="false">IF(EnergyCurve!G52&lt;200,0.001*EnergyCurve!G52+1,1.2)*EnergyCurve!G52</f>
        <v>169.904</v>
      </c>
      <c r="H52" s="96" t="n">
        <f aca="false">IF(EnergyCurve!H52&lt;200,0.001*EnergyCurve!H52+1,1.2)*EnergyCurve!H52</f>
        <v>163.449</v>
      </c>
      <c r="I52" s="96" t="n">
        <f aca="false">IF(EnergyCurve!I52&lt;200,0.001*EnergyCurve!I52+1,1.2)*EnergyCurve!I52</f>
        <v>189.569</v>
      </c>
      <c r="J52" s="94" t="n">
        <f aca="false">VLOOKUP($D52,tblPriorPrice,3)</f>
        <v>0</v>
      </c>
      <c r="K52" s="95"/>
      <c r="L52" s="264" t="n">
        <v>0</v>
      </c>
      <c r="M52" s="96" t="n">
        <f aca="false">L52</f>
        <v>0</v>
      </c>
      <c r="N52" s="96" t="n">
        <f aca="false">L52</f>
        <v>0</v>
      </c>
      <c r="O52" s="58" t="n">
        <f aca="true">IF($A52="",0,INDEX(tblPosn,$A52,2))</f>
        <v>0</v>
      </c>
      <c r="P52" s="59" t="n">
        <f aca="true">IF($A52="",0,INDEX(tblPosn,$A52,3))</f>
        <v>0</v>
      </c>
      <c r="Q52" s="59" t="n">
        <f aca="true">IF($A52="",0,INDEX(tblPosn,$A52,4))</f>
        <v>0</v>
      </c>
      <c r="R52" s="59" t="n">
        <f aca="true">IF($A52="",0,INDEX(tblPosn,$A52,5))</f>
        <v>0</v>
      </c>
      <c r="S52" s="59" t="n">
        <f aca="true">IF($A52="",0,INDEX(tblPosn,$A52,6))</f>
        <v>0</v>
      </c>
      <c r="T52" s="98" t="n">
        <f aca="false">O52*F52+P52*K52+R52*AC52+S52*AH52/0.72+Q52*X52</f>
        <v>0</v>
      </c>
      <c r="V52" s="161" t="n">
        <f aca="false">D52</f>
        <v>37469</v>
      </c>
      <c r="W52" s="94" t="n">
        <f aca="false">VLOOKUP($D52,tblPriorPrice,4)</f>
        <v>0</v>
      </c>
      <c r="X52" s="162"/>
      <c r="Y52" s="176" t="n">
        <f aca="false">L52</f>
        <v>0</v>
      </c>
      <c r="Z52" s="177" t="n">
        <f aca="false">Y52</f>
        <v>0</v>
      </c>
      <c r="AA52" s="177" t="n">
        <f aca="false">Y52</f>
        <v>0</v>
      </c>
      <c r="AB52" s="94" t="n">
        <f aca="false">VLOOKUP($D52,tblPriorPrice,5)</f>
        <v>0</v>
      </c>
      <c r="AC52" s="162"/>
      <c r="AD52" s="176" t="n">
        <f aca="false">L52</f>
        <v>0</v>
      </c>
      <c r="AE52" s="96" t="n">
        <f aca="false">AD52</f>
        <v>0</v>
      </c>
      <c r="AF52" s="97" t="n">
        <f aca="false">AD52</f>
        <v>0</v>
      </c>
      <c r="AG52" s="94" t="n">
        <f aca="false">VLOOKUP($D52,tblPriorPrice,6)</f>
        <v>0</v>
      </c>
      <c r="AH52" s="182"/>
      <c r="AI52" s="163" t="n">
        <f aca="false">AG52+AH52</f>
        <v>0</v>
      </c>
      <c r="AJ52" s="96" t="n">
        <f aca="false">AI52</f>
        <v>0</v>
      </c>
      <c r="AK52" s="97" t="n">
        <f aca="false">AI52</f>
        <v>0</v>
      </c>
      <c r="AL52" s="178" t="n">
        <v>7</v>
      </c>
      <c r="AM52" s="165" t="n">
        <v>0.2</v>
      </c>
      <c r="AN52" s="166" t="n">
        <f aca="false">EnergyCurve!AN52*2</f>
        <v>0.645</v>
      </c>
      <c r="AO52" s="166" t="n">
        <f aca="false">EnergyCurve!AO52</f>
        <v>0.29025</v>
      </c>
      <c r="AP52" s="166" t="n">
        <f aca="false">AN52*1.25</f>
        <v>0.80625</v>
      </c>
      <c r="AQ52" s="166" t="n">
        <f aca="false">EnergyCurve!AQ52*2</f>
        <v>0.645</v>
      </c>
      <c r="AR52" s="166" t="n">
        <f aca="false">EnergyCurve!AR52</f>
        <v>0.258</v>
      </c>
      <c r="AS52" s="166" t="n">
        <f aca="false">EnergyCurve!AS52*1.25</f>
        <v>0.48375</v>
      </c>
      <c r="AT52" s="168" t="n">
        <f aca="false">EnergyCurve!AT52*2*2</f>
        <v>30.564</v>
      </c>
      <c r="AU52" s="169" t="n">
        <f aca="false">EnergyCurve!AU52</f>
        <v>-1.91025</v>
      </c>
      <c r="AV52" s="169" t="n">
        <f aca="false">AT52*1.25</f>
        <v>38.205</v>
      </c>
      <c r="AW52" s="168" t="n">
        <f aca="false">EnergyCurve!AW52*2*2</f>
        <v>8.1378</v>
      </c>
      <c r="AX52" s="169" t="n">
        <f aca="false">EnergyCurve!AX52</f>
        <v>-0.5086125</v>
      </c>
      <c r="AY52" s="169" t="n">
        <f aca="false">AW52*1.25</f>
        <v>10.17225</v>
      </c>
      <c r="AZ52" s="167" t="n">
        <v>0</v>
      </c>
      <c r="BA52" s="74"/>
      <c r="BB52" s="186" t="n">
        <f aca="false">EOMONTH(BB51,0)+1</f>
        <v>37438</v>
      </c>
      <c r="BC52" s="187"/>
      <c r="BD52" s="187"/>
      <c r="BE52" s="187"/>
      <c r="BF52" s="187"/>
      <c r="BG52" s="187"/>
      <c r="BH52" s="188"/>
      <c r="BI52" s="187"/>
      <c r="BJ52" s="187"/>
      <c r="BK52" s="187"/>
      <c r="BL52" s="187"/>
      <c r="BM52" s="187"/>
      <c r="BN52" s="188"/>
      <c r="BQ52" s="108" t="n">
        <v>36907.7428240741</v>
      </c>
      <c r="BR52" s="109" t="n">
        <v>36907.7434490741</v>
      </c>
      <c r="BS52" s="110" t="n">
        <v>37681</v>
      </c>
      <c r="BT52" s="111" t="n">
        <v>0</v>
      </c>
      <c r="BU52" s="112" t="n">
        <v>0</v>
      </c>
      <c r="BV52" s="112" t="n">
        <v>0</v>
      </c>
      <c r="BW52" s="112" t="n">
        <v>0</v>
      </c>
      <c r="BX52" s="113" t="n">
        <v>0</v>
      </c>
      <c r="BZ52" s="110" t="n">
        <v>37469</v>
      </c>
      <c r="CA52" s="116" t="n">
        <v>168.608993530273</v>
      </c>
      <c r="CB52" s="116" t="n">
        <v>0</v>
      </c>
      <c r="CC52" s="116" t="n">
        <v>0</v>
      </c>
      <c r="CD52" s="116" t="n">
        <v>0</v>
      </c>
      <c r="CE52" s="117" t="n">
        <v>0</v>
      </c>
      <c r="CG52" s="135" t="n">
        <f aca="false">BB11</f>
        <v>2002</v>
      </c>
      <c r="CH52" s="136" t="n">
        <v>0</v>
      </c>
      <c r="CI52" s="137" t="n">
        <v>0</v>
      </c>
      <c r="CJ52" s="137" t="n">
        <v>0</v>
      </c>
      <c r="CK52" s="137" t="n">
        <v>0</v>
      </c>
      <c r="CL52" s="137" t="n">
        <v>0</v>
      </c>
      <c r="CM52" s="137" t="n">
        <v>0</v>
      </c>
      <c r="CN52" s="137" t="n">
        <v>0</v>
      </c>
      <c r="CO52" s="137" t="n">
        <v>0</v>
      </c>
      <c r="CP52" s="137" t="n">
        <v>0</v>
      </c>
      <c r="CQ52" s="137" t="n">
        <v>0</v>
      </c>
      <c r="CR52" s="137" t="n">
        <v>0</v>
      </c>
      <c r="CS52" s="138" t="n">
        <v>0</v>
      </c>
      <c r="CU52" s="135" t="n">
        <f aca="false">BB11</f>
        <v>2002</v>
      </c>
      <c r="CV52" s="136" t="n">
        <v>0</v>
      </c>
      <c r="CW52" s="137" t="n">
        <v>0</v>
      </c>
      <c r="CX52" s="137" t="n">
        <v>0</v>
      </c>
      <c r="CY52" s="137" t="n">
        <v>0</v>
      </c>
      <c r="CZ52" s="137" t="n">
        <v>0</v>
      </c>
      <c r="DA52" s="137" t="n">
        <v>0</v>
      </c>
      <c r="DB52" s="137" t="n">
        <v>0</v>
      </c>
      <c r="DC52" s="137" t="n">
        <v>0</v>
      </c>
      <c r="DD52" s="137" t="n">
        <v>0</v>
      </c>
      <c r="DE52" s="137" t="n">
        <v>0</v>
      </c>
      <c r="DF52" s="137" t="n">
        <v>0</v>
      </c>
      <c r="DG52" s="138" t="n">
        <v>0</v>
      </c>
      <c r="DI52" s="135" t="n">
        <f aca="false">BB11</f>
        <v>2002</v>
      </c>
      <c r="DJ52" s="136" t="n">
        <v>0</v>
      </c>
      <c r="DK52" s="137" t="n">
        <v>0</v>
      </c>
      <c r="DL52" s="137" t="n">
        <v>0</v>
      </c>
      <c r="DM52" s="137" t="n">
        <v>0</v>
      </c>
      <c r="DN52" s="137" t="n">
        <v>0</v>
      </c>
      <c r="DO52" s="137" t="n">
        <v>0</v>
      </c>
      <c r="DP52" s="137" t="n">
        <v>0</v>
      </c>
      <c r="DQ52" s="137" t="n">
        <v>0</v>
      </c>
      <c r="DR52" s="137" t="n">
        <v>0</v>
      </c>
      <c r="DS52" s="137" t="n">
        <v>0</v>
      </c>
      <c r="DT52" s="137" t="n">
        <v>0</v>
      </c>
      <c r="DU52" s="138" t="n">
        <v>0</v>
      </c>
    </row>
    <row r="53" customFormat="false" ht="12.75" hidden="false" customHeight="false" outlineLevel="0" collapsed="false">
      <c r="A53" s="0" t="n">
        <f aca="true">IF(ISERROR(MATCH(D53,iRefDt,0)),"",MATCH(D53,iRefDt,0))</f>
        <v>44</v>
      </c>
      <c r="B53" s="92" t="n">
        <f aca="false">MATCH(YEAR(D53),iSpreads)</f>
        <v>2</v>
      </c>
      <c r="C53" s="62" t="n">
        <f aca="false">MONTH(D53)</f>
        <v>9</v>
      </c>
      <c r="D53" s="93" t="n">
        <f aca="false">+EnergyCurve!D53</f>
        <v>37500</v>
      </c>
      <c r="E53" s="94" t="n">
        <f aca="false">VLOOKUP($D53,tblPriorPrice,2)</f>
        <v>125.768997192383</v>
      </c>
      <c r="F53" s="95"/>
      <c r="G53" s="264" t="n">
        <f aca="false">IF(EnergyCurve!G53&lt;200,0.001*EnergyCurve!G53+1,1.2)*EnergyCurve!G53</f>
        <v>126.996</v>
      </c>
      <c r="H53" s="96" t="n">
        <f aca="false">IF(EnergyCurve!H53&lt;200,0.001*EnergyCurve!H53+1,1.2)*EnergyCurve!H53</f>
        <v>120.881</v>
      </c>
      <c r="I53" s="96" t="n">
        <f aca="false">IF(EnergyCurve!I53&lt;200,0.001*EnergyCurve!I53+1,1.2)*EnergyCurve!I53</f>
        <v>145.641</v>
      </c>
      <c r="J53" s="94" t="n">
        <f aca="false">VLOOKUP($D53,tblPriorPrice,3)</f>
        <v>0</v>
      </c>
      <c r="K53" s="95"/>
      <c r="L53" s="264" t="n">
        <v>0</v>
      </c>
      <c r="M53" s="96" t="n">
        <f aca="false">L53</f>
        <v>0</v>
      </c>
      <c r="N53" s="96" t="n">
        <f aca="false">L53</f>
        <v>0</v>
      </c>
      <c r="O53" s="58" t="n">
        <f aca="true">IF($A53="",0,INDEX(tblPosn,$A53,2))</f>
        <v>0</v>
      </c>
      <c r="P53" s="59" t="n">
        <f aca="true">IF($A53="",0,INDEX(tblPosn,$A53,3))</f>
        <v>0</v>
      </c>
      <c r="Q53" s="59" t="n">
        <f aca="true">IF($A53="",0,INDEX(tblPosn,$A53,4))</f>
        <v>0</v>
      </c>
      <c r="R53" s="59" t="n">
        <f aca="true">IF($A53="",0,INDEX(tblPosn,$A53,5))</f>
        <v>0</v>
      </c>
      <c r="S53" s="59" t="n">
        <f aca="true">IF($A53="",0,INDEX(tblPosn,$A53,6))</f>
        <v>0</v>
      </c>
      <c r="T53" s="98" t="n">
        <f aca="false">O53*F53+P53*K53+R53*AC53+S53*AH53/0.72+Q53*X53</f>
        <v>0</v>
      </c>
      <c r="V53" s="161" t="n">
        <f aca="false">D53</f>
        <v>37500</v>
      </c>
      <c r="W53" s="94" t="n">
        <f aca="false">VLOOKUP($D53,tblPriorPrice,4)</f>
        <v>0</v>
      </c>
      <c r="X53" s="162"/>
      <c r="Y53" s="176" t="n">
        <f aca="false">L53</f>
        <v>0</v>
      </c>
      <c r="Z53" s="177" t="n">
        <f aca="false">Y53</f>
        <v>0</v>
      </c>
      <c r="AA53" s="177" t="n">
        <f aca="false">Y53</f>
        <v>0</v>
      </c>
      <c r="AB53" s="94" t="n">
        <f aca="false">VLOOKUP($D53,tblPriorPrice,5)</f>
        <v>0</v>
      </c>
      <c r="AC53" s="162"/>
      <c r="AD53" s="176" t="n">
        <f aca="false">L53</f>
        <v>0</v>
      </c>
      <c r="AE53" s="96" t="n">
        <f aca="false">AD53</f>
        <v>0</v>
      </c>
      <c r="AF53" s="97" t="n">
        <f aca="false">AD53</f>
        <v>0</v>
      </c>
      <c r="AG53" s="94" t="n">
        <f aca="false">VLOOKUP($D53,tblPriorPrice,6)</f>
        <v>0</v>
      </c>
      <c r="AH53" s="182"/>
      <c r="AI53" s="163" t="n">
        <f aca="false">AG53+AH53</f>
        <v>0</v>
      </c>
      <c r="AJ53" s="96" t="n">
        <f aca="false">AI53</f>
        <v>0</v>
      </c>
      <c r="AK53" s="97" t="n">
        <f aca="false">AI53</f>
        <v>0</v>
      </c>
      <c r="AL53" s="178" t="n">
        <v>7</v>
      </c>
      <c r="AM53" s="165" t="n">
        <v>0.2</v>
      </c>
      <c r="AN53" s="166" t="n">
        <f aca="false">EnergyCurve!AN53*2</f>
        <v>0.645</v>
      </c>
      <c r="AO53" s="166" t="n">
        <f aca="false">EnergyCurve!AO53</f>
        <v>0.29025</v>
      </c>
      <c r="AP53" s="166" t="n">
        <f aca="false">AN53*1.25</f>
        <v>0.80625</v>
      </c>
      <c r="AQ53" s="166" t="n">
        <f aca="false">EnergyCurve!AQ53*2</f>
        <v>0.645</v>
      </c>
      <c r="AR53" s="166" t="n">
        <f aca="false">EnergyCurve!AR53</f>
        <v>0.258</v>
      </c>
      <c r="AS53" s="166" t="n">
        <f aca="false">EnergyCurve!AS53*1.25</f>
        <v>0.48375</v>
      </c>
      <c r="AT53" s="168" t="n">
        <f aca="false">EnergyCurve!AT53*2*2</f>
        <v>33.352</v>
      </c>
      <c r="AU53" s="169" t="n">
        <f aca="false">EnergyCurve!AU53</f>
        <v>-2.0845</v>
      </c>
      <c r="AV53" s="169" t="n">
        <f aca="false">AT53*1.25</f>
        <v>41.69</v>
      </c>
      <c r="AW53" s="168" t="n">
        <f aca="false">EnergyCurve!AW53*2*2</f>
        <v>8.703</v>
      </c>
      <c r="AX53" s="169" t="n">
        <f aca="false">EnergyCurve!AX53</f>
        <v>-0.5439375</v>
      </c>
      <c r="AY53" s="169" t="n">
        <f aca="false">AW53*1.25</f>
        <v>10.87875</v>
      </c>
      <c r="AZ53" s="167" t="n">
        <v>0</v>
      </c>
      <c r="BA53" s="74"/>
      <c r="BI53" s="91"/>
      <c r="BJ53" s="91"/>
      <c r="BK53" s="91"/>
      <c r="BL53" s="91"/>
      <c r="BM53" s="91"/>
      <c r="BN53" s="91"/>
      <c r="BQ53" s="108" t="n">
        <v>36907.7428240741</v>
      </c>
      <c r="BR53" s="109" t="n">
        <v>36907.7434490741</v>
      </c>
      <c r="BS53" s="110" t="n">
        <v>37712</v>
      </c>
      <c r="BT53" s="111" t="n">
        <v>0</v>
      </c>
      <c r="BU53" s="112" t="n">
        <v>0</v>
      </c>
      <c r="BV53" s="112" t="n">
        <v>0</v>
      </c>
      <c r="BW53" s="112" t="n">
        <v>0</v>
      </c>
      <c r="BX53" s="113" t="n">
        <v>0</v>
      </c>
      <c r="BZ53" s="110" t="n">
        <v>37500</v>
      </c>
      <c r="CA53" s="116" t="n">
        <v>125.768997192383</v>
      </c>
      <c r="CB53" s="116" t="n">
        <v>0</v>
      </c>
      <c r="CC53" s="116" t="n">
        <v>0</v>
      </c>
      <c r="CD53" s="116" t="n">
        <v>0</v>
      </c>
      <c r="CE53" s="117" t="n">
        <v>0</v>
      </c>
      <c r="CG53" s="135" t="n">
        <f aca="false">BB12</f>
        <v>2003</v>
      </c>
      <c r="CH53" s="136" t="n">
        <v>0</v>
      </c>
      <c r="CI53" s="137" t="n">
        <v>0</v>
      </c>
      <c r="CJ53" s="137" t="n">
        <v>0</v>
      </c>
      <c r="CK53" s="137" t="n">
        <v>0</v>
      </c>
      <c r="CL53" s="137" t="n">
        <v>0</v>
      </c>
      <c r="CM53" s="137" t="n">
        <v>0</v>
      </c>
      <c r="CN53" s="137" t="n">
        <v>0</v>
      </c>
      <c r="CO53" s="137" t="n">
        <v>0</v>
      </c>
      <c r="CP53" s="137" t="n">
        <v>0</v>
      </c>
      <c r="CQ53" s="137" t="n">
        <v>0</v>
      </c>
      <c r="CR53" s="137" t="n">
        <v>0</v>
      </c>
      <c r="CS53" s="138" t="n">
        <v>0</v>
      </c>
      <c r="CU53" s="135" t="n">
        <f aca="false">BB12</f>
        <v>2003</v>
      </c>
      <c r="CV53" s="136" t="n">
        <v>0</v>
      </c>
      <c r="CW53" s="137" t="n">
        <v>0</v>
      </c>
      <c r="CX53" s="137" t="n">
        <v>0</v>
      </c>
      <c r="CY53" s="137" t="n">
        <v>0</v>
      </c>
      <c r="CZ53" s="137" t="n">
        <v>0</v>
      </c>
      <c r="DA53" s="137" t="n">
        <v>0</v>
      </c>
      <c r="DB53" s="137" t="n">
        <v>0</v>
      </c>
      <c r="DC53" s="137" t="n">
        <v>0</v>
      </c>
      <c r="DD53" s="137" t="n">
        <v>0</v>
      </c>
      <c r="DE53" s="137" t="n">
        <v>0</v>
      </c>
      <c r="DF53" s="137" t="n">
        <v>0</v>
      </c>
      <c r="DG53" s="138" t="n">
        <v>0</v>
      </c>
      <c r="DI53" s="135" t="n">
        <f aca="false">BB12</f>
        <v>2003</v>
      </c>
      <c r="DJ53" s="136" t="n">
        <v>0</v>
      </c>
      <c r="DK53" s="137" t="n">
        <v>0</v>
      </c>
      <c r="DL53" s="137" t="n">
        <v>0</v>
      </c>
      <c r="DM53" s="137" t="n">
        <v>0</v>
      </c>
      <c r="DN53" s="137" t="n">
        <v>0</v>
      </c>
      <c r="DO53" s="137" t="n">
        <v>0</v>
      </c>
      <c r="DP53" s="137" t="n">
        <v>0</v>
      </c>
      <c r="DQ53" s="137" t="n">
        <v>0</v>
      </c>
      <c r="DR53" s="137" t="n">
        <v>0</v>
      </c>
      <c r="DS53" s="137" t="n">
        <v>0</v>
      </c>
      <c r="DT53" s="137" t="n">
        <v>0</v>
      </c>
      <c r="DU53" s="138" t="n">
        <v>0</v>
      </c>
    </row>
    <row r="54" customFormat="false" ht="12.75" hidden="false" customHeight="false" outlineLevel="0" collapsed="false">
      <c r="A54" s="0" t="n">
        <f aca="true">IF(ISERROR(MATCH(D54,iRefDt,0)),"",MATCH(D54,iRefDt,0))</f>
        <v>45</v>
      </c>
      <c r="B54" s="92" t="n">
        <f aca="false">MATCH(YEAR(D54),iSpreads)</f>
        <v>2</v>
      </c>
      <c r="C54" s="0" t="n">
        <f aca="false">MONTH(D54)</f>
        <v>10</v>
      </c>
      <c r="D54" s="93" t="n">
        <f aca="false">+EnergyCurve!D54</f>
        <v>37530</v>
      </c>
      <c r="E54" s="94" t="n">
        <f aca="false">VLOOKUP($D54,tblPriorPrice,2)</f>
        <v>82.9290008544922</v>
      </c>
      <c r="F54" s="95"/>
      <c r="G54" s="264" t="n">
        <f aca="false">IF(EnergyCurve!G54&lt;200,0.001*EnergyCurve!G54+1,1.2)*EnergyCurve!G54</f>
        <v>84.084</v>
      </c>
      <c r="H54" s="96" t="n">
        <f aca="false">IF(EnergyCurve!H54&lt;200,0.001*EnergyCurve!H54+1,1.2)*EnergyCurve!H54</f>
        <v>78.329</v>
      </c>
      <c r="I54" s="96" t="n">
        <f aca="false">IF(EnergyCurve!I54&lt;200,0.001*EnergyCurve!I54+1,1.2)*EnergyCurve!I54</f>
        <v>101.649</v>
      </c>
      <c r="J54" s="94" t="n">
        <f aca="false">VLOOKUP($D54,tblPriorPrice,3)</f>
        <v>0</v>
      </c>
      <c r="K54" s="95"/>
      <c r="L54" s="264" t="n">
        <v>0</v>
      </c>
      <c r="M54" s="96" t="n">
        <f aca="false">L54</f>
        <v>0</v>
      </c>
      <c r="N54" s="96" t="n">
        <f aca="false">L54</f>
        <v>0</v>
      </c>
      <c r="O54" s="58" t="n">
        <f aca="true">IF($A54="",0,INDEX(tblPosn,$A54,2))</f>
        <v>0</v>
      </c>
      <c r="P54" s="59" t="n">
        <f aca="true">IF($A54="",0,INDEX(tblPosn,$A54,3))</f>
        <v>0</v>
      </c>
      <c r="Q54" s="59" t="n">
        <f aca="true">IF($A54="",0,INDEX(tblPosn,$A54,4))</f>
        <v>0</v>
      </c>
      <c r="R54" s="59" t="n">
        <f aca="true">IF($A54="",0,INDEX(tblPosn,$A54,5))</f>
        <v>0</v>
      </c>
      <c r="S54" s="59" t="n">
        <f aca="true">IF($A54="",0,INDEX(tblPosn,$A54,6))</f>
        <v>0</v>
      </c>
      <c r="T54" s="98" t="n">
        <f aca="false">O54*F54+P54*K54+R54*AC54+S54*AH54/0.72+Q54*X54</f>
        <v>0</v>
      </c>
      <c r="V54" s="161" t="n">
        <f aca="false">D54</f>
        <v>37530</v>
      </c>
      <c r="W54" s="94" t="n">
        <f aca="false">VLOOKUP($D54,tblPriorPrice,4)</f>
        <v>0</v>
      </c>
      <c r="X54" s="162"/>
      <c r="Y54" s="176" t="n">
        <f aca="false">L54</f>
        <v>0</v>
      </c>
      <c r="Z54" s="177" t="n">
        <f aca="false">Y54</f>
        <v>0</v>
      </c>
      <c r="AA54" s="177" t="n">
        <f aca="false">Y54</f>
        <v>0</v>
      </c>
      <c r="AB54" s="94" t="n">
        <f aca="false">VLOOKUP($D54,tblPriorPrice,5)</f>
        <v>0</v>
      </c>
      <c r="AC54" s="162"/>
      <c r="AD54" s="176" t="n">
        <f aca="false">L54</f>
        <v>0</v>
      </c>
      <c r="AE54" s="96" t="n">
        <f aca="false">AD54</f>
        <v>0</v>
      </c>
      <c r="AF54" s="97" t="n">
        <f aca="false">AD54</f>
        <v>0</v>
      </c>
      <c r="AG54" s="94" t="n">
        <f aca="false">VLOOKUP($D54,tblPriorPrice,6)</f>
        <v>0</v>
      </c>
      <c r="AH54" s="182"/>
      <c r="AI54" s="189" t="n">
        <f aca="false">AG54+AH54</f>
        <v>0</v>
      </c>
      <c r="AJ54" s="96" t="n">
        <f aca="false">AI54</f>
        <v>0</v>
      </c>
      <c r="AK54" s="97" t="n">
        <f aca="false">AI54</f>
        <v>0</v>
      </c>
      <c r="AL54" s="178" t="n">
        <v>8</v>
      </c>
      <c r="AM54" s="165" t="n">
        <v>0.2</v>
      </c>
      <c r="AN54" s="166" t="n">
        <f aca="false">EnergyCurve!AN54*2</f>
        <v>0.65</v>
      </c>
      <c r="AO54" s="166" t="n">
        <f aca="false">EnergyCurve!AO54</f>
        <v>0.2925</v>
      </c>
      <c r="AP54" s="166" t="n">
        <f aca="false">AN54*1.25</f>
        <v>0.8125</v>
      </c>
      <c r="AQ54" s="166" t="n">
        <f aca="false">EnergyCurve!AQ54*2</f>
        <v>0.65</v>
      </c>
      <c r="AR54" s="166" t="n">
        <f aca="false">EnergyCurve!AR54</f>
        <v>0.26</v>
      </c>
      <c r="AS54" s="166" t="n">
        <f aca="false">EnergyCurve!AS54*1.25</f>
        <v>0.4875</v>
      </c>
      <c r="AT54" s="168" t="n">
        <f aca="false">EnergyCurve!AT54*2*2</f>
        <v>22.0453999110038</v>
      </c>
      <c r="AU54" s="169" t="n">
        <f aca="false">EnergyCurve!AU54</f>
        <v>-1.37783749443774</v>
      </c>
      <c r="AV54" s="169" t="n">
        <f aca="false">AT54*1.25</f>
        <v>27.5567498887548</v>
      </c>
      <c r="AW54" s="168" t="n">
        <f aca="false">EnergyCurve!AW54*2*2</f>
        <v>8.5146</v>
      </c>
      <c r="AX54" s="169" t="n">
        <f aca="false">EnergyCurve!AX54</f>
        <v>-0.5321625</v>
      </c>
      <c r="AY54" s="169" t="n">
        <f aca="false">AW54*1.25</f>
        <v>10.64325</v>
      </c>
      <c r="AZ54" s="167" t="n">
        <v>0</v>
      </c>
      <c r="BA54" s="74"/>
      <c r="BB54" s="5" t="s">
        <v>123</v>
      </c>
      <c r="BI54" s="91"/>
      <c r="BJ54" s="91"/>
      <c r="BK54" s="91"/>
      <c r="BL54" s="91"/>
      <c r="BM54" s="91"/>
      <c r="BN54" s="91"/>
      <c r="BQ54" s="108" t="n">
        <v>36907.7428240741</v>
      </c>
      <c r="BR54" s="109" t="n">
        <v>36907.7434490741</v>
      </c>
      <c r="BS54" s="110" t="n">
        <v>37742</v>
      </c>
      <c r="BT54" s="111" t="n">
        <v>0</v>
      </c>
      <c r="BU54" s="112" t="n">
        <v>0</v>
      </c>
      <c r="BV54" s="112" t="n">
        <v>0</v>
      </c>
      <c r="BW54" s="112" t="n">
        <v>0</v>
      </c>
      <c r="BX54" s="113" t="n">
        <v>0</v>
      </c>
      <c r="BZ54" s="110" t="n">
        <v>37530</v>
      </c>
      <c r="CA54" s="116" t="n">
        <v>82.9290008544922</v>
      </c>
      <c r="CB54" s="116" t="n">
        <v>0</v>
      </c>
      <c r="CC54" s="116" t="n">
        <v>0</v>
      </c>
      <c r="CD54" s="116" t="n">
        <v>0</v>
      </c>
      <c r="CE54" s="117" t="n">
        <v>0</v>
      </c>
      <c r="CG54" s="135" t="n">
        <f aca="false">BB13</f>
        <v>2004</v>
      </c>
      <c r="CH54" s="136" t="n">
        <v>0</v>
      </c>
      <c r="CI54" s="137" t="n">
        <v>0</v>
      </c>
      <c r="CJ54" s="137" t="n">
        <v>0</v>
      </c>
      <c r="CK54" s="137" t="n">
        <v>0</v>
      </c>
      <c r="CL54" s="137" t="n">
        <v>0</v>
      </c>
      <c r="CM54" s="137" t="n">
        <v>0</v>
      </c>
      <c r="CN54" s="137" t="n">
        <v>0</v>
      </c>
      <c r="CO54" s="137" t="n">
        <v>0</v>
      </c>
      <c r="CP54" s="137" t="n">
        <v>0</v>
      </c>
      <c r="CQ54" s="137" t="n">
        <v>0</v>
      </c>
      <c r="CR54" s="137" t="n">
        <v>0</v>
      </c>
      <c r="CS54" s="138" t="n">
        <v>0</v>
      </c>
      <c r="CU54" s="135" t="n">
        <f aca="false">BB13</f>
        <v>2004</v>
      </c>
      <c r="CV54" s="136" t="n">
        <v>0</v>
      </c>
      <c r="CW54" s="137" t="n">
        <v>0</v>
      </c>
      <c r="CX54" s="137" t="n">
        <v>0</v>
      </c>
      <c r="CY54" s="137" t="n">
        <v>0</v>
      </c>
      <c r="CZ54" s="137" t="n">
        <v>0</v>
      </c>
      <c r="DA54" s="137" t="n">
        <v>0</v>
      </c>
      <c r="DB54" s="137" t="n">
        <v>0</v>
      </c>
      <c r="DC54" s="137" t="n">
        <v>0</v>
      </c>
      <c r="DD54" s="137" t="n">
        <v>0</v>
      </c>
      <c r="DE54" s="137" t="n">
        <v>0</v>
      </c>
      <c r="DF54" s="137" t="n">
        <v>0</v>
      </c>
      <c r="DG54" s="138" t="n">
        <v>0</v>
      </c>
      <c r="DI54" s="135" t="n">
        <f aca="false">BB13</f>
        <v>2004</v>
      </c>
      <c r="DJ54" s="136" t="n">
        <v>0</v>
      </c>
      <c r="DK54" s="137" t="n">
        <v>0</v>
      </c>
      <c r="DL54" s="137" t="n">
        <v>0</v>
      </c>
      <c r="DM54" s="137" t="n">
        <v>0</v>
      </c>
      <c r="DN54" s="137" t="n">
        <v>0</v>
      </c>
      <c r="DO54" s="137" t="n">
        <v>0</v>
      </c>
      <c r="DP54" s="137" t="n">
        <v>0</v>
      </c>
      <c r="DQ54" s="137" t="n">
        <v>0</v>
      </c>
      <c r="DR54" s="137" t="n">
        <v>0</v>
      </c>
      <c r="DS54" s="137" t="n">
        <v>0</v>
      </c>
      <c r="DT54" s="137" t="n">
        <v>0</v>
      </c>
      <c r="DU54" s="138" t="n">
        <v>0</v>
      </c>
    </row>
    <row r="55" customFormat="false" ht="12.75" hidden="false" customHeight="false" outlineLevel="0" collapsed="false">
      <c r="A55" s="0" t="n">
        <f aca="true">IF(ISERROR(MATCH(D55,iRefDt,0)),"",MATCH(D55,iRefDt,0))</f>
        <v>46</v>
      </c>
      <c r="B55" s="92" t="n">
        <f aca="false">MATCH(YEAR(D55),iSpreads)</f>
        <v>2</v>
      </c>
      <c r="C55" s="0" t="n">
        <f aca="false">MONTH(D55)</f>
        <v>11</v>
      </c>
      <c r="D55" s="93" t="n">
        <f aca="false">+EnergyCurve!D55</f>
        <v>37561</v>
      </c>
      <c r="E55" s="94" t="n">
        <f aca="false">VLOOKUP($D55,tblPriorPrice,2)</f>
        <v>95.7440032958984</v>
      </c>
      <c r="F55" s="95"/>
      <c r="G55" s="264" t="n">
        <f aca="false">IF(EnergyCurve!G55&lt;200,0.001*EnergyCurve!G55+1,1.2)*EnergyCurve!G55</f>
        <v>96.921</v>
      </c>
      <c r="H55" s="96" t="n">
        <f aca="false">IF(EnergyCurve!H55&lt;200,0.001*EnergyCurve!H55+1,1.2)*EnergyCurve!H55</f>
        <v>91.056</v>
      </c>
      <c r="I55" s="96" t="n">
        <f aca="false">IF(EnergyCurve!I55&lt;200,0.001*EnergyCurve!I55+1,1.2)*EnergyCurve!I55</f>
        <v>114.816</v>
      </c>
      <c r="J55" s="94" t="n">
        <f aca="false">VLOOKUP($D55,tblPriorPrice,3)</f>
        <v>0</v>
      </c>
      <c r="K55" s="95"/>
      <c r="L55" s="264" t="n">
        <v>0</v>
      </c>
      <c r="M55" s="96" t="n">
        <f aca="false">L55</f>
        <v>0</v>
      </c>
      <c r="N55" s="96" t="n">
        <f aca="false">L55</f>
        <v>0</v>
      </c>
      <c r="O55" s="58" t="n">
        <f aca="true">IF($A55="",0,INDEX(tblPosn,$A55,2))</f>
        <v>0</v>
      </c>
      <c r="P55" s="59" t="n">
        <f aca="true">IF($A55="",0,INDEX(tblPosn,$A55,3))</f>
        <v>0</v>
      </c>
      <c r="Q55" s="59" t="n">
        <f aca="true">IF($A55="",0,INDEX(tblPosn,$A55,4))</f>
        <v>0</v>
      </c>
      <c r="R55" s="59" t="n">
        <f aca="true">IF($A55="",0,INDEX(tblPosn,$A55,5))</f>
        <v>0</v>
      </c>
      <c r="S55" s="59" t="n">
        <f aca="true">IF($A55="",0,INDEX(tblPosn,$A55,6))</f>
        <v>0</v>
      </c>
      <c r="T55" s="98" t="n">
        <f aca="false">O55*F55+P55*K55+R55*AC55+S55*AH55/0.72+Q55*X55</f>
        <v>0</v>
      </c>
      <c r="V55" s="161" t="n">
        <f aca="false">D55</f>
        <v>37561</v>
      </c>
      <c r="W55" s="94" t="n">
        <f aca="false">VLOOKUP($D55,tblPriorPrice,4)</f>
        <v>0</v>
      </c>
      <c r="X55" s="162"/>
      <c r="Y55" s="176" t="n">
        <f aca="false">L55</f>
        <v>0</v>
      </c>
      <c r="Z55" s="177" t="n">
        <f aca="false">Y55</f>
        <v>0</v>
      </c>
      <c r="AA55" s="177" t="n">
        <f aca="false">Y55</f>
        <v>0</v>
      </c>
      <c r="AB55" s="94" t="n">
        <f aca="false">VLOOKUP($D55,tblPriorPrice,5)</f>
        <v>0</v>
      </c>
      <c r="AC55" s="162"/>
      <c r="AD55" s="176" t="n">
        <f aca="false">L55</f>
        <v>0</v>
      </c>
      <c r="AE55" s="96" t="n">
        <f aca="false">AD55</f>
        <v>0</v>
      </c>
      <c r="AF55" s="97" t="n">
        <f aca="false">AD55</f>
        <v>0</v>
      </c>
      <c r="AG55" s="94" t="n">
        <f aca="false">VLOOKUP($D55,tblPriorPrice,6)</f>
        <v>0</v>
      </c>
      <c r="AH55" s="182"/>
      <c r="AI55" s="189" t="n">
        <f aca="false">AG55+AH55</f>
        <v>0</v>
      </c>
      <c r="AJ55" s="96" t="n">
        <f aca="false">AI55</f>
        <v>0</v>
      </c>
      <c r="AK55" s="97" t="n">
        <f aca="false">AI55</f>
        <v>0</v>
      </c>
      <c r="AL55" s="178" t="n">
        <v>8</v>
      </c>
      <c r="AM55" s="165" t="n">
        <v>0.2</v>
      </c>
      <c r="AN55" s="166" t="n">
        <f aca="false">EnergyCurve!AN55*2</f>
        <v>0.66</v>
      </c>
      <c r="AO55" s="166" t="n">
        <f aca="false">EnergyCurve!AO55</f>
        <v>0.297</v>
      </c>
      <c r="AP55" s="166" t="n">
        <f aca="false">AN55*1.25</f>
        <v>0.825</v>
      </c>
      <c r="AQ55" s="166" t="n">
        <f aca="false">EnergyCurve!AQ55*2</f>
        <v>0.66</v>
      </c>
      <c r="AR55" s="166" t="n">
        <f aca="false">EnergyCurve!AR55</f>
        <v>0.264</v>
      </c>
      <c r="AS55" s="166" t="n">
        <f aca="false">EnergyCurve!AS55*1.25</f>
        <v>0.495</v>
      </c>
      <c r="AT55" s="168" t="n">
        <f aca="false">EnergyCurve!AT55*2*2</f>
        <v>26.1312223406317</v>
      </c>
      <c r="AU55" s="169" t="n">
        <f aca="false">EnergyCurve!AU55</f>
        <v>-1.63320139628948</v>
      </c>
      <c r="AV55" s="169" t="n">
        <f aca="false">AT55*1.25</f>
        <v>32.6640279257896</v>
      </c>
      <c r="AW55" s="168" t="n">
        <f aca="false">EnergyCurve!AW55*2*2</f>
        <v>8.703</v>
      </c>
      <c r="AX55" s="169" t="n">
        <f aca="false">EnergyCurve!AX55</f>
        <v>-0.5439375</v>
      </c>
      <c r="AY55" s="169" t="n">
        <f aca="false">AW55*1.25</f>
        <v>10.87875</v>
      </c>
      <c r="AZ55" s="167" t="n">
        <v>0</v>
      </c>
      <c r="BA55" s="74"/>
      <c r="BB55" s="170"/>
      <c r="BC55" s="140" t="s">
        <v>51</v>
      </c>
      <c r="BD55" s="140"/>
      <c r="BE55" s="140"/>
      <c r="BF55" s="140" t="s">
        <v>116</v>
      </c>
      <c r="BG55" s="140"/>
      <c r="BH55" s="140"/>
      <c r="BI55" s="171" t="s">
        <v>84</v>
      </c>
      <c r="BJ55" s="171"/>
      <c r="BK55" s="171"/>
      <c r="BL55" s="171" t="s">
        <v>53</v>
      </c>
      <c r="BM55" s="171"/>
      <c r="BN55" s="171"/>
      <c r="BQ55" s="108" t="n">
        <v>36907.7428240741</v>
      </c>
      <c r="BR55" s="109" t="n">
        <v>36907.7434490741</v>
      </c>
      <c r="BS55" s="110" t="n">
        <v>37773</v>
      </c>
      <c r="BT55" s="111" t="n">
        <v>0</v>
      </c>
      <c r="BU55" s="112" t="n">
        <v>0</v>
      </c>
      <c r="BV55" s="112" t="n">
        <v>0</v>
      </c>
      <c r="BW55" s="112" t="n">
        <v>0</v>
      </c>
      <c r="BX55" s="113" t="n">
        <v>0</v>
      </c>
      <c r="BZ55" s="110" t="n">
        <v>37561</v>
      </c>
      <c r="CA55" s="116" t="n">
        <v>95.7440032958984</v>
      </c>
      <c r="CB55" s="116" t="n">
        <v>0</v>
      </c>
      <c r="CC55" s="116" t="n">
        <v>0</v>
      </c>
      <c r="CD55" s="116" t="n">
        <v>0</v>
      </c>
      <c r="CE55" s="117" t="n">
        <v>0</v>
      </c>
      <c r="CG55" s="135" t="n">
        <f aca="false">BB14</f>
        <v>2005</v>
      </c>
      <c r="CH55" s="136" t="n">
        <v>0</v>
      </c>
      <c r="CI55" s="137" t="n">
        <v>0</v>
      </c>
      <c r="CJ55" s="137" t="n">
        <v>0</v>
      </c>
      <c r="CK55" s="137" t="n">
        <v>0</v>
      </c>
      <c r="CL55" s="137" t="n">
        <v>0</v>
      </c>
      <c r="CM55" s="137" t="n">
        <v>0</v>
      </c>
      <c r="CN55" s="137" t="n">
        <v>0</v>
      </c>
      <c r="CO55" s="137" t="n">
        <v>0</v>
      </c>
      <c r="CP55" s="137" t="n">
        <v>0</v>
      </c>
      <c r="CQ55" s="137" t="n">
        <v>0</v>
      </c>
      <c r="CR55" s="137" t="n">
        <v>0</v>
      </c>
      <c r="CS55" s="138" t="n">
        <v>0</v>
      </c>
      <c r="CU55" s="135" t="n">
        <f aca="false">BB14</f>
        <v>2005</v>
      </c>
      <c r="CV55" s="136" t="n">
        <v>0</v>
      </c>
      <c r="CW55" s="137" t="n">
        <v>0</v>
      </c>
      <c r="CX55" s="137" t="n">
        <v>0</v>
      </c>
      <c r="CY55" s="137" t="n">
        <v>0</v>
      </c>
      <c r="CZ55" s="137" t="n">
        <v>0</v>
      </c>
      <c r="DA55" s="137" t="n">
        <v>0</v>
      </c>
      <c r="DB55" s="137" t="n">
        <v>0</v>
      </c>
      <c r="DC55" s="137" t="n">
        <v>0</v>
      </c>
      <c r="DD55" s="137" t="n">
        <v>0</v>
      </c>
      <c r="DE55" s="137" t="n">
        <v>0</v>
      </c>
      <c r="DF55" s="137" t="n">
        <v>0</v>
      </c>
      <c r="DG55" s="138" t="n">
        <v>0</v>
      </c>
      <c r="DI55" s="135" t="n">
        <f aca="false">BB14</f>
        <v>2005</v>
      </c>
      <c r="DJ55" s="136" t="n">
        <v>0</v>
      </c>
      <c r="DK55" s="137" t="n">
        <v>0</v>
      </c>
      <c r="DL55" s="137" t="n">
        <v>0</v>
      </c>
      <c r="DM55" s="137" t="n">
        <v>0</v>
      </c>
      <c r="DN55" s="137" t="n">
        <v>0</v>
      </c>
      <c r="DO55" s="137" t="n">
        <v>0</v>
      </c>
      <c r="DP55" s="137" t="n">
        <v>0</v>
      </c>
      <c r="DQ55" s="137" t="n">
        <v>0</v>
      </c>
      <c r="DR55" s="137" t="n">
        <v>0</v>
      </c>
      <c r="DS55" s="137" t="n">
        <v>0</v>
      </c>
      <c r="DT55" s="137" t="n">
        <v>0</v>
      </c>
      <c r="DU55" s="138" t="n">
        <v>0</v>
      </c>
    </row>
    <row r="56" customFormat="false" ht="12.75" hidden="false" customHeight="false" outlineLevel="0" collapsed="false">
      <c r="A56" s="0" t="n">
        <f aca="true">IF(ISERROR(MATCH(D56,iRefDt,0)),"",MATCH(D56,iRefDt,0))</f>
        <v>47</v>
      </c>
      <c r="B56" s="92" t="n">
        <f aca="false">MATCH(YEAR(D56),iSpreads)</f>
        <v>2</v>
      </c>
      <c r="C56" s="0" t="n">
        <f aca="false">MONTH(D56)</f>
        <v>12</v>
      </c>
      <c r="D56" s="93" t="n">
        <f aca="false">+EnergyCurve!D56</f>
        <v>37591</v>
      </c>
      <c r="E56" s="94" t="n">
        <f aca="false">VLOOKUP($D56,tblPriorPrice,2)</f>
        <v>139.376007080078</v>
      </c>
      <c r="F56" s="95" t="n">
        <f aca="false">G56-E56</f>
        <v>1.24899291992188</v>
      </c>
      <c r="G56" s="264" t="n">
        <f aca="false">IF(EnergyCurve!G56&lt;200,0.001*EnergyCurve!G56+1,1.2)*EnergyCurve!G56</f>
        <v>140.625</v>
      </c>
      <c r="H56" s="96" t="n">
        <f aca="false">IF(EnergyCurve!H56&lt;200,0.001*EnergyCurve!H56+1,1.2)*EnergyCurve!H56</f>
        <v>134.4</v>
      </c>
      <c r="I56" s="96" t="n">
        <f aca="false">IF(EnergyCurve!I56&lt;200,0.001*EnergyCurve!I56+1,1.2)*EnergyCurve!I56</f>
        <v>159.6</v>
      </c>
      <c r="J56" s="94" t="n">
        <f aca="false">VLOOKUP($D56,tblPriorPrice,3)</f>
        <v>0</v>
      </c>
      <c r="K56" s="95" t="n">
        <f aca="false">L56-J56</f>
        <v>0</v>
      </c>
      <c r="L56" s="264" t="n">
        <v>0</v>
      </c>
      <c r="M56" s="96" t="n">
        <f aca="false">L56</f>
        <v>0</v>
      </c>
      <c r="N56" s="96" t="n">
        <f aca="false">L56</f>
        <v>0</v>
      </c>
      <c r="O56" s="58" t="n">
        <f aca="true">IF($A56="",0,INDEX(tblPosn,$A56,2))</f>
        <v>0</v>
      </c>
      <c r="P56" s="59" t="n">
        <f aca="true">IF($A56="",0,INDEX(tblPosn,$A56,3))</f>
        <v>0</v>
      </c>
      <c r="Q56" s="59" t="n">
        <f aca="true">IF($A56="",0,INDEX(tblPosn,$A56,4))</f>
        <v>0</v>
      </c>
      <c r="R56" s="59" t="n">
        <f aca="true">IF($A56="",0,INDEX(tblPosn,$A56,5))</f>
        <v>0</v>
      </c>
      <c r="S56" s="59" t="n">
        <f aca="true">IF($A56="",0,INDEX(tblPosn,$A56,6))</f>
        <v>0</v>
      </c>
      <c r="T56" s="98" t="n">
        <f aca="false">O56*F56+P56*K56+R56*AC56+S56*AH56/0.72+Q56*X56</f>
        <v>0</v>
      </c>
      <c r="V56" s="161" t="n">
        <f aca="false">D56</f>
        <v>37591</v>
      </c>
      <c r="W56" s="94" t="n">
        <f aca="false">VLOOKUP($D56,tblPriorPrice,4)</f>
        <v>0</v>
      </c>
      <c r="X56" s="162" t="n">
        <f aca="false">Y56-W56</f>
        <v>0</v>
      </c>
      <c r="Y56" s="176" t="n">
        <f aca="false">L56</f>
        <v>0</v>
      </c>
      <c r="Z56" s="177" t="n">
        <f aca="false">Y56</f>
        <v>0</v>
      </c>
      <c r="AA56" s="177" t="n">
        <f aca="false">Y56</f>
        <v>0</v>
      </c>
      <c r="AB56" s="94" t="n">
        <f aca="false">VLOOKUP($D56,tblPriorPrice,5)</f>
        <v>0</v>
      </c>
      <c r="AC56" s="162" t="n">
        <f aca="false">AD56-AB56</f>
        <v>0</v>
      </c>
      <c r="AD56" s="176" t="n">
        <f aca="false">L56</f>
        <v>0</v>
      </c>
      <c r="AE56" s="96" t="n">
        <f aca="false">AD56</f>
        <v>0</v>
      </c>
      <c r="AF56" s="97" t="n">
        <f aca="false">AD56</f>
        <v>0</v>
      </c>
      <c r="AG56" s="94" t="n">
        <f aca="false">VLOOKUP($D56,tblPriorPrice,6)</f>
        <v>0</v>
      </c>
      <c r="AH56" s="182"/>
      <c r="AI56" s="189" t="n">
        <f aca="false">AG56+AH56</f>
        <v>0</v>
      </c>
      <c r="AJ56" s="96" t="n">
        <f aca="false">AI56</f>
        <v>0</v>
      </c>
      <c r="AK56" s="97" t="n">
        <f aca="false">AI56</f>
        <v>0</v>
      </c>
      <c r="AL56" s="178" t="n">
        <v>8</v>
      </c>
      <c r="AM56" s="165" t="n">
        <v>0.2</v>
      </c>
      <c r="AN56" s="166" t="n">
        <f aca="false">EnergyCurve!AN56*2</f>
        <v>0.665</v>
      </c>
      <c r="AO56" s="166" t="n">
        <f aca="false">EnergyCurve!AO56</f>
        <v>0.29925</v>
      </c>
      <c r="AP56" s="166" t="n">
        <f aca="false">AN56*1.25</f>
        <v>0.83125</v>
      </c>
      <c r="AQ56" s="166" t="n">
        <f aca="false">EnergyCurve!AQ56*2</f>
        <v>0.665</v>
      </c>
      <c r="AR56" s="166" t="n">
        <f aca="false">EnergyCurve!AR56</f>
        <v>0.266</v>
      </c>
      <c r="AS56" s="166" t="n">
        <f aca="false">EnergyCurve!AS56*1.25</f>
        <v>0.49875</v>
      </c>
      <c r="AT56" s="168" t="n">
        <f aca="false">EnergyCurve!AT56*2*2</f>
        <v>32.45</v>
      </c>
      <c r="AU56" s="169" t="n">
        <f aca="false">EnergyCurve!AU56</f>
        <v>-2.028125</v>
      </c>
      <c r="AV56" s="169" t="n">
        <f aca="false">AT56*1.25</f>
        <v>40.5625</v>
      </c>
      <c r="AW56" s="168" t="n">
        <f aca="false">EnergyCurve!AW56*2*2</f>
        <v>8.7972</v>
      </c>
      <c r="AX56" s="169" t="n">
        <f aca="false">EnergyCurve!AX56</f>
        <v>-0.549825</v>
      </c>
      <c r="AY56" s="169" t="n">
        <f aca="false">AW56*1.25</f>
        <v>10.9965</v>
      </c>
      <c r="AZ56" s="167" t="n">
        <v>0</v>
      </c>
      <c r="BA56" s="74"/>
      <c r="BB56" s="192" t="s">
        <v>124</v>
      </c>
      <c r="BC56" s="140" t="s">
        <v>89</v>
      </c>
      <c r="BD56" s="140" t="s">
        <v>82</v>
      </c>
      <c r="BE56" s="140" t="s">
        <v>83</v>
      </c>
      <c r="BF56" s="140" t="s">
        <v>89</v>
      </c>
      <c r="BG56" s="140" t="s">
        <v>82</v>
      </c>
      <c r="BH56" s="140" t="s">
        <v>83</v>
      </c>
      <c r="BI56" s="171" t="s">
        <v>89</v>
      </c>
      <c r="BJ56" s="171" t="s">
        <v>82</v>
      </c>
      <c r="BK56" s="171" t="s">
        <v>83</v>
      </c>
      <c r="BL56" s="171" t="s">
        <v>89</v>
      </c>
      <c r="BM56" s="171" t="s">
        <v>82</v>
      </c>
      <c r="BN56" s="171" t="s">
        <v>83</v>
      </c>
      <c r="BQ56" s="108" t="n">
        <v>36907.7428240741</v>
      </c>
      <c r="BR56" s="109" t="n">
        <v>36907.7434490741</v>
      </c>
      <c r="BS56" s="110" t="n">
        <v>37803</v>
      </c>
      <c r="BT56" s="111" t="n">
        <v>0</v>
      </c>
      <c r="BU56" s="112" t="n">
        <v>0</v>
      </c>
      <c r="BV56" s="112" t="n">
        <v>0</v>
      </c>
      <c r="BW56" s="112" t="n">
        <v>0</v>
      </c>
      <c r="BX56" s="113" t="n">
        <v>0</v>
      </c>
      <c r="BZ56" s="110" t="n">
        <v>37591</v>
      </c>
      <c r="CA56" s="116" t="n">
        <v>139.376007080078</v>
      </c>
      <c r="CB56" s="116" t="n">
        <v>0</v>
      </c>
      <c r="CC56" s="116" t="n">
        <v>0</v>
      </c>
      <c r="CD56" s="116" t="n">
        <v>0</v>
      </c>
      <c r="CE56" s="117" t="n">
        <v>0</v>
      </c>
      <c r="CG56" s="135" t="n">
        <f aca="false">BB15</f>
        <v>2006</v>
      </c>
      <c r="CH56" s="136" t="n">
        <v>0</v>
      </c>
      <c r="CI56" s="137" t="n">
        <v>0</v>
      </c>
      <c r="CJ56" s="137" t="n">
        <v>0</v>
      </c>
      <c r="CK56" s="137" t="n">
        <v>0</v>
      </c>
      <c r="CL56" s="137" t="n">
        <v>0</v>
      </c>
      <c r="CM56" s="137" t="n">
        <v>0</v>
      </c>
      <c r="CN56" s="137" t="n">
        <v>0</v>
      </c>
      <c r="CO56" s="137" t="n">
        <v>0</v>
      </c>
      <c r="CP56" s="137" t="n">
        <v>0</v>
      </c>
      <c r="CQ56" s="137" t="n">
        <v>0</v>
      </c>
      <c r="CR56" s="137" t="n">
        <v>0</v>
      </c>
      <c r="CS56" s="138" t="n">
        <v>0</v>
      </c>
      <c r="CU56" s="135" t="n">
        <f aca="false">BB15</f>
        <v>2006</v>
      </c>
      <c r="CV56" s="136" t="n">
        <v>0</v>
      </c>
      <c r="CW56" s="137" t="n">
        <v>0</v>
      </c>
      <c r="CX56" s="137" t="n">
        <v>0</v>
      </c>
      <c r="CY56" s="137" t="n">
        <v>0</v>
      </c>
      <c r="CZ56" s="137" t="n">
        <v>0</v>
      </c>
      <c r="DA56" s="137" t="n">
        <v>0</v>
      </c>
      <c r="DB56" s="137" t="n">
        <v>0</v>
      </c>
      <c r="DC56" s="137" t="n">
        <v>0</v>
      </c>
      <c r="DD56" s="137" t="n">
        <v>0</v>
      </c>
      <c r="DE56" s="137" t="n">
        <v>0</v>
      </c>
      <c r="DF56" s="137" t="n">
        <v>0</v>
      </c>
      <c r="DG56" s="138" t="n">
        <v>0</v>
      </c>
      <c r="DI56" s="135" t="n">
        <f aca="false">BB15</f>
        <v>2006</v>
      </c>
      <c r="DJ56" s="136" t="n">
        <v>0</v>
      </c>
      <c r="DK56" s="137" t="n">
        <v>0</v>
      </c>
      <c r="DL56" s="137" t="n">
        <v>0</v>
      </c>
      <c r="DM56" s="137" t="n">
        <v>0</v>
      </c>
      <c r="DN56" s="137" t="n">
        <v>0</v>
      </c>
      <c r="DO56" s="137" t="n">
        <v>0</v>
      </c>
      <c r="DP56" s="137" t="n">
        <v>0</v>
      </c>
      <c r="DQ56" s="137" t="n">
        <v>0</v>
      </c>
      <c r="DR56" s="137" t="n">
        <v>0</v>
      </c>
      <c r="DS56" s="137" t="n">
        <v>0</v>
      </c>
      <c r="DT56" s="137" t="n">
        <v>0</v>
      </c>
      <c r="DU56" s="138" t="n">
        <v>0</v>
      </c>
    </row>
    <row r="57" customFormat="false" ht="12.75" hidden="false" customHeight="false" outlineLevel="0" collapsed="false">
      <c r="A57" s="0" t="n">
        <f aca="true">IF(ISERROR(MATCH(D57,iRefDt,0)),"",MATCH(D57,iRefDt,0))</f>
        <v>48</v>
      </c>
      <c r="B57" s="92" t="n">
        <f aca="false">MATCH(YEAR(D57),iSpreads)</f>
        <v>3</v>
      </c>
      <c r="C57" s="0" t="n">
        <f aca="false">MONTH(D57)</f>
        <v>1</v>
      </c>
      <c r="D57" s="93" t="n">
        <f aca="false">+EnergyCurve!D57</f>
        <v>37622</v>
      </c>
      <c r="E57" s="94" t="n">
        <f aca="false">VLOOKUP($D57,tblPriorPrice,2)</f>
        <v>113.609001159668</v>
      </c>
      <c r="F57" s="95" t="n">
        <f aca="false">G57-E57</f>
        <v>-1.15966797409328E-006</v>
      </c>
      <c r="G57" s="264" t="n">
        <f aca="false">IF(EnergyCurve!G57&lt;200,0.001*EnergyCurve!G57+1,1.2)*EnergyCurve!G57</f>
        <v>113.609</v>
      </c>
      <c r="H57" s="96" t="n">
        <f aca="false">IF(EnergyCurve!H57&lt;200,0.001*EnergyCurve!H57+1,1.2)*EnergyCurve!H57</f>
        <v>107.604</v>
      </c>
      <c r="I57" s="96" t="n">
        <f aca="false">IF(EnergyCurve!I57&lt;200,0.001*EnergyCurve!I57+1,1.2)*EnergyCurve!I57</f>
        <v>131.924</v>
      </c>
      <c r="J57" s="94" t="n">
        <f aca="false">VLOOKUP($D57,tblPriorPrice,3)</f>
        <v>0</v>
      </c>
      <c r="K57" s="95" t="n">
        <f aca="false">L57-J57</f>
        <v>0</v>
      </c>
      <c r="L57" s="264" t="n">
        <v>0</v>
      </c>
      <c r="M57" s="96" t="n">
        <f aca="false">L57</f>
        <v>0</v>
      </c>
      <c r="N57" s="96" t="n">
        <f aca="false">L57</f>
        <v>0</v>
      </c>
      <c r="O57" s="58" t="n">
        <f aca="true">IF($A57="",0,INDEX(tblPosn,$A57,2))</f>
        <v>0</v>
      </c>
      <c r="P57" s="59" t="n">
        <f aca="true">IF($A57="",0,INDEX(tblPosn,$A57,3))</f>
        <v>0</v>
      </c>
      <c r="Q57" s="59" t="n">
        <f aca="true">IF($A57="",0,INDEX(tblPosn,$A57,4))</f>
        <v>0</v>
      </c>
      <c r="R57" s="59" t="n">
        <f aca="true">IF($A57="",0,INDEX(tblPosn,$A57,5))</f>
        <v>0</v>
      </c>
      <c r="S57" s="59" t="n">
        <f aca="true">IF($A57="",0,INDEX(tblPosn,$A57,6))</f>
        <v>0</v>
      </c>
      <c r="T57" s="98" t="n">
        <f aca="false">O57*F57+P57*K57+R57*AC57+S57*AH57/0.72+Q57*X57</f>
        <v>0</v>
      </c>
      <c r="V57" s="161" t="n">
        <f aca="false">D57</f>
        <v>37622</v>
      </c>
      <c r="W57" s="94" t="n">
        <f aca="false">VLOOKUP($D57,tblPriorPrice,4)</f>
        <v>0</v>
      </c>
      <c r="X57" s="162" t="n">
        <f aca="false">Y57-W57</f>
        <v>0</v>
      </c>
      <c r="Y57" s="176" t="n">
        <f aca="false">L57</f>
        <v>0</v>
      </c>
      <c r="Z57" s="177" t="n">
        <f aca="false">Y57</f>
        <v>0</v>
      </c>
      <c r="AA57" s="177" t="n">
        <f aca="false">Y57</f>
        <v>0</v>
      </c>
      <c r="AB57" s="94" t="n">
        <f aca="false">VLOOKUP($D57,tblPriorPrice,5)</f>
        <v>0</v>
      </c>
      <c r="AC57" s="162" t="n">
        <f aca="false">AD57-AB57</f>
        <v>0</v>
      </c>
      <c r="AD57" s="176" t="n">
        <f aca="false">L57</f>
        <v>0</v>
      </c>
      <c r="AE57" s="96" t="n">
        <f aca="false">AD57</f>
        <v>0</v>
      </c>
      <c r="AF57" s="97" t="n">
        <f aca="false">AD57</f>
        <v>0</v>
      </c>
      <c r="AG57" s="94" t="n">
        <f aca="false">VLOOKUP($D57,tblPriorPrice,6)</f>
        <v>0</v>
      </c>
      <c r="AH57" s="182"/>
      <c r="AI57" s="189" t="n">
        <f aca="false">AG57+AH57</f>
        <v>0</v>
      </c>
      <c r="AJ57" s="96" t="n">
        <f aca="false">AI57</f>
        <v>0</v>
      </c>
      <c r="AK57" s="97" t="n">
        <f aca="false">AI57</f>
        <v>0</v>
      </c>
      <c r="AL57" s="178" t="n">
        <v>9</v>
      </c>
      <c r="AM57" s="165" t="n">
        <v>0.2</v>
      </c>
      <c r="AN57" s="166" t="n">
        <f aca="false">EnergyCurve!AN57*2</f>
        <v>0.665</v>
      </c>
      <c r="AO57" s="166" t="n">
        <f aca="false">EnergyCurve!AO57</f>
        <v>0.29925</v>
      </c>
      <c r="AP57" s="166" t="n">
        <f aca="false">AN57*1.25</f>
        <v>0.83125</v>
      </c>
      <c r="AQ57" s="166" t="n">
        <f aca="false">EnergyCurve!AQ57*2</f>
        <v>0.665</v>
      </c>
      <c r="AR57" s="166" t="n">
        <f aca="false">EnergyCurve!AR57</f>
        <v>0.266</v>
      </c>
      <c r="AS57" s="166" t="n">
        <f aca="false">EnergyCurve!AS57*1.25</f>
        <v>0.49875</v>
      </c>
      <c r="AT57" s="168" t="n">
        <f aca="false">EnergyCurve!AT57*2*2</f>
        <v>31.2022431274826</v>
      </c>
      <c r="AU57" s="169" t="n">
        <f aca="false">EnergyCurve!AU57</f>
        <v>-1.95014019546766</v>
      </c>
      <c r="AV57" s="169" t="n">
        <f aca="false">AT57*1.25</f>
        <v>39.0028039093532</v>
      </c>
      <c r="AW57" s="168" t="n">
        <f aca="false">EnergyCurve!AW57*2*2</f>
        <v>9.0798</v>
      </c>
      <c r="AX57" s="169" t="n">
        <f aca="false">EnergyCurve!AX57</f>
        <v>-0.5674875</v>
      </c>
      <c r="AY57" s="169" t="n">
        <f aca="false">AW57*1.25</f>
        <v>11.34975</v>
      </c>
      <c r="AZ57" s="167" t="n">
        <v>0</v>
      </c>
      <c r="BA57" s="74"/>
      <c r="BB57" s="193" t="n">
        <v>99</v>
      </c>
      <c r="BC57" s="179"/>
      <c r="BD57" s="194"/>
      <c r="BE57" s="195"/>
      <c r="BF57" s="194"/>
      <c r="BG57" s="194"/>
      <c r="BH57" s="195"/>
      <c r="BI57" s="179"/>
      <c r="BJ57" s="194"/>
      <c r="BK57" s="195"/>
      <c r="BL57" s="194"/>
      <c r="BM57" s="194"/>
      <c r="BN57" s="195"/>
      <c r="BQ57" s="108" t="n">
        <v>36907.7428240741</v>
      </c>
      <c r="BR57" s="109" t="n">
        <v>36907.7434490741</v>
      </c>
      <c r="BS57" s="110" t="n">
        <v>37834</v>
      </c>
      <c r="BT57" s="111" t="n">
        <v>0</v>
      </c>
      <c r="BU57" s="112" t="n">
        <v>0</v>
      </c>
      <c r="BV57" s="112" t="n">
        <v>0</v>
      </c>
      <c r="BW57" s="112" t="n">
        <v>0</v>
      </c>
      <c r="BX57" s="113" t="n">
        <v>0</v>
      </c>
      <c r="BZ57" s="110" t="n">
        <v>37622</v>
      </c>
      <c r="CA57" s="116" t="n">
        <v>113.609001159668</v>
      </c>
      <c r="CB57" s="116" t="n">
        <v>0</v>
      </c>
      <c r="CC57" s="116" t="n">
        <v>0</v>
      </c>
      <c r="CD57" s="116" t="n">
        <v>0</v>
      </c>
      <c r="CE57" s="117" t="n">
        <v>0</v>
      </c>
      <c r="CG57" s="135" t="n">
        <f aca="false">BB16</f>
        <v>2007</v>
      </c>
      <c r="CH57" s="136" t="n">
        <v>0</v>
      </c>
      <c r="CI57" s="137" t="n">
        <v>0</v>
      </c>
      <c r="CJ57" s="137" t="n">
        <v>0</v>
      </c>
      <c r="CK57" s="137" t="n">
        <v>0</v>
      </c>
      <c r="CL57" s="137" t="n">
        <v>0</v>
      </c>
      <c r="CM57" s="137" t="n">
        <v>0</v>
      </c>
      <c r="CN57" s="137" t="n">
        <v>0</v>
      </c>
      <c r="CO57" s="137" t="n">
        <v>0</v>
      </c>
      <c r="CP57" s="137" t="n">
        <v>0</v>
      </c>
      <c r="CQ57" s="137" t="n">
        <v>0</v>
      </c>
      <c r="CR57" s="137" t="n">
        <v>0</v>
      </c>
      <c r="CS57" s="138" t="n">
        <v>0</v>
      </c>
      <c r="CU57" s="135" t="n">
        <f aca="false">BB16</f>
        <v>2007</v>
      </c>
      <c r="CV57" s="136" t="n">
        <v>0</v>
      </c>
      <c r="CW57" s="137" t="n">
        <v>0</v>
      </c>
      <c r="CX57" s="137" t="n">
        <v>0</v>
      </c>
      <c r="CY57" s="137" t="n">
        <v>0</v>
      </c>
      <c r="CZ57" s="137" t="n">
        <v>0</v>
      </c>
      <c r="DA57" s="137" t="n">
        <v>0</v>
      </c>
      <c r="DB57" s="137" t="n">
        <v>0</v>
      </c>
      <c r="DC57" s="137" t="n">
        <v>0</v>
      </c>
      <c r="DD57" s="137" t="n">
        <v>0</v>
      </c>
      <c r="DE57" s="137" t="n">
        <v>0</v>
      </c>
      <c r="DF57" s="137" t="n">
        <v>0</v>
      </c>
      <c r="DG57" s="138" t="n">
        <v>0</v>
      </c>
      <c r="DI57" s="135" t="n">
        <f aca="false">BB16</f>
        <v>2007</v>
      </c>
      <c r="DJ57" s="136" t="n">
        <v>0</v>
      </c>
      <c r="DK57" s="137" t="n">
        <v>0</v>
      </c>
      <c r="DL57" s="137" t="n">
        <v>0</v>
      </c>
      <c r="DM57" s="137" t="n">
        <v>0</v>
      </c>
      <c r="DN57" s="137" t="n">
        <v>0</v>
      </c>
      <c r="DO57" s="137" t="n">
        <v>0</v>
      </c>
      <c r="DP57" s="137" t="n">
        <v>0</v>
      </c>
      <c r="DQ57" s="137" t="n">
        <v>0</v>
      </c>
      <c r="DR57" s="137" t="n">
        <v>0</v>
      </c>
      <c r="DS57" s="137" t="n">
        <v>0</v>
      </c>
      <c r="DT57" s="137" t="n">
        <v>0</v>
      </c>
      <c r="DU57" s="138" t="n">
        <v>0</v>
      </c>
    </row>
    <row r="58" customFormat="false" ht="12.75" hidden="false" customHeight="false" outlineLevel="0" collapsed="false">
      <c r="A58" s="0" t="n">
        <f aca="true">IF(ISERROR(MATCH(D58,iRefDt,0)),"",MATCH(D58,iRefDt,0))</f>
        <v>49</v>
      </c>
      <c r="B58" s="92" t="n">
        <f aca="false">MATCH(YEAR(D58),iSpreads)</f>
        <v>3</v>
      </c>
      <c r="C58" s="0" t="n">
        <f aca="false">MONTH(D58)</f>
        <v>2</v>
      </c>
      <c r="D58" s="93" t="n">
        <f aca="false">+EnergyCurve!D58</f>
        <v>37653</v>
      </c>
      <c r="E58" s="94" t="n">
        <f aca="false">VLOOKUP($D58,tblPriorPrice,2)</f>
        <v>100.463996887207</v>
      </c>
      <c r="F58" s="95" t="n">
        <f aca="false">G58-E58</f>
        <v>3.11279298159661E-006</v>
      </c>
      <c r="G58" s="264" t="n">
        <f aca="false">IF(EnergyCurve!G58&lt;200,0.001*EnergyCurve!G58+1,1.2)*EnergyCurve!G58</f>
        <v>100.464</v>
      </c>
      <c r="H58" s="96" t="n">
        <f aca="false">IF(EnergyCurve!H58&lt;200,0.001*EnergyCurve!H58+1,1.2)*EnergyCurve!H58</f>
        <v>94.569</v>
      </c>
      <c r="I58" s="96" t="n">
        <f aca="false">IF(EnergyCurve!I58&lt;200,0.001*EnergyCurve!I58+1,1.2)*EnergyCurve!I58</f>
        <v>118.449</v>
      </c>
      <c r="J58" s="94" t="n">
        <f aca="false">VLOOKUP($D58,tblPriorPrice,3)</f>
        <v>0</v>
      </c>
      <c r="K58" s="95" t="n">
        <f aca="false">L58-J58</f>
        <v>0</v>
      </c>
      <c r="L58" s="264" t="n">
        <v>0</v>
      </c>
      <c r="M58" s="96" t="n">
        <f aca="false">L58</f>
        <v>0</v>
      </c>
      <c r="N58" s="96" t="n">
        <f aca="false">L58</f>
        <v>0</v>
      </c>
      <c r="O58" s="58" t="n">
        <f aca="true">IF($A58="",0,INDEX(tblPosn,$A58,2))</f>
        <v>0</v>
      </c>
      <c r="P58" s="59" t="n">
        <f aca="true">IF($A58="",0,INDEX(tblPosn,$A58,3))</f>
        <v>0</v>
      </c>
      <c r="Q58" s="59" t="n">
        <f aca="true">IF($A58="",0,INDEX(tblPosn,$A58,4))</f>
        <v>0</v>
      </c>
      <c r="R58" s="59" t="n">
        <f aca="true">IF($A58="",0,INDEX(tblPosn,$A58,5))</f>
        <v>0</v>
      </c>
      <c r="S58" s="59" t="n">
        <f aca="true">IF($A58="",0,INDEX(tblPosn,$A58,6))</f>
        <v>0</v>
      </c>
      <c r="T58" s="98" t="n">
        <f aca="false">O58*F58+P58*K58+R58*AC58+S58*AH58/0.72+Q58*X58</f>
        <v>0</v>
      </c>
      <c r="V58" s="161" t="n">
        <f aca="false">D58</f>
        <v>37653</v>
      </c>
      <c r="W58" s="94" t="n">
        <f aca="false">VLOOKUP($D58,tblPriorPrice,4)</f>
        <v>0</v>
      </c>
      <c r="X58" s="162" t="n">
        <f aca="false">Y58-W58</f>
        <v>0</v>
      </c>
      <c r="Y58" s="176" t="n">
        <f aca="false">L58</f>
        <v>0</v>
      </c>
      <c r="Z58" s="177" t="n">
        <f aca="false">Y58</f>
        <v>0</v>
      </c>
      <c r="AA58" s="177" t="n">
        <f aca="false">Y58</f>
        <v>0</v>
      </c>
      <c r="AB58" s="94" t="n">
        <f aca="false">VLOOKUP($D58,tblPriorPrice,5)</f>
        <v>0</v>
      </c>
      <c r="AC58" s="162" t="n">
        <f aca="false">AD58-AB58</f>
        <v>0</v>
      </c>
      <c r="AD58" s="176" t="n">
        <f aca="false">L58</f>
        <v>0</v>
      </c>
      <c r="AE58" s="96" t="n">
        <f aca="false">AD58</f>
        <v>0</v>
      </c>
      <c r="AF58" s="97" t="n">
        <f aca="false">AD58</f>
        <v>0</v>
      </c>
      <c r="AG58" s="94" t="n">
        <f aca="false">VLOOKUP($D58,tblPriorPrice,6)</f>
        <v>0</v>
      </c>
      <c r="AH58" s="182"/>
      <c r="AI58" s="189" t="n">
        <f aca="false">AG58+AH58</f>
        <v>0</v>
      </c>
      <c r="AJ58" s="96" t="n">
        <f aca="false">AI58</f>
        <v>0</v>
      </c>
      <c r="AK58" s="97" t="n">
        <f aca="false">AI58</f>
        <v>0</v>
      </c>
      <c r="AL58" s="178" t="n">
        <v>9</v>
      </c>
      <c r="AM58" s="165" t="n">
        <v>0.2</v>
      </c>
      <c r="AN58" s="166" t="n">
        <f aca="false">EnergyCurve!AN58*2</f>
        <v>0.64</v>
      </c>
      <c r="AO58" s="166" t="n">
        <f aca="false">EnergyCurve!AO58</f>
        <v>0.288</v>
      </c>
      <c r="AP58" s="166" t="n">
        <f aca="false">AN58*1.25</f>
        <v>0.8</v>
      </c>
      <c r="AQ58" s="166" t="n">
        <f aca="false">EnergyCurve!AQ58*2</f>
        <v>0.64</v>
      </c>
      <c r="AR58" s="166" t="n">
        <f aca="false">EnergyCurve!AR58</f>
        <v>0.256</v>
      </c>
      <c r="AS58" s="166" t="n">
        <f aca="false">EnergyCurve!AS58*1.25</f>
        <v>0.48</v>
      </c>
      <c r="AT58" s="168" t="n">
        <f aca="false">EnergyCurve!AT58*2*2</f>
        <v>27.2315895453818</v>
      </c>
      <c r="AU58" s="169" t="n">
        <f aca="false">EnergyCurve!AU58</f>
        <v>-1.70197434658636</v>
      </c>
      <c r="AV58" s="169" t="n">
        <f aca="false">AT58*1.25</f>
        <v>34.0394869317272</v>
      </c>
      <c r="AW58" s="168" t="n">
        <f aca="false">EnergyCurve!AW58*2*2</f>
        <v>9.2682</v>
      </c>
      <c r="AX58" s="169" t="n">
        <f aca="false">EnergyCurve!AX58</f>
        <v>-0.5792625</v>
      </c>
      <c r="AY58" s="169" t="n">
        <f aca="false">AW58*1.25</f>
        <v>11.58525</v>
      </c>
      <c r="AZ58" s="167" t="n">
        <v>0</v>
      </c>
      <c r="BA58" s="74"/>
      <c r="BB58" s="193" t="n">
        <f aca="false">BB57+1</f>
        <v>100</v>
      </c>
      <c r="BC58" s="183"/>
      <c r="BD58" s="196"/>
      <c r="BE58" s="197"/>
      <c r="BF58" s="196"/>
      <c r="BG58" s="196"/>
      <c r="BH58" s="197"/>
      <c r="BI58" s="183"/>
      <c r="BJ58" s="196"/>
      <c r="BK58" s="197"/>
      <c r="BL58" s="196"/>
      <c r="BM58" s="196"/>
      <c r="BN58" s="197"/>
      <c r="BQ58" s="108" t="n">
        <v>36907.7428240741</v>
      </c>
      <c r="BR58" s="109" t="n">
        <v>36907.7434490741</v>
      </c>
      <c r="BS58" s="110" t="n">
        <v>37865</v>
      </c>
      <c r="BT58" s="111" t="n">
        <v>0</v>
      </c>
      <c r="BU58" s="112" t="n">
        <v>0</v>
      </c>
      <c r="BV58" s="112" t="n">
        <v>0</v>
      </c>
      <c r="BW58" s="112" t="n">
        <v>0</v>
      </c>
      <c r="BX58" s="113" t="n">
        <v>0</v>
      </c>
      <c r="BZ58" s="110" t="n">
        <v>37653</v>
      </c>
      <c r="CA58" s="116" t="n">
        <v>100.463996887207</v>
      </c>
      <c r="CB58" s="116" t="n">
        <v>0</v>
      </c>
      <c r="CC58" s="116" t="n">
        <v>0</v>
      </c>
      <c r="CD58" s="116" t="n">
        <v>0</v>
      </c>
      <c r="CE58" s="117" t="n">
        <v>0</v>
      </c>
      <c r="CG58" s="135" t="n">
        <f aca="false">BB17</f>
        <v>2008</v>
      </c>
      <c r="CH58" s="136" t="n">
        <v>0</v>
      </c>
      <c r="CI58" s="137" t="n">
        <v>0</v>
      </c>
      <c r="CJ58" s="137" t="n">
        <v>0</v>
      </c>
      <c r="CK58" s="137" t="n">
        <v>0</v>
      </c>
      <c r="CL58" s="137" t="n">
        <v>0</v>
      </c>
      <c r="CM58" s="137" t="n">
        <v>0</v>
      </c>
      <c r="CN58" s="137" t="n">
        <v>0</v>
      </c>
      <c r="CO58" s="137" t="n">
        <v>0</v>
      </c>
      <c r="CP58" s="137" t="n">
        <v>0</v>
      </c>
      <c r="CQ58" s="137" t="n">
        <v>0</v>
      </c>
      <c r="CR58" s="137" t="n">
        <v>0</v>
      </c>
      <c r="CS58" s="138" t="n">
        <v>0</v>
      </c>
      <c r="CU58" s="135" t="n">
        <f aca="false">BB17</f>
        <v>2008</v>
      </c>
      <c r="CV58" s="136" t="n">
        <v>0</v>
      </c>
      <c r="CW58" s="137" t="n">
        <v>0</v>
      </c>
      <c r="CX58" s="137" t="n">
        <v>0</v>
      </c>
      <c r="CY58" s="137" t="n">
        <v>0</v>
      </c>
      <c r="CZ58" s="137" t="n">
        <v>0</v>
      </c>
      <c r="DA58" s="137" t="n">
        <v>0</v>
      </c>
      <c r="DB58" s="137" t="n">
        <v>0</v>
      </c>
      <c r="DC58" s="137" t="n">
        <v>0</v>
      </c>
      <c r="DD58" s="137" t="n">
        <v>0</v>
      </c>
      <c r="DE58" s="137" t="n">
        <v>0</v>
      </c>
      <c r="DF58" s="137" t="n">
        <v>0</v>
      </c>
      <c r="DG58" s="138" t="n">
        <v>0</v>
      </c>
      <c r="DI58" s="135" t="n">
        <f aca="false">BB17</f>
        <v>2008</v>
      </c>
      <c r="DJ58" s="136" t="n">
        <v>0</v>
      </c>
      <c r="DK58" s="137" t="n">
        <v>0</v>
      </c>
      <c r="DL58" s="137" t="n">
        <v>0</v>
      </c>
      <c r="DM58" s="137" t="n">
        <v>0</v>
      </c>
      <c r="DN58" s="137" t="n">
        <v>0</v>
      </c>
      <c r="DO58" s="137" t="n">
        <v>0</v>
      </c>
      <c r="DP58" s="137" t="n">
        <v>0</v>
      </c>
      <c r="DQ58" s="137" t="n">
        <v>0</v>
      </c>
      <c r="DR58" s="137" t="n">
        <v>0</v>
      </c>
      <c r="DS58" s="137" t="n">
        <v>0</v>
      </c>
      <c r="DT58" s="137" t="n">
        <v>0</v>
      </c>
      <c r="DU58" s="138" t="n">
        <v>0</v>
      </c>
    </row>
    <row r="59" customFormat="false" ht="12.75" hidden="false" customHeight="false" outlineLevel="0" collapsed="false">
      <c r="A59" s="0" t="n">
        <f aca="true">IF(ISERROR(MATCH(D59,iRefDt,0)),"",MATCH(D59,iRefDt,0))</f>
        <v>50</v>
      </c>
      <c r="B59" s="92" t="n">
        <f aca="false">MATCH(YEAR(D59),iSpreads)</f>
        <v>3</v>
      </c>
      <c r="C59" s="0" t="n">
        <f aca="false">MONTH(D59)</f>
        <v>3</v>
      </c>
      <c r="D59" s="93" t="n">
        <f aca="false">+EnergyCurve!D59</f>
        <v>37681</v>
      </c>
      <c r="E59" s="94" t="n">
        <f aca="false">VLOOKUP($D59,tblPriorPrice,2)</f>
        <v>81.7760009765625</v>
      </c>
      <c r="F59" s="95" t="n">
        <f aca="false">G59-E59</f>
        <v>-9.76562489540811E-007</v>
      </c>
      <c r="G59" s="264" t="n">
        <f aca="false">IF(EnergyCurve!G59&lt;200,0.001*EnergyCurve!G59+1,1.2)*EnergyCurve!G59</f>
        <v>81.776</v>
      </c>
      <c r="H59" s="96" t="n">
        <f aca="false">IF(EnergyCurve!H59&lt;200,0.001*EnergyCurve!H59+1,1.2)*EnergyCurve!H59</f>
        <v>76.041</v>
      </c>
      <c r="I59" s="96" t="n">
        <f aca="false">IF(EnergyCurve!I59&lt;200,0.001*EnergyCurve!I59+1,1.2)*EnergyCurve!I59</f>
        <v>99.281</v>
      </c>
      <c r="J59" s="94" t="n">
        <f aca="false">VLOOKUP($D59,tblPriorPrice,3)</f>
        <v>0</v>
      </c>
      <c r="K59" s="95" t="n">
        <f aca="false">L59-J59</f>
        <v>0</v>
      </c>
      <c r="L59" s="264" t="n">
        <v>0</v>
      </c>
      <c r="M59" s="96" t="n">
        <f aca="false">L59</f>
        <v>0</v>
      </c>
      <c r="N59" s="96" t="n">
        <f aca="false">L59</f>
        <v>0</v>
      </c>
      <c r="O59" s="58" t="n">
        <f aca="true">IF($A59="",0,INDEX(tblPosn,$A59,2))</f>
        <v>0</v>
      </c>
      <c r="P59" s="59" t="n">
        <f aca="true">IF($A59="",0,INDEX(tblPosn,$A59,3))</f>
        <v>0</v>
      </c>
      <c r="Q59" s="59" t="n">
        <f aca="true">IF($A59="",0,INDEX(tblPosn,$A59,4))</f>
        <v>0</v>
      </c>
      <c r="R59" s="59" t="n">
        <f aca="true">IF($A59="",0,INDEX(tblPosn,$A59,5))</f>
        <v>0</v>
      </c>
      <c r="S59" s="59" t="n">
        <f aca="true">IF($A59="",0,INDEX(tblPosn,$A59,6))</f>
        <v>0</v>
      </c>
      <c r="T59" s="98" t="n">
        <f aca="false">O59*F59+P59*K59+R59*AC59+S59*AH59/0.72+Q59*X59</f>
        <v>0</v>
      </c>
      <c r="V59" s="161" t="n">
        <f aca="false">D59</f>
        <v>37681</v>
      </c>
      <c r="W59" s="94" t="n">
        <f aca="false">VLOOKUP($D59,tblPriorPrice,4)</f>
        <v>0</v>
      </c>
      <c r="X59" s="162" t="n">
        <f aca="false">Y59-W59</f>
        <v>0</v>
      </c>
      <c r="Y59" s="176" t="n">
        <f aca="false">L59</f>
        <v>0</v>
      </c>
      <c r="Z59" s="177" t="n">
        <f aca="false">Y59</f>
        <v>0</v>
      </c>
      <c r="AA59" s="177" t="n">
        <f aca="false">Y59</f>
        <v>0</v>
      </c>
      <c r="AB59" s="94" t="n">
        <f aca="false">VLOOKUP($D59,tblPriorPrice,5)</f>
        <v>0</v>
      </c>
      <c r="AC59" s="162" t="n">
        <f aca="false">AD59-AB59</f>
        <v>0</v>
      </c>
      <c r="AD59" s="176" t="n">
        <f aca="false">L59</f>
        <v>0</v>
      </c>
      <c r="AE59" s="96" t="n">
        <f aca="false">AD59</f>
        <v>0</v>
      </c>
      <c r="AF59" s="97" t="n">
        <f aca="false">AD59</f>
        <v>0</v>
      </c>
      <c r="AG59" s="94" t="n">
        <f aca="false">VLOOKUP($D59,tblPriorPrice,6)</f>
        <v>0</v>
      </c>
      <c r="AH59" s="182"/>
      <c r="AI59" s="189" t="n">
        <f aca="false">AG59+AH59</f>
        <v>0</v>
      </c>
      <c r="AJ59" s="96" t="n">
        <f aca="false">AI59</f>
        <v>0</v>
      </c>
      <c r="AK59" s="97" t="n">
        <f aca="false">AI59</f>
        <v>0</v>
      </c>
      <c r="AL59" s="178" t="n">
        <v>9</v>
      </c>
      <c r="AM59" s="165" t="n">
        <v>0.2</v>
      </c>
      <c r="AN59" s="166" t="n">
        <f aca="false">EnergyCurve!AN59*2</f>
        <v>0.62</v>
      </c>
      <c r="AO59" s="166" t="n">
        <f aca="false">EnergyCurve!AO59</f>
        <v>0.279</v>
      </c>
      <c r="AP59" s="166" t="n">
        <f aca="false">AN59*1.25</f>
        <v>0.775</v>
      </c>
      <c r="AQ59" s="166" t="n">
        <f aca="false">EnergyCurve!AQ59*2</f>
        <v>0.62</v>
      </c>
      <c r="AR59" s="166" t="n">
        <f aca="false">EnergyCurve!AR59</f>
        <v>0.248</v>
      </c>
      <c r="AS59" s="166" t="n">
        <f aca="false">EnergyCurve!AS59*1.25</f>
        <v>0.465</v>
      </c>
      <c r="AT59" s="168" t="n">
        <f aca="false">EnergyCurve!AT59*2*2</f>
        <v>21.2961215882748</v>
      </c>
      <c r="AU59" s="169" t="n">
        <f aca="false">EnergyCurve!AU59</f>
        <v>-1.33100759926717</v>
      </c>
      <c r="AV59" s="169" t="n">
        <f aca="false">AT59*1.25</f>
        <v>26.6201519853435</v>
      </c>
      <c r="AW59" s="168" t="n">
        <f aca="false">EnergyCurve!AW59*2*2</f>
        <v>9.4566</v>
      </c>
      <c r="AX59" s="169" t="n">
        <f aca="false">EnergyCurve!AX59</f>
        <v>-0.5910375</v>
      </c>
      <c r="AY59" s="169" t="n">
        <f aca="false">AW59*1.25</f>
        <v>11.82075</v>
      </c>
      <c r="AZ59" s="167" t="n">
        <v>0</v>
      </c>
      <c r="BA59" s="74"/>
      <c r="BB59" s="193" t="n">
        <f aca="false">BB58+1</f>
        <v>101</v>
      </c>
      <c r="BC59" s="183"/>
      <c r="BD59" s="196"/>
      <c r="BE59" s="197"/>
      <c r="BF59" s="196"/>
      <c r="BG59" s="196"/>
      <c r="BH59" s="197"/>
      <c r="BI59" s="183"/>
      <c r="BJ59" s="196"/>
      <c r="BK59" s="197"/>
      <c r="BL59" s="196"/>
      <c r="BM59" s="196"/>
      <c r="BN59" s="197"/>
      <c r="BQ59" s="108" t="n">
        <v>36907.7428240741</v>
      </c>
      <c r="BR59" s="109" t="n">
        <v>36907.7434490741</v>
      </c>
      <c r="BS59" s="110" t="n">
        <v>37895</v>
      </c>
      <c r="BT59" s="111" t="n">
        <v>0</v>
      </c>
      <c r="BU59" s="112" t="n">
        <v>0</v>
      </c>
      <c r="BV59" s="112" t="n">
        <v>0</v>
      </c>
      <c r="BW59" s="112" t="n">
        <v>0</v>
      </c>
      <c r="BX59" s="113" t="n">
        <v>0</v>
      </c>
      <c r="BZ59" s="110" t="n">
        <v>37681</v>
      </c>
      <c r="CA59" s="116" t="n">
        <v>81.7760009765625</v>
      </c>
      <c r="CB59" s="116" t="n">
        <v>0</v>
      </c>
      <c r="CC59" s="116" t="n">
        <v>0</v>
      </c>
      <c r="CD59" s="116" t="n">
        <v>0</v>
      </c>
      <c r="CE59" s="117" t="n">
        <v>0</v>
      </c>
      <c r="CG59" s="135" t="n">
        <f aca="false">BB18</f>
        <v>2009</v>
      </c>
      <c r="CH59" s="136" t="n">
        <v>0</v>
      </c>
      <c r="CI59" s="137" t="n">
        <v>0</v>
      </c>
      <c r="CJ59" s="137" t="n">
        <v>0</v>
      </c>
      <c r="CK59" s="137" t="n">
        <v>0</v>
      </c>
      <c r="CL59" s="137" t="n">
        <v>0</v>
      </c>
      <c r="CM59" s="137" t="n">
        <v>0</v>
      </c>
      <c r="CN59" s="137" t="n">
        <v>0</v>
      </c>
      <c r="CO59" s="137" t="n">
        <v>0</v>
      </c>
      <c r="CP59" s="137" t="n">
        <v>0</v>
      </c>
      <c r="CQ59" s="137" t="n">
        <v>0</v>
      </c>
      <c r="CR59" s="137" t="n">
        <v>0</v>
      </c>
      <c r="CS59" s="138" t="n">
        <v>0</v>
      </c>
      <c r="CU59" s="135" t="n">
        <f aca="false">BB18</f>
        <v>2009</v>
      </c>
      <c r="CV59" s="136" t="n">
        <v>0</v>
      </c>
      <c r="CW59" s="137" t="n">
        <v>0</v>
      </c>
      <c r="CX59" s="137" t="n">
        <v>0</v>
      </c>
      <c r="CY59" s="137" t="n">
        <v>0</v>
      </c>
      <c r="CZ59" s="137" t="n">
        <v>0</v>
      </c>
      <c r="DA59" s="137" t="n">
        <v>0</v>
      </c>
      <c r="DB59" s="137" t="n">
        <v>0</v>
      </c>
      <c r="DC59" s="137" t="n">
        <v>0</v>
      </c>
      <c r="DD59" s="137" t="n">
        <v>0</v>
      </c>
      <c r="DE59" s="137" t="n">
        <v>0</v>
      </c>
      <c r="DF59" s="137" t="n">
        <v>0</v>
      </c>
      <c r="DG59" s="138" t="n">
        <v>0</v>
      </c>
      <c r="DI59" s="135" t="n">
        <f aca="false">BB18</f>
        <v>2009</v>
      </c>
      <c r="DJ59" s="136" t="n">
        <v>0</v>
      </c>
      <c r="DK59" s="137" t="n">
        <v>0</v>
      </c>
      <c r="DL59" s="137" t="n">
        <v>0</v>
      </c>
      <c r="DM59" s="137" t="n">
        <v>0</v>
      </c>
      <c r="DN59" s="137" t="n">
        <v>0</v>
      </c>
      <c r="DO59" s="137" t="n">
        <v>0</v>
      </c>
      <c r="DP59" s="137" t="n">
        <v>0</v>
      </c>
      <c r="DQ59" s="137" t="n">
        <v>0</v>
      </c>
      <c r="DR59" s="137" t="n">
        <v>0</v>
      </c>
      <c r="DS59" s="137" t="n">
        <v>0</v>
      </c>
      <c r="DT59" s="137" t="n">
        <v>0</v>
      </c>
      <c r="DU59" s="138" t="n">
        <v>0</v>
      </c>
    </row>
    <row r="60" customFormat="false" ht="12.75" hidden="false" customHeight="false" outlineLevel="0" collapsed="false">
      <c r="A60" s="0" t="n">
        <f aca="true">IF(ISERROR(MATCH(D60,iRefDt,0)),"",MATCH(D60,iRefDt,0))</f>
        <v>51</v>
      </c>
      <c r="B60" s="92" t="n">
        <f aca="false">MATCH(YEAR(D60),iSpreads)</f>
        <v>3</v>
      </c>
      <c r="C60" s="0" t="n">
        <f aca="false">MONTH(D60)</f>
        <v>4</v>
      </c>
      <c r="D60" s="93" t="n">
        <f aca="false">+EnergyCurve!D60</f>
        <v>37712</v>
      </c>
      <c r="E60" s="94" t="n">
        <f aca="false">VLOOKUP($D60,tblPriorPrice,2)</f>
        <v>50.3040008544922</v>
      </c>
      <c r="F60" s="95" t="n">
        <f aca="false">G60-E60</f>
        <v>-8.54492185453637E-007</v>
      </c>
      <c r="G60" s="264" t="n">
        <f aca="false">IF(EnergyCurve!G60&lt;200,0.001*EnergyCurve!G60+1,1.2)*EnergyCurve!G60</f>
        <v>50.304</v>
      </c>
      <c r="H60" s="96" t="n">
        <f aca="false">IF(EnergyCurve!H60&lt;200,0.001*EnergyCurve!H60+1,1.2)*EnergyCurve!H60</f>
        <v>44.849</v>
      </c>
      <c r="I60" s="96" t="n">
        <f aca="false">IF(EnergyCurve!I60&lt;200,0.001*EnergyCurve!I60+1,1.2)*EnergyCurve!I60</f>
        <v>66.969</v>
      </c>
      <c r="J60" s="94" t="n">
        <f aca="false">VLOOKUP($D60,tblPriorPrice,3)</f>
        <v>0</v>
      </c>
      <c r="K60" s="95" t="n">
        <f aca="false">L60-J60</f>
        <v>0</v>
      </c>
      <c r="L60" s="264" t="n">
        <v>0</v>
      </c>
      <c r="M60" s="96" t="n">
        <f aca="false">L60</f>
        <v>0</v>
      </c>
      <c r="N60" s="96" t="n">
        <f aca="false">L60</f>
        <v>0</v>
      </c>
      <c r="O60" s="58" t="n">
        <f aca="true">IF($A60="",0,INDEX(tblPosn,$A60,2))</f>
        <v>0</v>
      </c>
      <c r="P60" s="59" t="n">
        <f aca="true">IF($A60="",0,INDEX(tblPosn,$A60,3))</f>
        <v>0</v>
      </c>
      <c r="Q60" s="59" t="n">
        <f aca="true">IF($A60="",0,INDEX(tblPosn,$A60,4))</f>
        <v>0</v>
      </c>
      <c r="R60" s="59" t="n">
        <f aca="true">IF($A60="",0,INDEX(tblPosn,$A60,5))</f>
        <v>0</v>
      </c>
      <c r="S60" s="59" t="n">
        <f aca="true">IF($A60="",0,INDEX(tblPosn,$A60,6))</f>
        <v>0</v>
      </c>
      <c r="T60" s="98" t="n">
        <f aca="false">O60*F60+P60*K60+R60*AC60+S60*AH60/0.72+Q60*X60</f>
        <v>0</v>
      </c>
      <c r="V60" s="161" t="n">
        <f aca="false">D60</f>
        <v>37712</v>
      </c>
      <c r="W60" s="94" t="n">
        <f aca="false">VLOOKUP($D60,tblPriorPrice,4)</f>
        <v>0</v>
      </c>
      <c r="X60" s="162" t="n">
        <f aca="false">Y60-W60</f>
        <v>0</v>
      </c>
      <c r="Y60" s="176" t="n">
        <f aca="false">L60</f>
        <v>0</v>
      </c>
      <c r="Z60" s="177" t="n">
        <f aca="false">Y60</f>
        <v>0</v>
      </c>
      <c r="AA60" s="177" t="n">
        <f aca="false">Y60</f>
        <v>0</v>
      </c>
      <c r="AB60" s="94" t="n">
        <f aca="false">VLOOKUP($D60,tblPriorPrice,5)</f>
        <v>0</v>
      </c>
      <c r="AC60" s="162" t="n">
        <f aca="false">AD60-AB60</f>
        <v>0</v>
      </c>
      <c r="AD60" s="176" t="n">
        <f aca="false">L60</f>
        <v>0</v>
      </c>
      <c r="AE60" s="96" t="n">
        <f aca="false">AD60</f>
        <v>0</v>
      </c>
      <c r="AF60" s="97" t="n">
        <f aca="false">AD60</f>
        <v>0</v>
      </c>
      <c r="AG60" s="94" t="n">
        <f aca="false">VLOOKUP($D60,tblPriorPrice,6)</f>
        <v>0</v>
      </c>
      <c r="AH60" s="182"/>
      <c r="AI60" s="189" t="n">
        <f aca="false">AG60+AH60</f>
        <v>0</v>
      </c>
      <c r="AJ60" s="96" t="n">
        <f aca="false">AI60</f>
        <v>0</v>
      </c>
      <c r="AK60" s="97" t="n">
        <f aca="false">AI60</f>
        <v>0</v>
      </c>
      <c r="AL60" s="178" t="n">
        <v>10</v>
      </c>
      <c r="AM60" s="165" t="n">
        <v>0.2</v>
      </c>
      <c r="AN60" s="166" t="n">
        <f aca="false">EnergyCurve!AN60*2</f>
        <v>0.6</v>
      </c>
      <c r="AO60" s="166" t="n">
        <f aca="false">EnergyCurve!AO60</f>
        <v>0.27</v>
      </c>
      <c r="AP60" s="166" t="n">
        <f aca="false">AN60*1.25</f>
        <v>0.75</v>
      </c>
      <c r="AQ60" s="166" t="n">
        <f aca="false">EnergyCurve!AQ60*2</f>
        <v>0.6</v>
      </c>
      <c r="AR60" s="166" t="n">
        <f aca="false">EnergyCurve!AR60</f>
        <v>0.24</v>
      </c>
      <c r="AS60" s="166" t="n">
        <f aca="false">EnergyCurve!AS60*1.25</f>
        <v>0.45</v>
      </c>
      <c r="AT60" s="168" t="n">
        <f aca="false">EnergyCurve!AT60*2*2</f>
        <v>11.042567602442</v>
      </c>
      <c r="AU60" s="169" t="n">
        <f aca="false">EnergyCurve!AU60</f>
        <v>-0.690160475152627</v>
      </c>
      <c r="AV60" s="169" t="n">
        <f aca="false">AT60*1.25</f>
        <v>13.8032095030525</v>
      </c>
      <c r="AW60" s="168" t="n">
        <f aca="false">EnergyCurve!AW60*2*2</f>
        <v>9.7392</v>
      </c>
      <c r="AX60" s="169" t="n">
        <f aca="false">EnergyCurve!AX60</f>
        <v>-0.6087</v>
      </c>
      <c r="AY60" s="169" t="n">
        <f aca="false">AW60*1.25</f>
        <v>12.174</v>
      </c>
      <c r="AZ60" s="167" t="n">
        <v>0</v>
      </c>
      <c r="BA60" s="74"/>
      <c r="BB60" s="193" t="n">
        <f aca="false">BB59+1</f>
        <v>102</v>
      </c>
      <c r="BC60" s="183"/>
      <c r="BD60" s="196"/>
      <c r="BE60" s="197"/>
      <c r="BF60" s="196"/>
      <c r="BG60" s="196"/>
      <c r="BH60" s="197"/>
      <c r="BI60" s="183"/>
      <c r="BJ60" s="196"/>
      <c r="BK60" s="197"/>
      <c r="BL60" s="196"/>
      <c r="BM60" s="196"/>
      <c r="BN60" s="197"/>
      <c r="BQ60" s="108" t="n">
        <v>36907.7428240741</v>
      </c>
      <c r="BR60" s="109" t="n">
        <v>36907.7434490741</v>
      </c>
      <c r="BS60" s="110" t="n">
        <v>37926</v>
      </c>
      <c r="BT60" s="111" t="n">
        <v>0</v>
      </c>
      <c r="BU60" s="112" t="n">
        <v>0</v>
      </c>
      <c r="BV60" s="112" t="n">
        <v>0</v>
      </c>
      <c r="BW60" s="112" t="n">
        <v>0</v>
      </c>
      <c r="BX60" s="113" t="n">
        <v>0</v>
      </c>
      <c r="BZ60" s="110" t="n">
        <v>37712</v>
      </c>
      <c r="CA60" s="116" t="n">
        <v>50.3040008544922</v>
      </c>
      <c r="CB60" s="116" t="n">
        <v>0</v>
      </c>
      <c r="CC60" s="116" t="n">
        <v>0</v>
      </c>
      <c r="CD60" s="116" t="n">
        <v>0</v>
      </c>
      <c r="CE60" s="117" t="n">
        <v>0</v>
      </c>
      <c r="CG60" s="135" t="n">
        <f aca="false">BB19</f>
        <v>2010</v>
      </c>
      <c r="CH60" s="136" t="n">
        <v>0</v>
      </c>
      <c r="CI60" s="137" t="n">
        <v>0</v>
      </c>
      <c r="CJ60" s="137" t="n">
        <v>0</v>
      </c>
      <c r="CK60" s="137" t="n">
        <v>0</v>
      </c>
      <c r="CL60" s="137" t="n">
        <v>0</v>
      </c>
      <c r="CM60" s="137" t="n">
        <v>0</v>
      </c>
      <c r="CN60" s="137" t="n">
        <v>0</v>
      </c>
      <c r="CO60" s="137" t="n">
        <v>0</v>
      </c>
      <c r="CP60" s="137" t="n">
        <v>0</v>
      </c>
      <c r="CQ60" s="137" t="n">
        <v>0</v>
      </c>
      <c r="CR60" s="137" t="n">
        <v>0</v>
      </c>
      <c r="CS60" s="138" t="n">
        <v>0</v>
      </c>
      <c r="CU60" s="135" t="n">
        <f aca="false">BB19</f>
        <v>2010</v>
      </c>
      <c r="CV60" s="136" t="n">
        <v>0</v>
      </c>
      <c r="CW60" s="137" t="n">
        <v>0</v>
      </c>
      <c r="CX60" s="137" t="n">
        <v>0</v>
      </c>
      <c r="CY60" s="137" t="n">
        <v>0</v>
      </c>
      <c r="CZ60" s="137" t="n">
        <v>0</v>
      </c>
      <c r="DA60" s="137" t="n">
        <v>0</v>
      </c>
      <c r="DB60" s="137" t="n">
        <v>0</v>
      </c>
      <c r="DC60" s="137" t="n">
        <v>0</v>
      </c>
      <c r="DD60" s="137" t="n">
        <v>0</v>
      </c>
      <c r="DE60" s="137" t="n">
        <v>0</v>
      </c>
      <c r="DF60" s="137" t="n">
        <v>0</v>
      </c>
      <c r="DG60" s="138" t="n">
        <v>0</v>
      </c>
      <c r="DI60" s="135" t="n">
        <f aca="false">BB19</f>
        <v>2010</v>
      </c>
      <c r="DJ60" s="136" t="n">
        <v>0</v>
      </c>
      <c r="DK60" s="137" t="n">
        <v>0</v>
      </c>
      <c r="DL60" s="137" t="n">
        <v>0</v>
      </c>
      <c r="DM60" s="137" t="n">
        <v>0</v>
      </c>
      <c r="DN60" s="137" t="n">
        <v>0</v>
      </c>
      <c r="DO60" s="137" t="n">
        <v>0</v>
      </c>
      <c r="DP60" s="137" t="n">
        <v>0</v>
      </c>
      <c r="DQ60" s="137" t="n">
        <v>0</v>
      </c>
      <c r="DR60" s="137" t="n">
        <v>0</v>
      </c>
      <c r="DS60" s="137" t="n">
        <v>0</v>
      </c>
      <c r="DT60" s="137" t="n">
        <v>0</v>
      </c>
      <c r="DU60" s="138" t="n">
        <v>0</v>
      </c>
    </row>
    <row r="61" customFormat="false" ht="12.75" hidden="false" customHeight="false" outlineLevel="0" collapsed="false">
      <c r="A61" s="0" t="n">
        <f aca="true">IF(ISERROR(MATCH(D61,iRefDt,0)),"",MATCH(D61,iRefDt,0))</f>
        <v>52</v>
      </c>
      <c r="B61" s="92" t="n">
        <f aca="false">MATCH(YEAR(D61),iSpreads)</f>
        <v>3</v>
      </c>
      <c r="C61" s="0" t="n">
        <f aca="false">MONTH(D61)</f>
        <v>5</v>
      </c>
      <c r="D61" s="93" t="n">
        <f aca="false">+EnergyCurve!D61</f>
        <v>37742</v>
      </c>
      <c r="E61" s="94" t="n">
        <f aca="false">VLOOKUP($D61,tblPriorPrice,2)</f>
        <v>54.7039985656738</v>
      </c>
      <c r="F61" s="95" t="n">
        <f aca="false">G61-E61</f>
        <v>1.43432617250028E-006</v>
      </c>
      <c r="G61" s="264" t="n">
        <f aca="false">IF(EnergyCurve!G61&lt;200,0.001*EnergyCurve!G61+1,1.2)*EnergyCurve!G61</f>
        <v>54.704</v>
      </c>
      <c r="H61" s="96" t="n">
        <f aca="false">IF(EnergyCurve!H61&lt;200,0.001*EnergyCurve!H61+1,1.2)*EnergyCurve!H61</f>
        <v>49.209</v>
      </c>
      <c r="I61" s="96" t="n">
        <f aca="false">IF(EnergyCurve!I61&lt;200,0.001*EnergyCurve!I61+1,1.2)*EnergyCurve!I61</f>
        <v>71.489</v>
      </c>
      <c r="J61" s="94" t="n">
        <f aca="false">VLOOKUP($D61,tblPriorPrice,3)</f>
        <v>0</v>
      </c>
      <c r="K61" s="95" t="n">
        <f aca="false">L61-J61</f>
        <v>0</v>
      </c>
      <c r="L61" s="264" t="n">
        <v>0</v>
      </c>
      <c r="M61" s="96" t="n">
        <f aca="false">L61</f>
        <v>0</v>
      </c>
      <c r="N61" s="96" t="n">
        <f aca="false">L61</f>
        <v>0</v>
      </c>
      <c r="O61" s="58" t="n">
        <f aca="true">IF($A61="",0,INDEX(tblPosn,$A61,2))</f>
        <v>0</v>
      </c>
      <c r="P61" s="59" t="n">
        <f aca="true">IF($A61="",0,INDEX(tblPosn,$A61,3))</f>
        <v>0</v>
      </c>
      <c r="Q61" s="59" t="n">
        <f aca="true">IF($A61="",0,INDEX(tblPosn,$A61,4))</f>
        <v>0</v>
      </c>
      <c r="R61" s="59" t="n">
        <f aca="true">IF($A61="",0,INDEX(tblPosn,$A61,5))</f>
        <v>0</v>
      </c>
      <c r="S61" s="59" t="n">
        <f aca="true">IF($A61="",0,INDEX(tblPosn,$A61,6))</f>
        <v>0</v>
      </c>
      <c r="T61" s="98" t="n">
        <f aca="false">O61*F61+P61*K61+R61*AC61+S61*AH61/0.72+Q61*X61</f>
        <v>0</v>
      </c>
      <c r="V61" s="161" t="n">
        <f aca="false">D61</f>
        <v>37742</v>
      </c>
      <c r="W61" s="94" t="n">
        <f aca="false">VLOOKUP($D61,tblPriorPrice,4)</f>
        <v>0</v>
      </c>
      <c r="X61" s="162" t="n">
        <f aca="false">Y61-W61</f>
        <v>0</v>
      </c>
      <c r="Y61" s="176" t="n">
        <f aca="false">L61</f>
        <v>0</v>
      </c>
      <c r="Z61" s="177" t="n">
        <f aca="false">Y61</f>
        <v>0</v>
      </c>
      <c r="AA61" s="177" t="n">
        <f aca="false">Y61</f>
        <v>0</v>
      </c>
      <c r="AB61" s="94" t="n">
        <f aca="false">VLOOKUP($D61,tblPriorPrice,5)</f>
        <v>0</v>
      </c>
      <c r="AC61" s="162" t="n">
        <f aca="false">AD61-AB61</f>
        <v>0</v>
      </c>
      <c r="AD61" s="176" t="n">
        <f aca="false">L61</f>
        <v>0</v>
      </c>
      <c r="AE61" s="96" t="n">
        <f aca="false">AD61</f>
        <v>0</v>
      </c>
      <c r="AF61" s="97" t="n">
        <f aca="false">AD61</f>
        <v>0</v>
      </c>
      <c r="AG61" s="94" t="n">
        <f aca="false">VLOOKUP($D61,tblPriorPrice,6)</f>
        <v>0</v>
      </c>
      <c r="AH61" s="182"/>
      <c r="AI61" s="189" t="n">
        <f aca="false">AG61+AH61</f>
        <v>0</v>
      </c>
      <c r="AJ61" s="96" t="n">
        <f aca="false">AI61</f>
        <v>0</v>
      </c>
      <c r="AK61" s="97" t="n">
        <f aca="false">AI61</f>
        <v>0</v>
      </c>
      <c r="AL61" s="178" t="n">
        <v>10</v>
      </c>
      <c r="AM61" s="165" t="n">
        <v>0.2</v>
      </c>
      <c r="AN61" s="166" t="n">
        <f aca="false">EnergyCurve!AN61*2</f>
        <v>0.59</v>
      </c>
      <c r="AO61" s="166" t="n">
        <f aca="false">EnergyCurve!AO61</f>
        <v>0.2655</v>
      </c>
      <c r="AP61" s="166" t="n">
        <f aca="false">AN61*1.25</f>
        <v>0.7375</v>
      </c>
      <c r="AQ61" s="166" t="n">
        <f aca="false">EnergyCurve!AQ61*2</f>
        <v>0.59</v>
      </c>
      <c r="AR61" s="166" t="n">
        <f aca="false">EnergyCurve!AR61</f>
        <v>0.236</v>
      </c>
      <c r="AS61" s="166" t="n">
        <f aca="false">EnergyCurve!AS61*1.25</f>
        <v>0.4425</v>
      </c>
      <c r="AT61" s="168" t="n">
        <f aca="false">EnergyCurve!AT61*2*2</f>
        <v>12.4198573007432</v>
      </c>
      <c r="AU61" s="169" t="n">
        <f aca="false">EnergyCurve!AU61</f>
        <v>-0.77624108129645</v>
      </c>
      <c r="AV61" s="169" t="n">
        <f aca="false">AT61*1.25</f>
        <v>15.524821625929</v>
      </c>
      <c r="AW61" s="168" t="n">
        <f aca="false">EnergyCurve!AW61*2*2</f>
        <v>9.5508</v>
      </c>
      <c r="AX61" s="169" t="n">
        <f aca="false">EnergyCurve!AX61</f>
        <v>-0.596925</v>
      </c>
      <c r="AY61" s="169" t="n">
        <f aca="false">AW61*1.25</f>
        <v>11.9385</v>
      </c>
      <c r="AZ61" s="167" t="n">
        <v>0</v>
      </c>
      <c r="BA61" s="74"/>
      <c r="BB61" s="193" t="n">
        <f aca="false">BB60+1</f>
        <v>103</v>
      </c>
      <c r="BC61" s="183"/>
      <c r="BD61" s="196"/>
      <c r="BE61" s="197"/>
      <c r="BF61" s="196"/>
      <c r="BG61" s="196"/>
      <c r="BH61" s="197"/>
      <c r="BI61" s="183"/>
      <c r="BJ61" s="196"/>
      <c r="BK61" s="197"/>
      <c r="BL61" s="196"/>
      <c r="BM61" s="196"/>
      <c r="BN61" s="197"/>
      <c r="BQ61" s="108" t="n">
        <v>36907.7428240741</v>
      </c>
      <c r="BR61" s="109" t="n">
        <v>36907.7434490741</v>
      </c>
      <c r="BS61" s="110" t="n">
        <v>37956</v>
      </c>
      <c r="BT61" s="111" t="n">
        <v>0</v>
      </c>
      <c r="BU61" s="112" t="n">
        <v>0</v>
      </c>
      <c r="BV61" s="112" t="n">
        <v>0</v>
      </c>
      <c r="BW61" s="112" t="n">
        <v>0</v>
      </c>
      <c r="BX61" s="113" t="n">
        <v>0</v>
      </c>
      <c r="BZ61" s="110" t="n">
        <v>37742</v>
      </c>
      <c r="CA61" s="116" t="n">
        <v>54.7039985656738</v>
      </c>
      <c r="CB61" s="116" t="n">
        <v>0</v>
      </c>
      <c r="CC61" s="116" t="n">
        <v>0</v>
      </c>
      <c r="CD61" s="116" t="n">
        <v>0</v>
      </c>
      <c r="CE61" s="117" t="n">
        <v>0</v>
      </c>
      <c r="CG61" s="135" t="n">
        <f aca="false">BB20</f>
        <v>2011</v>
      </c>
      <c r="CH61" s="136" t="n">
        <v>0</v>
      </c>
      <c r="CI61" s="137" t="n">
        <v>0</v>
      </c>
      <c r="CJ61" s="137" t="n">
        <v>0</v>
      </c>
      <c r="CK61" s="137" t="n">
        <v>0</v>
      </c>
      <c r="CL61" s="137" t="n">
        <v>0</v>
      </c>
      <c r="CM61" s="137" t="n">
        <v>0</v>
      </c>
      <c r="CN61" s="137" t="n">
        <v>0</v>
      </c>
      <c r="CO61" s="137" t="n">
        <v>0</v>
      </c>
      <c r="CP61" s="137" t="n">
        <v>0</v>
      </c>
      <c r="CQ61" s="137" t="n">
        <v>0</v>
      </c>
      <c r="CR61" s="137" t="n">
        <v>0</v>
      </c>
      <c r="CS61" s="138" t="n">
        <v>0</v>
      </c>
      <c r="CU61" s="135" t="n">
        <f aca="false">BB20</f>
        <v>2011</v>
      </c>
      <c r="CV61" s="136" t="n">
        <v>0</v>
      </c>
      <c r="CW61" s="137" t="n">
        <v>0</v>
      </c>
      <c r="CX61" s="137" t="n">
        <v>0</v>
      </c>
      <c r="CY61" s="137" t="n">
        <v>0</v>
      </c>
      <c r="CZ61" s="137" t="n">
        <v>0</v>
      </c>
      <c r="DA61" s="137" t="n">
        <v>0</v>
      </c>
      <c r="DB61" s="137" t="n">
        <v>0</v>
      </c>
      <c r="DC61" s="137" t="n">
        <v>0</v>
      </c>
      <c r="DD61" s="137" t="n">
        <v>0</v>
      </c>
      <c r="DE61" s="137" t="n">
        <v>0</v>
      </c>
      <c r="DF61" s="137" t="n">
        <v>0</v>
      </c>
      <c r="DG61" s="138" t="n">
        <v>0</v>
      </c>
      <c r="DI61" s="135" t="n">
        <f aca="false">BB20</f>
        <v>2011</v>
      </c>
      <c r="DJ61" s="136" t="n">
        <v>0</v>
      </c>
      <c r="DK61" s="137" t="n">
        <v>0</v>
      </c>
      <c r="DL61" s="137" t="n">
        <v>0</v>
      </c>
      <c r="DM61" s="137" t="n">
        <v>0</v>
      </c>
      <c r="DN61" s="137" t="n">
        <v>0</v>
      </c>
      <c r="DO61" s="137" t="n">
        <v>0</v>
      </c>
      <c r="DP61" s="137" t="n">
        <v>0</v>
      </c>
      <c r="DQ61" s="137" t="n">
        <v>0</v>
      </c>
      <c r="DR61" s="137" t="n">
        <v>0</v>
      </c>
      <c r="DS61" s="137" t="n">
        <v>0</v>
      </c>
      <c r="DT61" s="137" t="n">
        <v>0</v>
      </c>
      <c r="DU61" s="138" t="n">
        <v>0</v>
      </c>
    </row>
    <row r="62" customFormat="false" ht="12.75" hidden="false" customHeight="false" outlineLevel="0" collapsed="false">
      <c r="A62" s="0" t="n">
        <f aca="true">IF(ISERROR(MATCH(D62,iRefDt,0)),"",MATCH(D62,iRefDt,0))</f>
        <v>53</v>
      </c>
      <c r="B62" s="92" t="n">
        <f aca="false">MATCH(YEAR(D62),iSpreads)</f>
        <v>3</v>
      </c>
      <c r="C62" s="0" t="n">
        <f aca="false">MONTH(D62)</f>
        <v>6</v>
      </c>
      <c r="D62" s="93" t="n">
        <f aca="false">+EnergyCurve!D62</f>
        <v>37773</v>
      </c>
      <c r="E62" s="94" t="n">
        <f aca="false">VLOOKUP($D62,tblPriorPrice,2)</f>
        <v>64.7210006713867</v>
      </c>
      <c r="F62" s="95" t="n">
        <f aca="false">G62-E62</f>
        <v>-6.71386715112021E-007</v>
      </c>
      <c r="G62" s="264" t="n">
        <f aca="false">IF(EnergyCurve!G62&lt;200,0.001*EnergyCurve!G62+1,1.2)*EnergyCurve!G62</f>
        <v>64.721</v>
      </c>
      <c r="H62" s="96" t="n">
        <f aca="false">IF(EnergyCurve!H62&lt;200,0.001*EnergyCurve!H62+1,1.2)*EnergyCurve!H62</f>
        <v>59.136</v>
      </c>
      <c r="I62" s="96" t="n">
        <f aca="false">IF(EnergyCurve!I62&lt;200,0.001*EnergyCurve!I62+1,1.2)*EnergyCurve!I62</f>
        <v>81.776</v>
      </c>
      <c r="J62" s="94" t="n">
        <f aca="false">VLOOKUP($D62,tblPriorPrice,3)</f>
        <v>0</v>
      </c>
      <c r="K62" s="95" t="n">
        <f aca="false">L62-J62</f>
        <v>0</v>
      </c>
      <c r="L62" s="264" t="n">
        <v>0</v>
      </c>
      <c r="M62" s="96" t="n">
        <f aca="false">L62</f>
        <v>0</v>
      </c>
      <c r="N62" s="96" t="n">
        <f aca="false">L62</f>
        <v>0</v>
      </c>
      <c r="O62" s="58" t="n">
        <f aca="true">IF($A62="",0,INDEX(tblPosn,$A62,2))</f>
        <v>0</v>
      </c>
      <c r="P62" s="59" t="n">
        <f aca="true">IF($A62="",0,INDEX(tblPosn,$A62,3))</f>
        <v>0</v>
      </c>
      <c r="Q62" s="59" t="n">
        <f aca="true">IF($A62="",0,INDEX(tblPosn,$A62,4))</f>
        <v>0</v>
      </c>
      <c r="R62" s="59" t="n">
        <f aca="true">IF($A62="",0,INDEX(tblPosn,$A62,5))</f>
        <v>0</v>
      </c>
      <c r="S62" s="59" t="n">
        <f aca="true">IF($A62="",0,INDEX(tblPosn,$A62,6))</f>
        <v>0</v>
      </c>
      <c r="T62" s="98" t="n">
        <f aca="false">O62*F62+P62*K62+R62*AC62+S62*AH62/0.72+Q62*X62</f>
        <v>0</v>
      </c>
      <c r="V62" s="161" t="n">
        <f aca="false">D62</f>
        <v>37773</v>
      </c>
      <c r="W62" s="94" t="n">
        <f aca="false">VLOOKUP($D62,tblPriorPrice,4)</f>
        <v>0</v>
      </c>
      <c r="X62" s="162" t="n">
        <f aca="false">Y62-W62</f>
        <v>0</v>
      </c>
      <c r="Y62" s="176" t="n">
        <f aca="false">L62</f>
        <v>0</v>
      </c>
      <c r="Z62" s="177" t="n">
        <f aca="false">Y62</f>
        <v>0</v>
      </c>
      <c r="AA62" s="177" t="n">
        <f aca="false">Y62</f>
        <v>0</v>
      </c>
      <c r="AB62" s="94" t="n">
        <f aca="false">VLOOKUP($D62,tblPriorPrice,5)</f>
        <v>0</v>
      </c>
      <c r="AC62" s="162" t="n">
        <f aca="false">AD62-AB62</f>
        <v>0</v>
      </c>
      <c r="AD62" s="176" t="n">
        <f aca="false">L62</f>
        <v>0</v>
      </c>
      <c r="AE62" s="96" t="n">
        <f aca="false">AD62</f>
        <v>0</v>
      </c>
      <c r="AF62" s="97" t="n">
        <f aca="false">AD62</f>
        <v>0</v>
      </c>
      <c r="AG62" s="94" t="n">
        <f aca="false">VLOOKUP($D62,tblPriorPrice,6)</f>
        <v>0</v>
      </c>
      <c r="AH62" s="182"/>
      <c r="AI62" s="189" t="n">
        <f aca="false">AG62+AH62</f>
        <v>0</v>
      </c>
      <c r="AJ62" s="96" t="n">
        <f aca="false">AI62</f>
        <v>0</v>
      </c>
      <c r="AK62" s="97" t="n">
        <f aca="false">AI62</f>
        <v>0</v>
      </c>
      <c r="AL62" s="178" t="n">
        <v>10</v>
      </c>
      <c r="AM62" s="165" t="n">
        <v>0.3</v>
      </c>
      <c r="AN62" s="166" t="n">
        <f aca="false">EnergyCurve!AN62*2</f>
        <v>0.59</v>
      </c>
      <c r="AO62" s="166" t="n">
        <f aca="false">EnergyCurve!AO62</f>
        <v>0.2655</v>
      </c>
      <c r="AP62" s="166" t="n">
        <f aca="false">AN62*1.25</f>
        <v>0.7375</v>
      </c>
      <c r="AQ62" s="166" t="n">
        <f aca="false">EnergyCurve!AQ62*2</f>
        <v>0.59</v>
      </c>
      <c r="AR62" s="166" t="n">
        <f aca="false">EnergyCurve!AR62</f>
        <v>0.236</v>
      </c>
      <c r="AS62" s="166" t="n">
        <f aca="false">EnergyCurve!AS62*1.25</f>
        <v>0.4425</v>
      </c>
      <c r="AT62" s="168" t="n">
        <f aca="false">EnergyCurve!AT62*2*2</f>
        <v>15.68138311598</v>
      </c>
      <c r="AU62" s="169" t="n">
        <f aca="false">EnergyCurve!AU62</f>
        <v>-0.980086444748751</v>
      </c>
      <c r="AV62" s="169" t="n">
        <f aca="false">AT62*1.25</f>
        <v>19.601728894975</v>
      </c>
      <c r="AW62" s="168" t="n">
        <f aca="false">EnergyCurve!AW62*2*2</f>
        <v>8.9856</v>
      </c>
      <c r="AX62" s="169" t="n">
        <f aca="false">EnergyCurve!AX62</f>
        <v>-0.5616</v>
      </c>
      <c r="AY62" s="169" t="n">
        <f aca="false">AW62*1.25</f>
        <v>11.232</v>
      </c>
      <c r="AZ62" s="167" t="n">
        <v>0</v>
      </c>
      <c r="BA62" s="74"/>
      <c r="BB62" s="193" t="n">
        <f aca="false">BB61+1</f>
        <v>104</v>
      </c>
      <c r="BC62" s="183"/>
      <c r="BD62" s="196"/>
      <c r="BE62" s="197"/>
      <c r="BF62" s="196"/>
      <c r="BG62" s="196"/>
      <c r="BH62" s="197"/>
      <c r="BI62" s="183"/>
      <c r="BJ62" s="196"/>
      <c r="BK62" s="197"/>
      <c r="BL62" s="196"/>
      <c r="BM62" s="196"/>
      <c r="BN62" s="197"/>
      <c r="BQ62" s="108" t="n">
        <v>36907.7428240741</v>
      </c>
      <c r="BR62" s="109" t="n">
        <v>36907.7434490741</v>
      </c>
      <c r="BS62" s="110" t="n">
        <v>37987</v>
      </c>
      <c r="BT62" s="111" t="n">
        <v>0</v>
      </c>
      <c r="BU62" s="112" t="n">
        <v>0</v>
      </c>
      <c r="BV62" s="112" t="n">
        <v>0</v>
      </c>
      <c r="BW62" s="112" t="n">
        <v>0</v>
      </c>
      <c r="BX62" s="113" t="n">
        <v>0</v>
      </c>
      <c r="BZ62" s="110" t="n">
        <v>37773</v>
      </c>
      <c r="CA62" s="116" t="n">
        <v>64.7210006713867</v>
      </c>
      <c r="CB62" s="116" t="n">
        <v>0</v>
      </c>
      <c r="CC62" s="116" t="n">
        <v>0</v>
      </c>
      <c r="CD62" s="116" t="n">
        <v>0</v>
      </c>
      <c r="CE62" s="117" t="n">
        <v>0</v>
      </c>
      <c r="CG62" s="135" t="n">
        <f aca="false">BB21</f>
        <v>2012</v>
      </c>
      <c r="CH62" s="136" t="n">
        <v>0</v>
      </c>
      <c r="CI62" s="137" t="n">
        <v>0</v>
      </c>
      <c r="CJ62" s="137" t="n">
        <v>0</v>
      </c>
      <c r="CK62" s="137" t="n">
        <v>0</v>
      </c>
      <c r="CL62" s="137" t="n">
        <v>0</v>
      </c>
      <c r="CM62" s="137" t="n">
        <v>0</v>
      </c>
      <c r="CN62" s="137" t="n">
        <v>0</v>
      </c>
      <c r="CO62" s="137" t="n">
        <v>0</v>
      </c>
      <c r="CP62" s="137" t="n">
        <v>0</v>
      </c>
      <c r="CQ62" s="137" t="n">
        <v>0</v>
      </c>
      <c r="CR62" s="137" t="n">
        <v>0</v>
      </c>
      <c r="CS62" s="138" t="n">
        <v>0</v>
      </c>
      <c r="CU62" s="135" t="n">
        <f aca="false">BB21</f>
        <v>2012</v>
      </c>
      <c r="CV62" s="136" t="n">
        <v>0</v>
      </c>
      <c r="CW62" s="137" t="n">
        <v>0</v>
      </c>
      <c r="CX62" s="137" t="n">
        <v>0</v>
      </c>
      <c r="CY62" s="137" t="n">
        <v>0</v>
      </c>
      <c r="CZ62" s="137" t="n">
        <v>0</v>
      </c>
      <c r="DA62" s="137" t="n">
        <v>0</v>
      </c>
      <c r="DB62" s="137" t="n">
        <v>0</v>
      </c>
      <c r="DC62" s="137" t="n">
        <v>0</v>
      </c>
      <c r="DD62" s="137" t="n">
        <v>0</v>
      </c>
      <c r="DE62" s="137" t="n">
        <v>0</v>
      </c>
      <c r="DF62" s="137" t="n">
        <v>0</v>
      </c>
      <c r="DG62" s="138" t="n">
        <v>0</v>
      </c>
      <c r="DI62" s="135" t="n">
        <f aca="false">BB21</f>
        <v>2012</v>
      </c>
      <c r="DJ62" s="136" t="n">
        <v>0</v>
      </c>
      <c r="DK62" s="137" t="n">
        <v>0</v>
      </c>
      <c r="DL62" s="137" t="n">
        <v>0</v>
      </c>
      <c r="DM62" s="137" t="n">
        <v>0</v>
      </c>
      <c r="DN62" s="137" t="n">
        <v>0</v>
      </c>
      <c r="DO62" s="137" t="n">
        <v>0</v>
      </c>
      <c r="DP62" s="137" t="n">
        <v>0</v>
      </c>
      <c r="DQ62" s="137" t="n">
        <v>0</v>
      </c>
      <c r="DR62" s="137" t="n">
        <v>0</v>
      </c>
      <c r="DS62" s="137" t="n">
        <v>0</v>
      </c>
      <c r="DT62" s="137" t="n">
        <v>0</v>
      </c>
      <c r="DU62" s="138" t="n">
        <v>0</v>
      </c>
    </row>
    <row r="63" customFormat="false" ht="12.75" hidden="false" customHeight="false" outlineLevel="0" collapsed="false">
      <c r="A63" s="0" t="n">
        <f aca="true">IF(ISERROR(MATCH(D63,iRefDt,0)),"",MATCH(D63,iRefDt,0))</f>
        <v>54</v>
      </c>
      <c r="B63" s="92" t="n">
        <f aca="false">MATCH(YEAR(D63),iSpreads)</f>
        <v>3</v>
      </c>
      <c r="C63" s="0" t="n">
        <f aca="false">MONTH(D63)</f>
        <v>7</v>
      </c>
      <c r="D63" s="93" t="n">
        <f aca="false">+EnergyCurve!D63</f>
        <v>37803</v>
      </c>
      <c r="E63" s="94" t="n">
        <f aca="false">VLOOKUP($D63,tblPriorPrice,2)</f>
        <v>88.7239990234375</v>
      </c>
      <c r="F63" s="95" t="n">
        <f aca="false">G63-E63</f>
        <v>9.76562503751666E-007</v>
      </c>
      <c r="G63" s="264" t="n">
        <f aca="false">IF(EnergyCurve!G63&lt;200,0.001*EnergyCurve!G63+1,1.2)*EnergyCurve!G63</f>
        <v>88.724</v>
      </c>
      <c r="H63" s="96" t="n">
        <f aca="false">IF(EnergyCurve!H63&lt;200,0.001*EnergyCurve!H63+1,1.2)*EnergyCurve!H63</f>
        <v>82.929</v>
      </c>
      <c r="I63" s="96" t="n">
        <f aca="false">IF(EnergyCurve!I63&lt;200,0.001*EnergyCurve!I63+1,1.2)*EnergyCurve!I63</f>
        <v>106.409</v>
      </c>
      <c r="J63" s="94" t="n">
        <f aca="false">VLOOKUP($D63,tblPriorPrice,3)</f>
        <v>0</v>
      </c>
      <c r="K63" s="95" t="n">
        <f aca="false">L63-J63</f>
        <v>0</v>
      </c>
      <c r="L63" s="264" t="n">
        <v>0</v>
      </c>
      <c r="M63" s="96" t="n">
        <f aca="false">L63</f>
        <v>0</v>
      </c>
      <c r="N63" s="96" t="n">
        <f aca="false">L63</f>
        <v>0</v>
      </c>
      <c r="O63" s="58" t="n">
        <f aca="true">IF($A63="",0,INDEX(tblPosn,$A63,2))</f>
        <v>0</v>
      </c>
      <c r="P63" s="59" t="n">
        <f aca="true">IF($A63="",0,INDEX(tblPosn,$A63,3))</f>
        <v>0</v>
      </c>
      <c r="Q63" s="59" t="n">
        <f aca="true">IF($A63="",0,INDEX(tblPosn,$A63,4))</f>
        <v>0</v>
      </c>
      <c r="R63" s="59" t="n">
        <f aca="true">IF($A63="",0,INDEX(tblPosn,$A63,5))</f>
        <v>0</v>
      </c>
      <c r="S63" s="59" t="n">
        <f aca="true">IF($A63="",0,INDEX(tblPosn,$A63,6))</f>
        <v>0</v>
      </c>
      <c r="T63" s="98" t="n">
        <f aca="false">O63*F63+P63*K63+R63*AC63+S63*AH63/0.72+Q63*X63</f>
        <v>0</v>
      </c>
      <c r="V63" s="161" t="n">
        <f aca="false">D63</f>
        <v>37803</v>
      </c>
      <c r="W63" s="94" t="n">
        <f aca="false">VLOOKUP($D63,tblPriorPrice,4)</f>
        <v>0</v>
      </c>
      <c r="X63" s="162" t="n">
        <f aca="false">Y63-W63</f>
        <v>0</v>
      </c>
      <c r="Y63" s="176" t="n">
        <f aca="false">L63</f>
        <v>0</v>
      </c>
      <c r="Z63" s="177" t="n">
        <f aca="false">Y63</f>
        <v>0</v>
      </c>
      <c r="AA63" s="177" t="n">
        <f aca="false">Y63</f>
        <v>0</v>
      </c>
      <c r="AB63" s="94" t="n">
        <f aca="false">VLOOKUP($D63,tblPriorPrice,5)</f>
        <v>0</v>
      </c>
      <c r="AC63" s="162" t="n">
        <f aca="false">AD63-AB63</f>
        <v>0</v>
      </c>
      <c r="AD63" s="176" t="n">
        <f aca="false">L63</f>
        <v>0</v>
      </c>
      <c r="AE63" s="96" t="n">
        <f aca="false">AD63</f>
        <v>0</v>
      </c>
      <c r="AF63" s="97" t="n">
        <f aca="false">AD63</f>
        <v>0</v>
      </c>
      <c r="AG63" s="94" t="n">
        <f aca="false">VLOOKUP($D63,tblPriorPrice,6)</f>
        <v>0</v>
      </c>
      <c r="AH63" s="182"/>
      <c r="AI63" s="189" t="n">
        <f aca="false">AG63+AH63</f>
        <v>0</v>
      </c>
      <c r="AJ63" s="96" t="n">
        <f aca="false">AI63</f>
        <v>0</v>
      </c>
      <c r="AK63" s="97" t="n">
        <f aca="false">AI63</f>
        <v>0</v>
      </c>
      <c r="AL63" s="178" t="n">
        <v>11</v>
      </c>
      <c r="AM63" s="165" t="n">
        <v>0.3</v>
      </c>
      <c r="AN63" s="166" t="n">
        <f aca="false">EnergyCurve!AN63*2</f>
        <v>0.59</v>
      </c>
      <c r="AO63" s="166" t="n">
        <f aca="false">EnergyCurve!AO63</f>
        <v>0.2655</v>
      </c>
      <c r="AP63" s="166" t="n">
        <f aca="false">AN63*1.25</f>
        <v>0.7375</v>
      </c>
      <c r="AQ63" s="166" t="n">
        <f aca="false">EnergyCurve!AQ63*2</f>
        <v>0.59</v>
      </c>
      <c r="AR63" s="166" t="n">
        <f aca="false">EnergyCurve!AR63</f>
        <v>0.236</v>
      </c>
      <c r="AS63" s="166" t="n">
        <f aca="false">EnergyCurve!AS63*1.25</f>
        <v>0.4425</v>
      </c>
      <c r="AT63" s="168" t="n">
        <f aca="false">EnergyCurve!AT63*2*2</f>
        <v>23.5391108651697</v>
      </c>
      <c r="AU63" s="169" t="n">
        <f aca="false">EnergyCurve!AU63</f>
        <v>-1.47119442907311</v>
      </c>
      <c r="AV63" s="169" t="n">
        <f aca="false">AT63*1.25</f>
        <v>29.4238885814621</v>
      </c>
      <c r="AW63" s="168" t="n">
        <f aca="false">EnergyCurve!AW63*2*2</f>
        <v>8.9856</v>
      </c>
      <c r="AX63" s="169" t="n">
        <f aca="false">EnergyCurve!AX63</f>
        <v>-0.5616</v>
      </c>
      <c r="AY63" s="169" t="n">
        <f aca="false">AW63*1.25</f>
        <v>11.232</v>
      </c>
      <c r="AZ63" s="167" t="n">
        <v>0</v>
      </c>
      <c r="BA63" s="74"/>
      <c r="BB63" s="193" t="n">
        <f aca="false">BB62+1</f>
        <v>105</v>
      </c>
      <c r="BC63" s="183"/>
      <c r="BD63" s="196"/>
      <c r="BE63" s="197"/>
      <c r="BF63" s="196"/>
      <c r="BG63" s="196"/>
      <c r="BH63" s="197"/>
      <c r="BI63" s="183"/>
      <c r="BJ63" s="196"/>
      <c r="BK63" s="197"/>
      <c r="BL63" s="196"/>
      <c r="BM63" s="196"/>
      <c r="BN63" s="197"/>
      <c r="BQ63" s="108" t="n">
        <v>36907.7428240741</v>
      </c>
      <c r="BR63" s="109" t="n">
        <v>36907.7434490741</v>
      </c>
      <c r="BS63" s="110" t="n">
        <v>38018</v>
      </c>
      <c r="BT63" s="111" t="n">
        <v>0</v>
      </c>
      <c r="BU63" s="112" t="n">
        <v>0</v>
      </c>
      <c r="BV63" s="112" t="n">
        <v>0</v>
      </c>
      <c r="BW63" s="112" t="n">
        <v>0</v>
      </c>
      <c r="BX63" s="113" t="n">
        <v>0</v>
      </c>
      <c r="BZ63" s="110" t="n">
        <v>37803</v>
      </c>
      <c r="CA63" s="116" t="n">
        <v>88.7239990234375</v>
      </c>
      <c r="CB63" s="116" t="n">
        <v>0</v>
      </c>
      <c r="CC63" s="116" t="n">
        <v>0</v>
      </c>
      <c r="CD63" s="116" t="n">
        <v>0</v>
      </c>
      <c r="CE63" s="117" t="n">
        <v>0</v>
      </c>
      <c r="CG63" s="135" t="n">
        <f aca="false">BB22</f>
        <v>2013</v>
      </c>
      <c r="CH63" s="136" t="n">
        <v>0</v>
      </c>
      <c r="CI63" s="137" t="n">
        <v>0</v>
      </c>
      <c r="CJ63" s="137" t="n">
        <v>0</v>
      </c>
      <c r="CK63" s="137" t="n">
        <v>0</v>
      </c>
      <c r="CL63" s="137" t="n">
        <v>0</v>
      </c>
      <c r="CM63" s="137" t="n">
        <v>0</v>
      </c>
      <c r="CN63" s="137" t="n">
        <v>0</v>
      </c>
      <c r="CO63" s="137" t="n">
        <v>0</v>
      </c>
      <c r="CP63" s="137" t="n">
        <v>0</v>
      </c>
      <c r="CQ63" s="137" t="n">
        <v>0</v>
      </c>
      <c r="CR63" s="137" t="n">
        <v>0</v>
      </c>
      <c r="CS63" s="138" t="n">
        <v>0</v>
      </c>
      <c r="CU63" s="135" t="n">
        <f aca="false">BB22</f>
        <v>2013</v>
      </c>
      <c r="CV63" s="136" t="n">
        <v>0</v>
      </c>
      <c r="CW63" s="137" t="n">
        <v>0</v>
      </c>
      <c r="CX63" s="137" t="n">
        <v>0</v>
      </c>
      <c r="CY63" s="137" t="n">
        <v>0</v>
      </c>
      <c r="CZ63" s="137" t="n">
        <v>0</v>
      </c>
      <c r="DA63" s="137" t="n">
        <v>0</v>
      </c>
      <c r="DB63" s="137" t="n">
        <v>0</v>
      </c>
      <c r="DC63" s="137" t="n">
        <v>0</v>
      </c>
      <c r="DD63" s="137" t="n">
        <v>0</v>
      </c>
      <c r="DE63" s="137" t="n">
        <v>0</v>
      </c>
      <c r="DF63" s="137" t="n">
        <v>0</v>
      </c>
      <c r="DG63" s="138" t="n">
        <v>0</v>
      </c>
      <c r="DI63" s="135" t="n">
        <f aca="false">BB22</f>
        <v>2013</v>
      </c>
      <c r="DJ63" s="136" t="n">
        <v>0</v>
      </c>
      <c r="DK63" s="137" t="n">
        <v>0</v>
      </c>
      <c r="DL63" s="137" t="n">
        <v>0</v>
      </c>
      <c r="DM63" s="137" t="n">
        <v>0</v>
      </c>
      <c r="DN63" s="137" t="n">
        <v>0</v>
      </c>
      <c r="DO63" s="137" t="n">
        <v>0</v>
      </c>
      <c r="DP63" s="137" t="n">
        <v>0</v>
      </c>
      <c r="DQ63" s="137" t="n">
        <v>0</v>
      </c>
      <c r="DR63" s="137" t="n">
        <v>0</v>
      </c>
      <c r="DS63" s="137" t="n">
        <v>0</v>
      </c>
      <c r="DT63" s="137" t="n">
        <v>0</v>
      </c>
      <c r="DU63" s="138" t="n">
        <v>0</v>
      </c>
    </row>
    <row r="64" customFormat="false" ht="12.75" hidden="false" customHeight="false" outlineLevel="0" collapsed="false">
      <c r="A64" s="0" t="n">
        <f aca="true">IF(ISERROR(MATCH(D64,iRefDt,0)),"",MATCH(D64,iRefDt,0))</f>
        <v>55</v>
      </c>
      <c r="B64" s="92" t="n">
        <f aca="false">MATCH(YEAR(D64),iSpreads)</f>
        <v>3</v>
      </c>
      <c r="C64" s="0" t="n">
        <f aca="false">MONTH(D64)</f>
        <v>8</v>
      </c>
      <c r="D64" s="93" t="n">
        <f aca="false">+EnergyCurve!D64</f>
        <v>37834</v>
      </c>
      <c r="E64" s="94" t="n">
        <f aca="false">VLOOKUP($D64,tblPriorPrice,2)</f>
        <v>128.225006103516</v>
      </c>
      <c r="F64" s="95" t="n">
        <f aca="false">G64-E64</f>
        <v>-6.10351563068434E-006</v>
      </c>
      <c r="G64" s="264" t="n">
        <f aca="false">IF(EnergyCurve!G64&lt;200,0.001*EnergyCurve!G64+1,1.2)*EnergyCurve!G64</f>
        <v>128.225</v>
      </c>
      <c r="H64" s="96" t="n">
        <f aca="false">IF(EnergyCurve!H64&lt;200,0.001*EnergyCurve!H64+1,1.2)*EnergyCurve!H64</f>
        <v>122.1</v>
      </c>
      <c r="I64" s="96" t="n">
        <f aca="false">IF(EnergyCurve!I64&lt;200,0.001*EnergyCurve!I64+1,1.2)*EnergyCurve!I64</f>
        <v>146.9</v>
      </c>
      <c r="J64" s="94" t="n">
        <f aca="false">VLOOKUP($D64,tblPriorPrice,3)</f>
        <v>0</v>
      </c>
      <c r="K64" s="95" t="n">
        <f aca="false">L64-J64</f>
        <v>0</v>
      </c>
      <c r="L64" s="264" t="n">
        <v>0</v>
      </c>
      <c r="M64" s="96" t="n">
        <f aca="false">L64</f>
        <v>0</v>
      </c>
      <c r="N64" s="96" t="n">
        <f aca="false">L64</f>
        <v>0</v>
      </c>
      <c r="O64" s="58" t="n">
        <f aca="true">IF($A64="",0,INDEX(tblPosn,$A64,2))</f>
        <v>0</v>
      </c>
      <c r="P64" s="59" t="n">
        <f aca="true">IF($A64="",0,INDEX(tblPosn,$A64,3))</f>
        <v>0</v>
      </c>
      <c r="Q64" s="59" t="n">
        <f aca="true">IF($A64="",0,INDEX(tblPosn,$A64,4))</f>
        <v>0</v>
      </c>
      <c r="R64" s="59" t="n">
        <f aca="true">IF($A64="",0,INDEX(tblPosn,$A64,5))</f>
        <v>0</v>
      </c>
      <c r="S64" s="59" t="n">
        <f aca="true">IF($A64="",0,INDEX(tblPosn,$A64,6))</f>
        <v>0</v>
      </c>
      <c r="T64" s="98" t="n">
        <f aca="false">O64*F64+P64*K64+R64*AC64+S64*AH64/0.72+Q64*X64</f>
        <v>0</v>
      </c>
      <c r="V64" s="161" t="n">
        <f aca="false">D64</f>
        <v>37834</v>
      </c>
      <c r="W64" s="94" t="n">
        <f aca="false">VLOOKUP($D64,tblPriorPrice,4)</f>
        <v>0</v>
      </c>
      <c r="X64" s="162" t="n">
        <f aca="false">Y64-W64</f>
        <v>0</v>
      </c>
      <c r="Y64" s="176" t="n">
        <f aca="false">L64</f>
        <v>0</v>
      </c>
      <c r="Z64" s="177" t="n">
        <f aca="false">Y64</f>
        <v>0</v>
      </c>
      <c r="AA64" s="177" t="n">
        <f aca="false">Y64</f>
        <v>0</v>
      </c>
      <c r="AB64" s="94" t="n">
        <f aca="false">VLOOKUP($D64,tblPriorPrice,5)</f>
        <v>0</v>
      </c>
      <c r="AC64" s="162" t="n">
        <f aca="false">AD64-AB64</f>
        <v>0</v>
      </c>
      <c r="AD64" s="176" t="n">
        <f aca="false">L64</f>
        <v>0</v>
      </c>
      <c r="AE64" s="96" t="n">
        <f aca="false">AD64</f>
        <v>0</v>
      </c>
      <c r="AF64" s="97" t="n">
        <f aca="false">AD64</f>
        <v>0</v>
      </c>
      <c r="AG64" s="94" t="n">
        <f aca="false">VLOOKUP($D64,tblPriorPrice,6)</f>
        <v>0</v>
      </c>
      <c r="AH64" s="182"/>
      <c r="AI64" s="189" t="n">
        <f aca="false">AG64+AH64</f>
        <v>0</v>
      </c>
      <c r="AJ64" s="96" t="n">
        <f aca="false">AI64</f>
        <v>0</v>
      </c>
      <c r="AK64" s="97" t="n">
        <f aca="false">AI64</f>
        <v>0</v>
      </c>
      <c r="AL64" s="178" t="n">
        <v>11</v>
      </c>
      <c r="AM64" s="165" t="n">
        <v>0.3</v>
      </c>
      <c r="AN64" s="166" t="n">
        <f aca="false">EnergyCurve!AN64*2</f>
        <v>0.59</v>
      </c>
      <c r="AO64" s="166" t="n">
        <f aca="false">EnergyCurve!AO64</f>
        <v>0.2655</v>
      </c>
      <c r="AP64" s="166" t="n">
        <f aca="false">AN64*1.25</f>
        <v>0.7375</v>
      </c>
      <c r="AQ64" s="166" t="n">
        <f aca="false">EnergyCurve!AQ64*2</f>
        <v>0.59</v>
      </c>
      <c r="AR64" s="166" t="n">
        <f aca="false">EnergyCurve!AR64</f>
        <v>0.236</v>
      </c>
      <c r="AS64" s="166" t="n">
        <f aca="false">EnergyCurve!AS64*1.25</f>
        <v>0.4425</v>
      </c>
      <c r="AT64" s="168" t="n">
        <f aca="false">EnergyCurve!AT64*2*2</f>
        <v>33.27</v>
      </c>
      <c r="AU64" s="169" t="n">
        <f aca="false">EnergyCurve!AU64</f>
        <v>-2.079375</v>
      </c>
      <c r="AV64" s="169" t="n">
        <f aca="false">AT64*1.25</f>
        <v>41.5875</v>
      </c>
      <c r="AW64" s="168" t="n">
        <f aca="false">EnergyCurve!AW64*2*2</f>
        <v>8.8914</v>
      </c>
      <c r="AX64" s="169" t="n">
        <f aca="false">EnergyCurve!AX64</f>
        <v>-0.5557125</v>
      </c>
      <c r="AY64" s="169" t="n">
        <f aca="false">AW64*1.25</f>
        <v>11.11425</v>
      </c>
      <c r="AZ64" s="167" t="n">
        <v>0</v>
      </c>
      <c r="BA64" s="74"/>
      <c r="BB64" s="193" t="n">
        <f aca="false">BB63+1</f>
        <v>106</v>
      </c>
      <c r="BC64" s="183"/>
      <c r="BD64" s="196"/>
      <c r="BE64" s="197"/>
      <c r="BF64" s="196"/>
      <c r="BG64" s="196"/>
      <c r="BH64" s="197"/>
      <c r="BI64" s="183"/>
      <c r="BJ64" s="196"/>
      <c r="BK64" s="197"/>
      <c r="BL64" s="196"/>
      <c r="BM64" s="196"/>
      <c r="BN64" s="197"/>
      <c r="BQ64" s="108" t="n">
        <v>36907.7428240741</v>
      </c>
      <c r="BR64" s="109" t="n">
        <v>36907.7434490741</v>
      </c>
      <c r="BS64" s="110" t="n">
        <v>38047</v>
      </c>
      <c r="BT64" s="111" t="n">
        <v>0</v>
      </c>
      <c r="BU64" s="112" t="n">
        <v>0</v>
      </c>
      <c r="BV64" s="112" t="n">
        <v>0</v>
      </c>
      <c r="BW64" s="112" t="n">
        <v>0</v>
      </c>
      <c r="BX64" s="113" t="n">
        <v>0</v>
      </c>
      <c r="BZ64" s="110" t="n">
        <v>37834</v>
      </c>
      <c r="CA64" s="116" t="n">
        <v>128.225006103516</v>
      </c>
      <c r="CB64" s="116" t="n">
        <v>0</v>
      </c>
      <c r="CC64" s="116" t="n">
        <v>0</v>
      </c>
      <c r="CD64" s="116" t="n">
        <v>0</v>
      </c>
      <c r="CE64" s="117" t="n">
        <v>0</v>
      </c>
      <c r="CG64" s="135" t="n">
        <f aca="false">BB23</f>
        <v>2014</v>
      </c>
      <c r="CH64" s="136" t="n">
        <v>0</v>
      </c>
      <c r="CI64" s="137" t="n">
        <v>0</v>
      </c>
      <c r="CJ64" s="137" t="n">
        <v>0</v>
      </c>
      <c r="CK64" s="137" t="n">
        <v>0</v>
      </c>
      <c r="CL64" s="137" t="n">
        <v>0</v>
      </c>
      <c r="CM64" s="137" t="n">
        <v>0</v>
      </c>
      <c r="CN64" s="137" t="n">
        <v>0</v>
      </c>
      <c r="CO64" s="137" t="n">
        <v>0</v>
      </c>
      <c r="CP64" s="137" t="n">
        <v>0</v>
      </c>
      <c r="CQ64" s="137" t="n">
        <v>0</v>
      </c>
      <c r="CR64" s="137" t="n">
        <v>0</v>
      </c>
      <c r="CS64" s="138" t="n">
        <v>0</v>
      </c>
      <c r="CU64" s="135" t="n">
        <f aca="false">BB23</f>
        <v>2014</v>
      </c>
      <c r="CV64" s="136" t="n">
        <v>0</v>
      </c>
      <c r="CW64" s="137" t="n">
        <v>0</v>
      </c>
      <c r="CX64" s="137" t="n">
        <v>0</v>
      </c>
      <c r="CY64" s="137" t="n">
        <v>0</v>
      </c>
      <c r="CZ64" s="137" t="n">
        <v>0</v>
      </c>
      <c r="DA64" s="137" t="n">
        <v>0</v>
      </c>
      <c r="DB64" s="137" t="n">
        <v>0</v>
      </c>
      <c r="DC64" s="137" t="n">
        <v>0</v>
      </c>
      <c r="DD64" s="137" t="n">
        <v>0</v>
      </c>
      <c r="DE64" s="137" t="n">
        <v>0</v>
      </c>
      <c r="DF64" s="137" t="n">
        <v>0</v>
      </c>
      <c r="DG64" s="138" t="n">
        <v>0</v>
      </c>
      <c r="DI64" s="135" t="n">
        <f aca="false">BB23</f>
        <v>2014</v>
      </c>
      <c r="DJ64" s="136" t="n">
        <v>0</v>
      </c>
      <c r="DK64" s="137" t="n">
        <v>0</v>
      </c>
      <c r="DL64" s="137" t="n">
        <v>0</v>
      </c>
      <c r="DM64" s="137" t="n">
        <v>0</v>
      </c>
      <c r="DN64" s="137" t="n">
        <v>0</v>
      </c>
      <c r="DO64" s="137" t="n">
        <v>0</v>
      </c>
      <c r="DP64" s="137" t="n">
        <v>0</v>
      </c>
      <c r="DQ64" s="137" t="n">
        <v>0</v>
      </c>
      <c r="DR64" s="137" t="n">
        <v>0</v>
      </c>
      <c r="DS64" s="137" t="n">
        <v>0</v>
      </c>
      <c r="DT64" s="137" t="n">
        <v>0</v>
      </c>
      <c r="DU64" s="138" t="n">
        <v>0</v>
      </c>
    </row>
    <row r="65" customFormat="false" ht="12.75" hidden="false" customHeight="false" outlineLevel="0" collapsed="false">
      <c r="A65" s="0" t="n">
        <f aca="true">IF(ISERROR(MATCH(D65,iRefDt,0)),"",MATCH(D65,iRefDt,0))</f>
        <v>56</v>
      </c>
      <c r="B65" s="92" t="n">
        <f aca="false">MATCH(YEAR(D65),iSpreads)</f>
        <v>3</v>
      </c>
      <c r="C65" s="0" t="n">
        <f aca="false">MONTH(D65)</f>
        <v>9</v>
      </c>
      <c r="D65" s="93" t="n">
        <f aca="false">+EnergyCurve!D65</f>
        <v>37865</v>
      </c>
      <c r="E65" s="94" t="n">
        <f aca="false">VLOOKUP($D65,tblPriorPrice,2)</f>
        <v>95.7440032958984</v>
      </c>
      <c r="F65" s="95" t="n">
        <f aca="false">G65-E65</f>
        <v>-3.29589843772737E-006</v>
      </c>
      <c r="G65" s="264" t="n">
        <f aca="false">IF(EnergyCurve!G65&lt;200,0.001*EnergyCurve!G65+1,1.2)*EnergyCurve!G65</f>
        <v>95.744</v>
      </c>
      <c r="H65" s="96" t="n">
        <f aca="false">IF(EnergyCurve!H65&lt;200,0.001*EnergyCurve!H65+1,1.2)*EnergyCurve!H65</f>
        <v>89.889</v>
      </c>
      <c r="I65" s="96" t="n">
        <f aca="false">IF(EnergyCurve!I65&lt;200,0.001*EnergyCurve!I65+1,1.2)*EnergyCurve!I65</f>
        <v>113.609</v>
      </c>
      <c r="J65" s="94" t="n">
        <f aca="false">VLOOKUP($D65,tblPriorPrice,3)</f>
        <v>0</v>
      </c>
      <c r="K65" s="95" t="n">
        <f aca="false">L65-J65</f>
        <v>0</v>
      </c>
      <c r="L65" s="264" t="n">
        <v>0</v>
      </c>
      <c r="M65" s="96" t="n">
        <f aca="false">L65</f>
        <v>0</v>
      </c>
      <c r="N65" s="96" t="n">
        <f aca="false">L65</f>
        <v>0</v>
      </c>
      <c r="O65" s="58" t="n">
        <f aca="true">IF($A65="",0,INDEX(tblPosn,$A65,2))</f>
        <v>0</v>
      </c>
      <c r="P65" s="59" t="n">
        <f aca="true">IF($A65="",0,INDEX(tblPosn,$A65,3))</f>
        <v>0</v>
      </c>
      <c r="Q65" s="59" t="n">
        <f aca="true">IF($A65="",0,INDEX(tblPosn,$A65,4))</f>
        <v>0</v>
      </c>
      <c r="R65" s="59" t="n">
        <f aca="true">IF($A65="",0,INDEX(tblPosn,$A65,5))</f>
        <v>0</v>
      </c>
      <c r="S65" s="59" t="n">
        <f aca="true">IF($A65="",0,INDEX(tblPosn,$A65,6))</f>
        <v>0</v>
      </c>
      <c r="T65" s="98" t="n">
        <f aca="false">O65*F65+P65*K65+R65*AC65+S65*AH65/0.72+Q65*X65</f>
        <v>0</v>
      </c>
      <c r="V65" s="161" t="n">
        <f aca="false">D65</f>
        <v>37865</v>
      </c>
      <c r="W65" s="94" t="n">
        <f aca="false">VLOOKUP($D65,tblPriorPrice,4)</f>
        <v>0</v>
      </c>
      <c r="X65" s="162" t="n">
        <f aca="false">Y65-W65</f>
        <v>0</v>
      </c>
      <c r="Y65" s="176" t="n">
        <f aca="false">L65</f>
        <v>0</v>
      </c>
      <c r="Z65" s="177" t="n">
        <f aca="false">Y65</f>
        <v>0</v>
      </c>
      <c r="AA65" s="177" t="n">
        <f aca="false">Y65</f>
        <v>0</v>
      </c>
      <c r="AB65" s="94" t="n">
        <f aca="false">VLOOKUP($D65,tblPriorPrice,5)</f>
        <v>0</v>
      </c>
      <c r="AC65" s="162" t="n">
        <f aca="false">AD65-AB65</f>
        <v>0</v>
      </c>
      <c r="AD65" s="176" t="n">
        <f aca="false">L65</f>
        <v>0</v>
      </c>
      <c r="AE65" s="96" t="n">
        <f aca="false">AD65</f>
        <v>0</v>
      </c>
      <c r="AF65" s="97" t="n">
        <f aca="false">AD65</f>
        <v>0</v>
      </c>
      <c r="AG65" s="94" t="n">
        <f aca="false">VLOOKUP($D65,tblPriorPrice,6)</f>
        <v>0</v>
      </c>
      <c r="AH65" s="182"/>
      <c r="AI65" s="189" t="n">
        <f aca="false">AG65+AH65</f>
        <v>0</v>
      </c>
      <c r="AJ65" s="96" t="n">
        <f aca="false">AI65</f>
        <v>0</v>
      </c>
      <c r="AK65" s="97" t="n">
        <f aca="false">AI65</f>
        <v>0</v>
      </c>
      <c r="AL65" s="178" t="n">
        <v>11</v>
      </c>
      <c r="AM65" s="165" t="n">
        <v>0.3</v>
      </c>
      <c r="AN65" s="166" t="n">
        <f aca="false">EnergyCurve!AN65*2</f>
        <v>0.59</v>
      </c>
      <c r="AO65" s="166" t="n">
        <f aca="false">EnergyCurve!AO65</f>
        <v>0.2655</v>
      </c>
      <c r="AP65" s="166" t="n">
        <f aca="false">AN65*1.25</f>
        <v>0.7375</v>
      </c>
      <c r="AQ65" s="166" t="n">
        <f aca="false">EnergyCurve!AQ65*2</f>
        <v>0.59</v>
      </c>
      <c r="AR65" s="166" t="n">
        <f aca="false">EnergyCurve!AR65</f>
        <v>0.236</v>
      </c>
      <c r="AS65" s="166" t="n">
        <f aca="false">EnergyCurve!AS65*1.25</f>
        <v>0.4425</v>
      </c>
      <c r="AT65" s="168" t="n">
        <f aca="false">EnergyCurve!AT65*2*2</f>
        <v>25.7629329276808</v>
      </c>
      <c r="AU65" s="169" t="n">
        <f aca="false">EnergyCurve!AU65</f>
        <v>-1.61018330798005</v>
      </c>
      <c r="AV65" s="169" t="n">
        <f aca="false">AT65*1.25</f>
        <v>32.203666159601</v>
      </c>
      <c r="AW65" s="168" t="n">
        <f aca="false">EnergyCurve!AW65*2*2</f>
        <v>9.3624</v>
      </c>
      <c r="AX65" s="169" t="n">
        <f aca="false">EnergyCurve!AX65</f>
        <v>-0.58515</v>
      </c>
      <c r="AY65" s="169" t="n">
        <f aca="false">AW65*1.25</f>
        <v>11.703</v>
      </c>
      <c r="AZ65" s="167" t="n">
        <v>0</v>
      </c>
      <c r="BA65" s="74"/>
      <c r="BB65" s="193" t="n">
        <f aca="false">BB64+1</f>
        <v>107</v>
      </c>
      <c r="BC65" s="183"/>
      <c r="BD65" s="196"/>
      <c r="BE65" s="197"/>
      <c r="BF65" s="196"/>
      <c r="BG65" s="196"/>
      <c r="BH65" s="197"/>
      <c r="BI65" s="183"/>
      <c r="BJ65" s="196"/>
      <c r="BK65" s="197"/>
      <c r="BL65" s="196"/>
      <c r="BM65" s="196"/>
      <c r="BN65" s="197"/>
      <c r="BQ65" s="108" t="n">
        <v>36907.7428240741</v>
      </c>
      <c r="BR65" s="109" t="n">
        <v>36907.7434490741</v>
      </c>
      <c r="BS65" s="110" t="n">
        <v>38078</v>
      </c>
      <c r="BT65" s="111" t="n">
        <v>0</v>
      </c>
      <c r="BU65" s="112" t="n">
        <v>0</v>
      </c>
      <c r="BV65" s="112" t="n">
        <v>0</v>
      </c>
      <c r="BW65" s="112" t="n">
        <v>0</v>
      </c>
      <c r="BX65" s="113" t="n">
        <v>0</v>
      </c>
      <c r="BZ65" s="110" t="n">
        <v>37865</v>
      </c>
      <c r="CA65" s="116" t="n">
        <v>95.7440032958984</v>
      </c>
      <c r="CB65" s="116" t="n">
        <v>0</v>
      </c>
      <c r="CC65" s="116" t="n">
        <v>0</v>
      </c>
      <c r="CD65" s="116" t="n">
        <v>0</v>
      </c>
      <c r="CE65" s="117" t="n">
        <v>0</v>
      </c>
      <c r="CG65" s="135" t="n">
        <f aca="false">BB24</f>
        <v>2015</v>
      </c>
      <c r="CH65" s="136" t="n">
        <v>0</v>
      </c>
      <c r="CI65" s="137" t="n">
        <v>0</v>
      </c>
      <c r="CJ65" s="137" t="n">
        <v>0</v>
      </c>
      <c r="CK65" s="137" t="n">
        <v>0</v>
      </c>
      <c r="CL65" s="137" t="n">
        <v>0</v>
      </c>
      <c r="CM65" s="137" t="n">
        <v>0</v>
      </c>
      <c r="CN65" s="137" t="n">
        <v>0</v>
      </c>
      <c r="CO65" s="137" t="n">
        <v>0</v>
      </c>
      <c r="CP65" s="137" t="n">
        <v>0</v>
      </c>
      <c r="CQ65" s="137" t="n">
        <v>0</v>
      </c>
      <c r="CR65" s="137" t="n">
        <v>0</v>
      </c>
      <c r="CS65" s="138" t="n">
        <v>0</v>
      </c>
      <c r="CU65" s="135" t="n">
        <f aca="false">BB24</f>
        <v>2015</v>
      </c>
      <c r="CV65" s="136" t="n">
        <v>0</v>
      </c>
      <c r="CW65" s="137" t="n">
        <v>0</v>
      </c>
      <c r="CX65" s="137" t="n">
        <v>0</v>
      </c>
      <c r="CY65" s="137" t="n">
        <v>0</v>
      </c>
      <c r="CZ65" s="137" t="n">
        <v>0</v>
      </c>
      <c r="DA65" s="137" t="n">
        <v>0</v>
      </c>
      <c r="DB65" s="137" t="n">
        <v>0</v>
      </c>
      <c r="DC65" s="137" t="n">
        <v>0</v>
      </c>
      <c r="DD65" s="137" t="n">
        <v>0</v>
      </c>
      <c r="DE65" s="137" t="n">
        <v>0</v>
      </c>
      <c r="DF65" s="137" t="n">
        <v>0</v>
      </c>
      <c r="DG65" s="138" t="n">
        <v>0</v>
      </c>
      <c r="DI65" s="135" t="n">
        <f aca="false">BB24</f>
        <v>2015</v>
      </c>
      <c r="DJ65" s="136" t="n">
        <v>0</v>
      </c>
      <c r="DK65" s="137" t="n">
        <v>0</v>
      </c>
      <c r="DL65" s="137" t="n">
        <v>0</v>
      </c>
      <c r="DM65" s="137" t="n">
        <v>0</v>
      </c>
      <c r="DN65" s="137" t="n">
        <v>0</v>
      </c>
      <c r="DO65" s="137" t="n">
        <v>0</v>
      </c>
      <c r="DP65" s="137" t="n">
        <v>0</v>
      </c>
      <c r="DQ65" s="137" t="n">
        <v>0</v>
      </c>
      <c r="DR65" s="137" t="n">
        <v>0</v>
      </c>
      <c r="DS65" s="137" t="n">
        <v>0</v>
      </c>
      <c r="DT65" s="137" t="n">
        <v>0</v>
      </c>
      <c r="DU65" s="138" t="n">
        <v>0</v>
      </c>
    </row>
    <row r="66" customFormat="false" ht="12.75" hidden="false" customHeight="false" outlineLevel="0" collapsed="false">
      <c r="A66" s="0" t="n">
        <f aca="true">IF(ISERROR(MATCH(D66,iRefDt,0)),"",MATCH(D66,iRefDt,0))</f>
        <v>57</v>
      </c>
      <c r="B66" s="92" t="n">
        <f aca="false">MATCH(YEAR(D66),iSpreads)</f>
        <v>3</v>
      </c>
      <c r="C66" s="0" t="n">
        <f aca="false">MONTH(D66)</f>
        <v>10</v>
      </c>
      <c r="D66" s="93" t="n">
        <f aca="false">+EnergyCurve!D66</f>
        <v>37895</v>
      </c>
      <c r="E66" s="94" t="n">
        <f aca="false">VLOOKUP($D66,tblPriorPrice,2)</f>
        <v>62.4809989929199</v>
      </c>
      <c r="F66" s="95" t="n">
        <f aca="false">G66-E66</f>
        <v>1.00708007266803E-006</v>
      </c>
      <c r="G66" s="264" t="n">
        <f aca="false">IF(EnergyCurve!G66&lt;200,0.001*EnergyCurve!G66+1,1.2)*EnergyCurve!G66</f>
        <v>62.481</v>
      </c>
      <c r="H66" s="96" t="n">
        <f aca="false">IF(EnergyCurve!H66&lt;200,0.001*EnergyCurve!H66+1,1.2)*EnergyCurve!H66</f>
        <v>56.916</v>
      </c>
      <c r="I66" s="96" t="n">
        <f aca="false">IF(EnergyCurve!I66&lt;200,0.001*EnergyCurve!I66+1,1.2)*EnergyCurve!I66</f>
        <v>79.476</v>
      </c>
      <c r="J66" s="94" t="n">
        <f aca="false">VLOOKUP($D66,tblPriorPrice,3)</f>
        <v>0</v>
      </c>
      <c r="K66" s="95" t="n">
        <f aca="false">L66-J66</f>
        <v>0</v>
      </c>
      <c r="L66" s="264" t="n">
        <v>0</v>
      </c>
      <c r="M66" s="96" t="n">
        <f aca="false">L66</f>
        <v>0</v>
      </c>
      <c r="N66" s="96" t="n">
        <f aca="false">L66</f>
        <v>0</v>
      </c>
      <c r="O66" s="58" t="n">
        <f aca="true">IF($A66="",0,INDEX(tblPosn,$A66,2))</f>
        <v>0</v>
      </c>
      <c r="P66" s="59" t="n">
        <f aca="true">IF($A66="",0,INDEX(tblPosn,$A66,3))</f>
        <v>0</v>
      </c>
      <c r="Q66" s="59" t="n">
        <f aca="true">IF($A66="",0,INDEX(tblPosn,$A66,4))</f>
        <v>0</v>
      </c>
      <c r="R66" s="59" t="n">
        <f aca="true">IF($A66="",0,INDEX(tblPosn,$A66,5))</f>
        <v>0</v>
      </c>
      <c r="S66" s="59" t="n">
        <f aca="true">IF($A66="",0,INDEX(tblPosn,$A66,6))</f>
        <v>0</v>
      </c>
      <c r="T66" s="98" t="n">
        <f aca="false">O66*F66+P66*K66+R66*AC66+S66*AH66/0.72+Q66*X66</f>
        <v>0</v>
      </c>
      <c r="V66" s="161" t="n">
        <f aca="false">D66</f>
        <v>37895</v>
      </c>
      <c r="W66" s="94" t="n">
        <f aca="false">VLOOKUP($D66,tblPriorPrice,4)</f>
        <v>0</v>
      </c>
      <c r="X66" s="162" t="n">
        <f aca="false">Y66-W66</f>
        <v>0</v>
      </c>
      <c r="Y66" s="176" t="n">
        <f aca="false">L66</f>
        <v>0</v>
      </c>
      <c r="Z66" s="177" t="n">
        <f aca="false">Y66</f>
        <v>0</v>
      </c>
      <c r="AA66" s="177" t="n">
        <f aca="false">Y66</f>
        <v>0</v>
      </c>
      <c r="AB66" s="94" t="n">
        <f aca="false">VLOOKUP($D66,tblPriorPrice,5)</f>
        <v>0</v>
      </c>
      <c r="AC66" s="162" t="n">
        <f aca="false">AD66-AB66</f>
        <v>0</v>
      </c>
      <c r="AD66" s="176" t="n">
        <f aca="false">L66</f>
        <v>0</v>
      </c>
      <c r="AE66" s="96" t="n">
        <f aca="false">AD66</f>
        <v>0</v>
      </c>
      <c r="AF66" s="97" t="n">
        <f aca="false">AD66</f>
        <v>0</v>
      </c>
      <c r="AG66" s="94" t="n">
        <f aca="false">VLOOKUP($D66,tblPriorPrice,6)</f>
        <v>0</v>
      </c>
      <c r="AH66" s="182"/>
      <c r="AI66" s="189" t="n">
        <f aca="false">AG66+AH66</f>
        <v>0</v>
      </c>
      <c r="AJ66" s="96" t="n">
        <f aca="false">AI66</f>
        <v>0</v>
      </c>
      <c r="AK66" s="97" t="n">
        <f aca="false">AI66</f>
        <v>0</v>
      </c>
      <c r="AL66" s="178" t="n">
        <v>12</v>
      </c>
      <c r="AM66" s="165" t="n">
        <v>0.3</v>
      </c>
      <c r="AN66" s="166" t="n">
        <f aca="false">EnergyCurve!AN66*2</f>
        <v>0.59</v>
      </c>
      <c r="AO66" s="166" t="n">
        <f aca="false">EnergyCurve!AO66</f>
        <v>0.2655</v>
      </c>
      <c r="AP66" s="166" t="n">
        <f aca="false">AN66*1.25</f>
        <v>0.7375</v>
      </c>
      <c r="AQ66" s="166" t="n">
        <f aca="false">EnergyCurve!AQ66*2</f>
        <v>0.59</v>
      </c>
      <c r="AR66" s="166" t="n">
        <f aca="false">EnergyCurve!AR66</f>
        <v>0.236</v>
      </c>
      <c r="AS66" s="166" t="n">
        <f aca="false">EnergyCurve!AS66*1.25</f>
        <v>0.4425</v>
      </c>
      <c r="AT66" s="168" t="n">
        <f aca="false">EnergyCurve!AT66*2*2</f>
        <v>14.9436126167388</v>
      </c>
      <c r="AU66" s="169" t="n">
        <f aca="false">EnergyCurve!AU66</f>
        <v>-0.933975788546176</v>
      </c>
      <c r="AV66" s="169" t="n">
        <f aca="false">AT66*1.25</f>
        <v>18.6795157709235</v>
      </c>
      <c r="AW66" s="168" t="n">
        <f aca="false">EnergyCurve!AW66*2*2</f>
        <v>9.174</v>
      </c>
      <c r="AX66" s="169" t="n">
        <f aca="false">EnergyCurve!AX66</f>
        <v>-0.573375</v>
      </c>
      <c r="AY66" s="169" t="n">
        <f aca="false">AW66*1.25</f>
        <v>11.4675</v>
      </c>
      <c r="AZ66" s="167" t="n">
        <v>0</v>
      </c>
      <c r="BA66" s="74"/>
      <c r="BB66" s="193" t="n">
        <f aca="false">BB65+1</f>
        <v>108</v>
      </c>
      <c r="BC66" s="183"/>
      <c r="BD66" s="196"/>
      <c r="BE66" s="197"/>
      <c r="BF66" s="196"/>
      <c r="BG66" s="196"/>
      <c r="BH66" s="197"/>
      <c r="BI66" s="183"/>
      <c r="BJ66" s="196"/>
      <c r="BK66" s="197"/>
      <c r="BL66" s="196"/>
      <c r="BM66" s="196"/>
      <c r="BN66" s="197"/>
      <c r="BQ66" s="108" t="n">
        <v>36907.7428240741</v>
      </c>
      <c r="BR66" s="109" t="n">
        <v>36907.7434490741</v>
      </c>
      <c r="BS66" s="110" t="n">
        <v>38108</v>
      </c>
      <c r="BT66" s="111" t="n">
        <v>0</v>
      </c>
      <c r="BU66" s="112" t="n">
        <v>0</v>
      </c>
      <c r="BV66" s="112" t="n">
        <v>0</v>
      </c>
      <c r="BW66" s="112" t="n">
        <v>0</v>
      </c>
      <c r="BX66" s="113" t="n">
        <v>0</v>
      </c>
      <c r="BZ66" s="110" t="n">
        <v>37895</v>
      </c>
      <c r="CA66" s="116" t="n">
        <v>62.4809989929199</v>
      </c>
      <c r="CB66" s="116" t="n">
        <v>0</v>
      </c>
      <c r="CC66" s="116" t="n">
        <v>0</v>
      </c>
      <c r="CD66" s="116" t="n">
        <v>0</v>
      </c>
      <c r="CE66" s="117" t="n">
        <v>0</v>
      </c>
      <c r="CG66" s="135" t="n">
        <f aca="false">BB25</f>
        <v>2016</v>
      </c>
      <c r="CH66" s="136" t="n">
        <v>0</v>
      </c>
      <c r="CI66" s="137" t="n">
        <v>0</v>
      </c>
      <c r="CJ66" s="137" t="n">
        <v>0</v>
      </c>
      <c r="CK66" s="137" t="n">
        <v>0</v>
      </c>
      <c r="CL66" s="137" t="n">
        <v>0</v>
      </c>
      <c r="CM66" s="137" t="n">
        <v>0</v>
      </c>
      <c r="CN66" s="137" t="n">
        <v>0</v>
      </c>
      <c r="CO66" s="137" t="n">
        <v>0</v>
      </c>
      <c r="CP66" s="137" t="n">
        <v>0</v>
      </c>
      <c r="CQ66" s="137" t="n">
        <v>0</v>
      </c>
      <c r="CR66" s="137" t="n">
        <v>0</v>
      </c>
      <c r="CS66" s="138" t="n">
        <v>0</v>
      </c>
      <c r="CU66" s="135" t="n">
        <f aca="false">BB25</f>
        <v>2016</v>
      </c>
      <c r="CV66" s="136" t="n">
        <v>0</v>
      </c>
      <c r="CW66" s="137" t="n">
        <v>0</v>
      </c>
      <c r="CX66" s="137" t="n">
        <v>0</v>
      </c>
      <c r="CY66" s="137" t="n">
        <v>0</v>
      </c>
      <c r="CZ66" s="137" t="n">
        <v>0</v>
      </c>
      <c r="DA66" s="137" t="n">
        <v>0</v>
      </c>
      <c r="DB66" s="137" t="n">
        <v>0</v>
      </c>
      <c r="DC66" s="137" t="n">
        <v>0</v>
      </c>
      <c r="DD66" s="137" t="n">
        <v>0</v>
      </c>
      <c r="DE66" s="137" t="n">
        <v>0</v>
      </c>
      <c r="DF66" s="137" t="n">
        <v>0</v>
      </c>
      <c r="DG66" s="138" t="n">
        <v>0</v>
      </c>
      <c r="DI66" s="135" t="n">
        <f aca="false">BB25</f>
        <v>2016</v>
      </c>
      <c r="DJ66" s="136" t="n">
        <v>0</v>
      </c>
      <c r="DK66" s="137" t="n">
        <v>0</v>
      </c>
      <c r="DL66" s="137" t="n">
        <v>0</v>
      </c>
      <c r="DM66" s="137" t="n">
        <v>0</v>
      </c>
      <c r="DN66" s="137" t="n">
        <v>0</v>
      </c>
      <c r="DO66" s="137" t="n">
        <v>0</v>
      </c>
      <c r="DP66" s="137" t="n">
        <v>0</v>
      </c>
      <c r="DQ66" s="137" t="n">
        <v>0</v>
      </c>
      <c r="DR66" s="137" t="n">
        <v>0</v>
      </c>
      <c r="DS66" s="137" t="n">
        <v>0</v>
      </c>
      <c r="DT66" s="137" t="n">
        <v>0</v>
      </c>
      <c r="DU66" s="138" t="n">
        <v>0</v>
      </c>
    </row>
    <row r="67" customFormat="false" ht="12.75" hidden="false" customHeight="false" outlineLevel="0" collapsed="false">
      <c r="A67" s="0" t="n">
        <f aca="true">IF(ISERROR(MATCH(D67,iRefDt,0)),"",MATCH(D67,iRefDt,0))</f>
        <v>58</v>
      </c>
      <c r="B67" s="92" t="n">
        <f aca="false">MATCH(YEAR(D67),iSpreads)</f>
        <v>3</v>
      </c>
      <c r="C67" s="0" t="n">
        <f aca="false">MONTH(D67)</f>
        <v>11</v>
      </c>
      <c r="D67" s="93" t="n">
        <f aca="false">+EnergyCurve!D67</f>
        <v>37926</v>
      </c>
      <c r="E67" s="94" t="n">
        <f aca="false">VLOOKUP($D67,tblPriorPrice,2)</f>
        <v>69.2249984741211</v>
      </c>
      <c r="F67" s="95" t="n">
        <f aca="false">G67-E67</f>
        <v>1.52587890056566E-006</v>
      </c>
      <c r="G67" s="264" t="n">
        <f aca="false">IF(EnergyCurve!G67&lt;200,0.001*EnergyCurve!G67+1,1.2)*EnergyCurve!G67</f>
        <v>69.225</v>
      </c>
      <c r="H67" s="96" t="n">
        <f aca="false">IF(EnergyCurve!H67&lt;200,0.001*EnergyCurve!H67+1,1.2)*EnergyCurve!H67</f>
        <v>63.6</v>
      </c>
      <c r="I67" s="96" t="n">
        <f aca="false">IF(EnergyCurve!I67&lt;200,0.001*EnergyCurve!I67+1,1.2)*EnergyCurve!I67</f>
        <v>86.4</v>
      </c>
      <c r="J67" s="94" t="n">
        <f aca="false">VLOOKUP($D67,tblPriorPrice,3)</f>
        <v>0</v>
      </c>
      <c r="K67" s="95" t="n">
        <f aca="false">L67-J67</f>
        <v>0</v>
      </c>
      <c r="L67" s="264" t="n">
        <v>0</v>
      </c>
      <c r="M67" s="96" t="n">
        <f aca="false">L67</f>
        <v>0</v>
      </c>
      <c r="N67" s="96" t="n">
        <f aca="false">L67</f>
        <v>0</v>
      </c>
      <c r="O67" s="58" t="n">
        <f aca="true">IF($A67="",0,INDEX(tblPosn,$A67,2))</f>
        <v>0</v>
      </c>
      <c r="P67" s="59" t="n">
        <f aca="true">IF($A67="",0,INDEX(tblPosn,$A67,3))</f>
        <v>0</v>
      </c>
      <c r="Q67" s="59" t="n">
        <f aca="true">IF($A67="",0,INDEX(tblPosn,$A67,4))</f>
        <v>0</v>
      </c>
      <c r="R67" s="59" t="n">
        <f aca="true">IF($A67="",0,INDEX(tblPosn,$A67,5))</f>
        <v>0</v>
      </c>
      <c r="S67" s="59" t="n">
        <f aca="true">IF($A67="",0,INDEX(tblPosn,$A67,6))</f>
        <v>0</v>
      </c>
      <c r="T67" s="98" t="n">
        <f aca="false">O67*F67+P67*K67+R67*AC67+S67*AH67/0.72+Q67*X67</f>
        <v>0</v>
      </c>
      <c r="V67" s="161" t="n">
        <f aca="false">D67</f>
        <v>37926</v>
      </c>
      <c r="W67" s="94" t="n">
        <f aca="false">VLOOKUP($D67,tblPriorPrice,4)</f>
        <v>0</v>
      </c>
      <c r="X67" s="162" t="n">
        <f aca="false">Y67-W67</f>
        <v>0</v>
      </c>
      <c r="Y67" s="176" t="n">
        <f aca="false">L67</f>
        <v>0</v>
      </c>
      <c r="Z67" s="177" t="n">
        <f aca="false">Y67</f>
        <v>0</v>
      </c>
      <c r="AA67" s="177" t="n">
        <f aca="false">Y67</f>
        <v>0</v>
      </c>
      <c r="AB67" s="94" t="n">
        <f aca="false">VLOOKUP($D67,tblPriorPrice,5)</f>
        <v>0</v>
      </c>
      <c r="AC67" s="162" t="n">
        <f aca="false">AD67-AB67</f>
        <v>0</v>
      </c>
      <c r="AD67" s="176" t="n">
        <f aca="false">L67</f>
        <v>0</v>
      </c>
      <c r="AE67" s="96" t="n">
        <f aca="false">AD67</f>
        <v>0</v>
      </c>
      <c r="AF67" s="97" t="n">
        <f aca="false">AD67</f>
        <v>0</v>
      </c>
      <c r="AG67" s="94" t="n">
        <f aca="false">VLOOKUP($D67,tblPriorPrice,6)</f>
        <v>0</v>
      </c>
      <c r="AH67" s="182"/>
      <c r="AI67" s="189" t="n">
        <f aca="false">AG67+AH67</f>
        <v>0</v>
      </c>
      <c r="AJ67" s="96" t="n">
        <f aca="false">AI67</f>
        <v>0</v>
      </c>
      <c r="AK67" s="97" t="n">
        <f aca="false">AI67</f>
        <v>0</v>
      </c>
      <c r="AL67" s="178" t="n">
        <v>12</v>
      </c>
      <c r="AM67" s="165" t="n">
        <v>0.3</v>
      </c>
      <c r="AN67" s="166" t="n">
        <f aca="false">EnergyCurve!AN67*2</f>
        <v>0.59</v>
      </c>
      <c r="AO67" s="166" t="n">
        <f aca="false">EnergyCurve!AO67</f>
        <v>0.2655</v>
      </c>
      <c r="AP67" s="166" t="n">
        <f aca="false">AN67*1.25</f>
        <v>0.7375</v>
      </c>
      <c r="AQ67" s="166" t="n">
        <f aca="false">EnergyCurve!AQ67*2</f>
        <v>0.59</v>
      </c>
      <c r="AR67" s="166" t="n">
        <f aca="false">EnergyCurve!AR67</f>
        <v>0.236</v>
      </c>
      <c r="AS67" s="166" t="n">
        <f aca="false">EnergyCurve!AS67*1.25</f>
        <v>0.4425</v>
      </c>
      <c r="AT67" s="168" t="n">
        <f aca="false">EnergyCurve!AT67*2*2</f>
        <v>17.1697685265069</v>
      </c>
      <c r="AU67" s="169" t="n">
        <f aca="false">EnergyCurve!AU67</f>
        <v>-1.07311053290668</v>
      </c>
      <c r="AV67" s="169" t="n">
        <f aca="false">AT67*1.25</f>
        <v>21.4622106581337</v>
      </c>
      <c r="AW67" s="168" t="n">
        <f aca="false">EnergyCurve!AW67*2*2</f>
        <v>9.4566</v>
      </c>
      <c r="AX67" s="169" t="n">
        <f aca="false">EnergyCurve!AX67</f>
        <v>-0.5910375</v>
      </c>
      <c r="AY67" s="169" t="n">
        <f aca="false">AW67*1.25</f>
        <v>11.82075</v>
      </c>
      <c r="AZ67" s="167" t="n">
        <v>0</v>
      </c>
      <c r="BA67" s="74"/>
      <c r="BB67" s="193" t="n">
        <f aca="false">BB66+1</f>
        <v>109</v>
      </c>
      <c r="BC67" s="183"/>
      <c r="BD67" s="196"/>
      <c r="BE67" s="197"/>
      <c r="BF67" s="196"/>
      <c r="BG67" s="196"/>
      <c r="BH67" s="197"/>
      <c r="BI67" s="183"/>
      <c r="BJ67" s="196"/>
      <c r="BK67" s="197"/>
      <c r="BL67" s="196"/>
      <c r="BM67" s="196"/>
      <c r="BN67" s="197"/>
      <c r="BQ67" s="108" t="n">
        <v>36907.7428240741</v>
      </c>
      <c r="BR67" s="109" t="n">
        <v>36907.7434490741</v>
      </c>
      <c r="BS67" s="110" t="n">
        <v>38139</v>
      </c>
      <c r="BT67" s="111" t="n">
        <v>0</v>
      </c>
      <c r="BU67" s="112" t="n">
        <v>0</v>
      </c>
      <c r="BV67" s="112" t="n">
        <v>0</v>
      </c>
      <c r="BW67" s="112" t="n">
        <v>0</v>
      </c>
      <c r="BX67" s="113" t="n">
        <v>0</v>
      </c>
      <c r="BZ67" s="110" t="n">
        <v>37926</v>
      </c>
      <c r="CA67" s="116" t="n">
        <v>69.2249984741211</v>
      </c>
      <c r="CB67" s="116" t="n">
        <v>0</v>
      </c>
      <c r="CC67" s="116" t="n">
        <v>0</v>
      </c>
      <c r="CD67" s="116" t="n">
        <v>0</v>
      </c>
      <c r="CE67" s="117" t="n">
        <v>0</v>
      </c>
      <c r="CG67" s="135" t="n">
        <f aca="false">BB26</f>
        <v>2017</v>
      </c>
      <c r="CH67" s="136" t="n">
        <v>0</v>
      </c>
      <c r="CI67" s="137" t="n">
        <v>0</v>
      </c>
      <c r="CJ67" s="137" t="n">
        <v>0</v>
      </c>
      <c r="CK67" s="137" t="n">
        <v>0</v>
      </c>
      <c r="CL67" s="137" t="n">
        <v>0</v>
      </c>
      <c r="CM67" s="137" t="n">
        <v>0</v>
      </c>
      <c r="CN67" s="137" t="n">
        <v>0</v>
      </c>
      <c r="CO67" s="137" t="n">
        <v>0</v>
      </c>
      <c r="CP67" s="137" t="n">
        <v>0</v>
      </c>
      <c r="CQ67" s="137" t="n">
        <v>0</v>
      </c>
      <c r="CR67" s="137" t="n">
        <v>0</v>
      </c>
      <c r="CS67" s="138" t="n">
        <v>0</v>
      </c>
      <c r="CU67" s="135" t="n">
        <f aca="false">BB26</f>
        <v>2017</v>
      </c>
      <c r="CV67" s="136" t="n">
        <v>0</v>
      </c>
      <c r="CW67" s="137" t="n">
        <v>0</v>
      </c>
      <c r="CX67" s="137" t="n">
        <v>0</v>
      </c>
      <c r="CY67" s="137" t="n">
        <v>0</v>
      </c>
      <c r="CZ67" s="137" t="n">
        <v>0</v>
      </c>
      <c r="DA67" s="137" t="n">
        <v>0</v>
      </c>
      <c r="DB67" s="137" t="n">
        <v>0</v>
      </c>
      <c r="DC67" s="137" t="n">
        <v>0</v>
      </c>
      <c r="DD67" s="137" t="n">
        <v>0</v>
      </c>
      <c r="DE67" s="137" t="n">
        <v>0</v>
      </c>
      <c r="DF67" s="137" t="n">
        <v>0</v>
      </c>
      <c r="DG67" s="138" t="n">
        <v>0</v>
      </c>
      <c r="DI67" s="135" t="n">
        <f aca="false">BB26</f>
        <v>2017</v>
      </c>
      <c r="DJ67" s="136" t="n">
        <v>0</v>
      </c>
      <c r="DK67" s="137" t="n">
        <v>0</v>
      </c>
      <c r="DL67" s="137" t="n">
        <v>0</v>
      </c>
      <c r="DM67" s="137" t="n">
        <v>0</v>
      </c>
      <c r="DN67" s="137" t="n">
        <v>0</v>
      </c>
      <c r="DO67" s="137" t="n">
        <v>0</v>
      </c>
      <c r="DP67" s="137" t="n">
        <v>0</v>
      </c>
      <c r="DQ67" s="137" t="n">
        <v>0</v>
      </c>
      <c r="DR67" s="137" t="n">
        <v>0</v>
      </c>
      <c r="DS67" s="137" t="n">
        <v>0</v>
      </c>
      <c r="DT67" s="137" t="n">
        <v>0</v>
      </c>
      <c r="DU67" s="138" t="n">
        <v>0</v>
      </c>
    </row>
    <row r="68" customFormat="false" ht="12.75" hidden="false" customHeight="false" outlineLevel="0" collapsed="false">
      <c r="A68" s="0" t="n">
        <f aca="true">IF(ISERROR(MATCH(D68,iRefDt,0)),"",MATCH(D68,iRefDt,0))</f>
        <v>59</v>
      </c>
      <c r="B68" s="92" t="n">
        <f aca="false">MATCH(YEAR(D68),iSpreads)</f>
        <v>3</v>
      </c>
      <c r="C68" s="0" t="n">
        <f aca="false">MONTH(D68)</f>
        <v>12</v>
      </c>
      <c r="D68" s="93" t="n">
        <f aca="false">+EnergyCurve!D68</f>
        <v>37956</v>
      </c>
      <c r="E68" s="94" t="n">
        <f aca="false">VLOOKUP($D68,tblPriorPrice,2)</f>
        <v>101.649002075195</v>
      </c>
      <c r="F68" s="95" t="n">
        <f aca="false">G68-E68</f>
        <v>-2.07519531159051E-006</v>
      </c>
      <c r="G68" s="264" t="n">
        <f aca="false">IF(EnergyCurve!G68&lt;200,0.001*EnergyCurve!G68+1,1.2)*EnergyCurve!G68</f>
        <v>101.649</v>
      </c>
      <c r="H68" s="96" t="n">
        <f aca="false">IF(EnergyCurve!H68&lt;200,0.001*EnergyCurve!H68+1,1.2)*EnergyCurve!H68</f>
        <v>95.744</v>
      </c>
      <c r="I68" s="96" t="n">
        <f aca="false">IF(EnergyCurve!I68&lt;200,0.001*EnergyCurve!I68+1,1.2)*EnergyCurve!I68</f>
        <v>119.664</v>
      </c>
      <c r="J68" s="94" t="n">
        <f aca="false">VLOOKUP($D68,tblPriorPrice,3)</f>
        <v>0</v>
      </c>
      <c r="K68" s="95" t="n">
        <f aca="false">L68-J68</f>
        <v>0</v>
      </c>
      <c r="L68" s="264" t="n">
        <v>0</v>
      </c>
      <c r="M68" s="96" t="n">
        <f aca="false">L68</f>
        <v>0</v>
      </c>
      <c r="N68" s="96" t="n">
        <f aca="false">L68</f>
        <v>0</v>
      </c>
      <c r="O68" s="58" t="n">
        <f aca="true">IF($A68="",0,INDEX(tblPosn,$A68,2))</f>
        <v>0</v>
      </c>
      <c r="P68" s="59" t="n">
        <f aca="true">IF($A68="",0,INDEX(tblPosn,$A68,3))</f>
        <v>0</v>
      </c>
      <c r="Q68" s="59" t="n">
        <f aca="true">IF($A68="",0,INDEX(tblPosn,$A68,4))</f>
        <v>0</v>
      </c>
      <c r="R68" s="59" t="n">
        <f aca="true">IF($A68="",0,INDEX(tblPosn,$A68,5))</f>
        <v>0</v>
      </c>
      <c r="S68" s="59" t="n">
        <f aca="true">IF($A68="",0,INDEX(tblPosn,$A68,6))</f>
        <v>0</v>
      </c>
      <c r="T68" s="98" t="n">
        <f aca="false">O68*F68+P68*K68+R68*AC68+S68*AH68/0.72+Q68*X68</f>
        <v>0</v>
      </c>
      <c r="V68" s="161" t="n">
        <f aca="false">D68</f>
        <v>37956</v>
      </c>
      <c r="W68" s="94" t="n">
        <f aca="false">VLOOKUP($D68,tblPriorPrice,4)</f>
        <v>0</v>
      </c>
      <c r="X68" s="162" t="n">
        <f aca="false">Y68-W68</f>
        <v>0</v>
      </c>
      <c r="Y68" s="176" t="n">
        <f aca="false">L68</f>
        <v>0</v>
      </c>
      <c r="Z68" s="177" t="n">
        <f aca="false">Y68</f>
        <v>0</v>
      </c>
      <c r="AA68" s="177" t="n">
        <f aca="false">Y68</f>
        <v>0</v>
      </c>
      <c r="AB68" s="94" t="n">
        <f aca="false">VLOOKUP($D68,tblPriorPrice,5)</f>
        <v>0</v>
      </c>
      <c r="AC68" s="162" t="n">
        <f aca="false">AD68-AB68</f>
        <v>0</v>
      </c>
      <c r="AD68" s="176" t="n">
        <f aca="false">L68</f>
        <v>0</v>
      </c>
      <c r="AE68" s="96" t="n">
        <f aca="false">AD68</f>
        <v>0</v>
      </c>
      <c r="AF68" s="97" t="n">
        <f aca="false">AD68</f>
        <v>0</v>
      </c>
      <c r="AG68" s="94" t="n">
        <f aca="false">VLOOKUP($D68,tblPriorPrice,6)</f>
        <v>0</v>
      </c>
      <c r="AH68" s="182"/>
      <c r="AI68" s="189" t="n">
        <f aca="false">AG68+AH68</f>
        <v>0</v>
      </c>
      <c r="AJ68" s="96" t="n">
        <f aca="false">AI68</f>
        <v>0</v>
      </c>
      <c r="AK68" s="97" t="n">
        <f aca="false">AI68</f>
        <v>0</v>
      </c>
      <c r="AL68" s="178" t="n">
        <v>12</v>
      </c>
      <c r="AM68" s="165" t="n">
        <v>0.3</v>
      </c>
      <c r="AN68" s="166" t="n">
        <f aca="false">EnergyCurve!AN68*2</f>
        <v>0.595</v>
      </c>
      <c r="AO68" s="166" t="n">
        <f aca="false">EnergyCurve!AO68</f>
        <v>0.26775</v>
      </c>
      <c r="AP68" s="166" t="n">
        <f aca="false">AN68*1.25</f>
        <v>0.74375</v>
      </c>
      <c r="AQ68" s="166" t="n">
        <f aca="false">EnergyCurve!AQ68*2</f>
        <v>0.595</v>
      </c>
      <c r="AR68" s="166" t="n">
        <f aca="false">EnergyCurve!AR68</f>
        <v>0.238</v>
      </c>
      <c r="AS68" s="166" t="n">
        <f aca="false">EnergyCurve!AS68*1.25</f>
        <v>0.44625</v>
      </c>
      <c r="AT68" s="168" t="n">
        <f aca="false">EnergyCurve!AT68*2*2</f>
        <v>27.5968136492024</v>
      </c>
      <c r="AU68" s="169" t="n">
        <f aca="false">EnergyCurve!AU68</f>
        <v>-1.72480085307515</v>
      </c>
      <c r="AV68" s="169" t="n">
        <f aca="false">AT68*1.25</f>
        <v>34.496017061503</v>
      </c>
      <c r="AW68" s="168" t="n">
        <f aca="false">EnergyCurve!AW68*2*2</f>
        <v>9.5508</v>
      </c>
      <c r="AX68" s="169" t="n">
        <f aca="false">EnergyCurve!AX68</f>
        <v>-0.596925</v>
      </c>
      <c r="AY68" s="169" t="n">
        <f aca="false">AW68*1.25</f>
        <v>11.9385</v>
      </c>
      <c r="AZ68" s="167" t="n">
        <v>0</v>
      </c>
      <c r="BA68" s="74"/>
      <c r="BB68" s="193" t="n">
        <f aca="false">BB67+1</f>
        <v>110</v>
      </c>
      <c r="BC68" s="183"/>
      <c r="BD68" s="196"/>
      <c r="BE68" s="197"/>
      <c r="BF68" s="196"/>
      <c r="BG68" s="196"/>
      <c r="BH68" s="197"/>
      <c r="BI68" s="183"/>
      <c r="BJ68" s="196"/>
      <c r="BK68" s="197"/>
      <c r="BL68" s="196"/>
      <c r="BM68" s="196"/>
      <c r="BN68" s="197"/>
      <c r="BQ68" s="108" t="n">
        <v>36907.7428240741</v>
      </c>
      <c r="BR68" s="109" t="n">
        <v>36907.7434490741</v>
      </c>
      <c r="BS68" s="110" t="n">
        <v>38169</v>
      </c>
      <c r="BT68" s="111" t="n">
        <v>0</v>
      </c>
      <c r="BU68" s="112" t="n">
        <v>0</v>
      </c>
      <c r="BV68" s="112" t="n">
        <v>0</v>
      </c>
      <c r="BW68" s="112" t="n">
        <v>0</v>
      </c>
      <c r="BX68" s="113" t="n">
        <v>0</v>
      </c>
      <c r="BZ68" s="110" t="n">
        <v>37956</v>
      </c>
      <c r="CA68" s="116" t="n">
        <v>101.649002075195</v>
      </c>
      <c r="CB68" s="116" t="n">
        <v>0</v>
      </c>
      <c r="CC68" s="116" t="n">
        <v>0</v>
      </c>
      <c r="CD68" s="116" t="n">
        <v>0</v>
      </c>
      <c r="CE68" s="117" t="n">
        <v>0</v>
      </c>
      <c r="CG68" s="135" t="n">
        <f aca="false">BB27</f>
        <v>2018</v>
      </c>
      <c r="CH68" s="136" t="n">
        <v>0</v>
      </c>
      <c r="CI68" s="137" t="n">
        <v>0</v>
      </c>
      <c r="CJ68" s="137" t="n">
        <v>0</v>
      </c>
      <c r="CK68" s="137" t="n">
        <v>0</v>
      </c>
      <c r="CL68" s="137" t="n">
        <v>0</v>
      </c>
      <c r="CM68" s="137" t="n">
        <v>0</v>
      </c>
      <c r="CN68" s="137" t="n">
        <v>0</v>
      </c>
      <c r="CO68" s="137" t="n">
        <v>0</v>
      </c>
      <c r="CP68" s="137" t="n">
        <v>0</v>
      </c>
      <c r="CQ68" s="137" t="n">
        <v>0</v>
      </c>
      <c r="CR68" s="137" t="n">
        <v>0</v>
      </c>
      <c r="CS68" s="138" t="n">
        <v>0</v>
      </c>
      <c r="CU68" s="135" t="n">
        <f aca="false">BB27</f>
        <v>2018</v>
      </c>
      <c r="CV68" s="136" t="n">
        <v>0</v>
      </c>
      <c r="CW68" s="137" t="n">
        <v>0</v>
      </c>
      <c r="CX68" s="137" t="n">
        <v>0</v>
      </c>
      <c r="CY68" s="137" t="n">
        <v>0</v>
      </c>
      <c r="CZ68" s="137" t="n">
        <v>0</v>
      </c>
      <c r="DA68" s="137" t="n">
        <v>0</v>
      </c>
      <c r="DB68" s="137" t="n">
        <v>0</v>
      </c>
      <c r="DC68" s="137" t="n">
        <v>0</v>
      </c>
      <c r="DD68" s="137" t="n">
        <v>0</v>
      </c>
      <c r="DE68" s="137" t="n">
        <v>0</v>
      </c>
      <c r="DF68" s="137" t="n">
        <v>0</v>
      </c>
      <c r="DG68" s="138" t="n">
        <v>0</v>
      </c>
      <c r="DI68" s="135" t="n">
        <f aca="false">BB27</f>
        <v>2018</v>
      </c>
      <c r="DJ68" s="136" t="n">
        <v>0</v>
      </c>
      <c r="DK68" s="137" t="n">
        <v>0</v>
      </c>
      <c r="DL68" s="137" t="n">
        <v>0</v>
      </c>
      <c r="DM68" s="137" t="n">
        <v>0</v>
      </c>
      <c r="DN68" s="137" t="n">
        <v>0</v>
      </c>
      <c r="DO68" s="137" t="n">
        <v>0</v>
      </c>
      <c r="DP68" s="137" t="n">
        <v>0</v>
      </c>
      <c r="DQ68" s="137" t="n">
        <v>0</v>
      </c>
      <c r="DR68" s="137" t="n">
        <v>0</v>
      </c>
      <c r="DS68" s="137" t="n">
        <v>0</v>
      </c>
      <c r="DT68" s="137" t="n">
        <v>0</v>
      </c>
      <c r="DU68" s="138" t="n">
        <v>0</v>
      </c>
    </row>
    <row r="69" customFormat="false" ht="12.75" hidden="false" customHeight="false" outlineLevel="0" collapsed="false">
      <c r="A69" s="0" t="n">
        <f aca="true">IF(ISERROR(MATCH(D69,iRefDt,0)),"",MATCH(D69,iRefDt,0))</f>
        <v>60</v>
      </c>
      <c r="B69" s="92" t="n">
        <f aca="false">MATCH(YEAR(D69),iSpreads)</f>
        <v>4</v>
      </c>
      <c r="C69" s="0" t="n">
        <f aca="false">MONTH(D69)</f>
        <v>1</v>
      </c>
      <c r="D69" s="93" t="n">
        <f aca="false">+EnergyCurve!D69</f>
        <v>37987</v>
      </c>
      <c r="E69" s="94" t="n">
        <f aca="false">VLOOKUP($D69,tblPriorPrice,2)</f>
        <v>74.9000015258789</v>
      </c>
      <c r="F69" s="95" t="n">
        <f aca="false">G69-E69</f>
        <v>-1.52587890056566E-006</v>
      </c>
      <c r="G69" s="264" t="n">
        <f aca="false">IF(EnergyCurve!G69&lt;200,0.001*EnergyCurve!G69+1,1.2)*EnergyCurve!G69</f>
        <v>74.9</v>
      </c>
      <c r="H69" s="96" t="n">
        <f aca="false">IF(EnergyCurve!H69&lt;200,0.001*EnergyCurve!H69+1,1.2)*EnergyCurve!H69</f>
        <v>69.225</v>
      </c>
      <c r="I69" s="96" t="n">
        <f aca="false">IF(EnergyCurve!I69&lt;200,0.001*EnergyCurve!I69+1,1.2)*EnergyCurve!I69</f>
        <v>92.225</v>
      </c>
      <c r="J69" s="94" t="n">
        <f aca="false">VLOOKUP($D69,tblPriorPrice,3)</f>
        <v>0</v>
      </c>
      <c r="K69" s="95" t="n">
        <f aca="false">L69-J69</f>
        <v>0</v>
      </c>
      <c r="L69" s="264" t="n">
        <v>0</v>
      </c>
      <c r="M69" s="96" t="n">
        <f aca="false">L69</f>
        <v>0</v>
      </c>
      <c r="N69" s="96" t="n">
        <f aca="false">L69</f>
        <v>0</v>
      </c>
      <c r="O69" s="58" t="n">
        <f aca="true">IF($A69="",0,INDEX(tblPosn,$A69,2))</f>
        <v>0</v>
      </c>
      <c r="P69" s="59" t="n">
        <f aca="true">IF($A69="",0,INDEX(tblPosn,$A69,3))</f>
        <v>0</v>
      </c>
      <c r="Q69" s="59" t="n">
        <f aca="true">IF($A69="",0,INDEX(tblPosn,$A69,4))</f>
        <v>0</v>
      </c>
      <c r="R69" s="59" t="n">
        <f aca="true">IF($A69="",0,INDEX(tblPosn,$A69,5))</f>
        <v>0</v>
      </c>
      <c r="S69" s="59" t="n">
        <f aca="true">IF($A69="",0,INDEX(tblPosn,$A69,6))</f>
        <v>0</v>
      </c>
      <c r="T69" s="98" t="n">
        <f aca="false">O69*F69+P69*K69+R69*AC69+S69*AH69/0.72+Q69*X69</f>
        <v>0</v>
      </c>
      <c r="V69" s="161" t="n">
        <f aca="false">D69</f>
        <v>37987</v>
      </c>
      <c r="W69" s="94" t="n">
        <f aca="false">VLOOKUP($D69,tblPriorPrice,4)</f>
        <v>0</v>
      </c>
      <c r="X69" s="162" t="n">
        <f aca="false">Y69-W69</f>
        <v>0</v>
      </c>
      <c r="Y69" s="176" t="n">
        <f aca="false">L69</f>
        <v>0</v>
      </c>
      <c r="Z69" s="177" t="n">
        <f aca="false">Y69</f>
        <v>0</v>
      </c>
      <c r="AA69" s="177" t="n">
        <f aca="false">Y69</f>
        <v>0</v>
      </c>
      <c r="AB69" s="94" t="n">
        <f aca="false">VLOOKUP($D69,tblPriorPrice,5)</f>
        <v>0</v>
      </c>
      <c r="AC69" s="162" t="n">
        <f aca="false">AD69-AB69</f>
        <v>0</v>
      </c>
      <c r="AD69" s="176" t="n">
        <f aca="false">L69</f>
        <v>0</v>
      </c>
      <c r="AE69" s="96" t="n">
        <f aca="false">AD69</f>
        <v>0</v>
      </c>
      <c r="AF69" s="97" t="n">
        <f aca="false">AD69</f>
        <v>0</v>
      </c>
      <c r="AG69" s="94" t="n">
        <f aca="false">VLOOKUP($D69,tblPriorPrice,6)</f>
        <v>0</v>
      </c>
      <c r="AH69" s="182"/>
      <c r="AI69" s="189" t="n">
        <f aca="false">AG69+AH69</f>
        <v>0</v>
      </c>
      <c r="AJ69" s="96" t="n">
        <f aca="false">AI69</f>
        <v>0</v>
      </c>
      <c r="AK69" s="97" t="n">
        <f aca="false">AI69</f>
        <v>0</v>
      </c>
      <c r="AL69" s="178" t="n">
        <v>13</v>
      </c>
      <c r="AM69" s="165" t="n">
        <v>0.3</v>
      </c>
      <c r="AN69" s="166" t="n">
        <f aca="false">EnergyCurve!AN69*2</f>
        <v>0.595</v>
      </c>
      <c r="AO69" s="166" t="n">
        <f aca="false">EnergyCurve!AO69</f>
        <v>0.26775</v>
      </c>
      <c r="AP69" s="166" t="n">
        <f aca="false">AN69*1.25</f>
        <v>0.74375</v>
      </c>
      <c r="AQ69" s="166" t="n">
        <f aca="false">EnergyCurve!AQ69*2</f>
        <v>0.595</v>
      </c>
      <c r="AR69" s="166" t="n">
        <f aca="false">EnergyCurve!AR69</f>
        <v>0.238</v>
      </c>
      <c r="AS69" s="166" t="n">
        <f aca="false">EnergyCurve!AS69*1.25</f>
        <v>0.44625</v>
      </c>
      <c r="AT69" s="168" t="n">
        <f aca="false">EnergyCurve!AT69*2*2</f>
        <v>19.0436558479145</v>
      </c>
      <c r="AU69" s="169" t="n">
        <f aca="false">EnergyCurve!AU69</f>
        <v>-1.19022849049465</v>
      </c>
      <c r="AV69" s="169" t="n">
        <f aca="false">AT69*1.25</f>
        <v>23.8045698098931</v>
      </c>
      <c r="AW69" s="168" t="n">
        <f aca="false">EnergyCurve!AW69*2*2</f>
        <v>9.645</v>
      </c>
      <c r="AX69" s="169" t="n">
        <f aca="false">EnergyCurve!AX69</f>
        <v>-0.6028125</v>
      </c>
      <c r="AY69" s="169" t="n">
        <f aca="false">AW69*1.25</f>
        <v>12.05625</v>
      </c>
      <c r="AZ69" s="167" t="n">
        <v>0</v>
      </c>
      <c r="BA69" s="74"/>
      <c r="BB69" s="193" t="n">
        <f aca="false">BB68+1</f>
        <v>111</v>
      </c>
      <c r="BC69" s="183"/>
      <c r="BD69" s="196"/>
      <c r="BE69" s="197"/>
      <c r="BF69" s="196"/>
      <c r="BG69" s="196"/>
      <c r="BH69" s="197"/>
      <c r="BI69" s="183"/>
      <c r="BJ69" s="196"/>
      <c r="BK69" s="197"/>
      <c r="BL69" s="196"/>
      <c r="BM69" s="196"/>
      <c r="BN69" s="197"/>
      <c r="BQ69" s="108" t="n">
        <v>36907.7428240741</v>
      </c>
      <c r="BR69" s="109" t="n">
        <v>36907.7434490741</v>
      </c>
      <c r="BS69" s="110" t="n">
        <v>38200</v>
      </c>
      <c r="BT69" s="111" t="n">
        <v>0</v>
      </c>
      <c r="BU69" s="112" t="n">
        <v>0</v>
      </c>
      <c r="BV69" s="112" t="n">
        <v>0</v>
      </c>
      <c r="BW69" s="112" t="n">
        <v>0</v>
      </c>
      <c r="BX69" s="113" t="n">
        <v>0</v>
      </c>
      <c r="BZ69" s="110" t="n">
        <v>37987</v>
      </c>
      <c r="CA69" s="116" t="n">
        <v>74.9000015258789</v>
      </c>
      <c r="CB69" s="116" t="n">
        <v>0</v>
      </c>
      <c r="CC69" s="116" t="n">
        <v>0</v>
      </c>
      <c r="CD69" s="116" t="n">
        <v>0</v>
      </c>
      <c r="CE69" s="117" t="n">
        <v>0</v>
      </c>
      <c r="CG69" s="135" t="n">
        <f aca="false">BB28</f>
        <v>2019</v>
      </c>
      <c r="CH69" s="136" t="n">
        <v>0</v>
      </c>
      <c r="CI69" s="137" t="n">
        <v>0</v>
      </c>
      <c r="CJ69" s="137" t="n">
        <v>0</v>
      </c>
      <c r="CK69" s="137" t="n">
        <v>0</v>
      </c>
      <c r="CL69" s="137" t="n">
        <v>0</v>
      </c>
      <c r="CM69" s="137" t="n">
        <v>0</v>
      </c>
      <c r="CN69" s="137" t="n">
        <v>0</v>
      </c>
      <c r="CO69" s="137" t="n">
        <v>0</v>
      </c>
      <c r="CP69" s="137" t="n">
        <v>0</v>
      </c>
      <c r="CQ69" s="137" t="n">
        <v>0</v>
      </c>
      <c r="CR69" s="137" t="n">
        <v>0</v>
      </c>
      <c r="CS69" s="138" t="n">
        <v>0</v>
      </c>
      <c r="CU69" s="135" t="n">
        <f aca="false">BB28</f>
        <v>2019</v>
      </c>
      <c r="CV69" s="136" t="n">
        <v>0</v>
      </c>
      <c r="CW69" s="137" t="n">
        <v>0</v>
      </c>
      <c r="CX69" s="137" t="n">
        <v>0</v>
      </c>
      <c r="CY69" s="137" t="n">
        <v>0</v>
      </c>
      <c r="CZ69" s="137" t="n">
        <v>0</v>
      </c>
      <c r="DA69" s="137" t="n">
        <v>0</v>
      </c>
      <c r="DB69" s="137" t="n">
        <v>0</v>
      </c>
      <c r="DC69" s="137" t="n">
        <v>0</v>
      </c>
      <c r="DD69" s="137" t="n">
        <v>0</v>
      </c>
      <c r="DE69" s="137" t="n">
        <v>0</v>
      </c>
      <c r="DF69" s="137" t="n">
        <v>0</v>
      </c>
      <c r="DG69" s="138" t="n">
        <v>0</v>
      </c>
      <c r="DI69" s="135" t="n">
        <f aca="false">BB28</f>
        <v>2019</v>
      </c>
      <c r="DJ69" s="136" t="n">
        <v>0</v>
      </c>
      <c r="DK69" s="137" t="n">
        <v>0</v>
      </c>
      <c r="DL69" s="137" t="n">
        <v>0</v>
      </c>
      <c r="DM69" s="137" t="n">
        <v>0</v>
      </c>
      <c r="DN69" s="137" t="n">
        <v>0</v>
      </c>
      <c r="DO69" s="137" t="n">
        <v>0</v>
      </c>
      <c r="DP69" s="137" t="n">
        <v>0</v>
      </c>
      <c r="DQ69" s="137" t="n">
        <v>0</v>
      </c>
      <c r="DR69" s="137" t="n">
        <v>0</v>
      </c>
      <c r="DS69" s="137" t="n">
        <v>0</v>
      </c>
      <c r="DT69" s="137" t="n">
        <v>0</v>
      </c>
      <c r="DU69" s="138" t="n">
        <v>0</v>
      </c>
    </row>
    <row r="70" customFormat="false" ht="12.75" hidden="false" customHeight="false" outlineLevel="0" collapsed="false">
      <c r="A70" s="0" t="n">
        <f aca="true">IF(ISERROR(MATCH(D70,iRefDt,0)),"",MATCH(D70,iRefDt,0))</f>
        <v>61</v>
      </c>
      <c r="B70" s="92" t="n">
        <f aca="false">MATCH(YEAR(D70),iSpreads)</f>
        <v>4</v>
      </c>
      <c r="C70" s="0" t="n">
        <f aca="false">MONTH(D70)</f>
        <v>2</v>
      </c>
      <c r="D70" s="93" t="n">
        <f aca="false">+EnergyCurve!D70</f>
        <v>38018</v>
      </c>
      <c r="E70" s="94" t="n">
        <f aca="false">VLOOKUP($D70,tblPriorPrice,2)</f>
        <v>65.8440017700195</v>
      </c>
      <c r="F70" s="95" t="n">
        <f aca="false">G70-E70</f>
        <v>-1.77001952295086E-006</v>
      </c>
      <c r="G70" s="264" t="n">
        <f aca="false">IF(EnergyCurve!G70&lt;200,0.001*EnergyCurve!G70+1,1.2)*EnergyCurve!G70</f>
        <v>65.844</v>
      </c>
      <c r="H70" s="96" t="n">
        <f aca="false">IF(EnergyCurve!H70&lt;200,0.001*EnergyCurve!H70+1,1.2)*EnergyCurve!H70</f>
        <v>60.249</v>
      </c>
      <c r="I70" s="96" t="n">
        <f aca="false">IF(EnergyCurve!I70&lt;200,0.001*EnergyCurve!I70+1,1.2)*EnergyCurve!I70</f>
        <v>82.929</v>
      </c>
      <c r="J70" s="94" t="n">
        <f aca="false">VLOOKUP($D70,tblPriorPrice,3)</f>
        <v>0</v>
      </c>
      <c r="K70" s="95" t="n">
        <f aca="false">L70-J70</f>
        <v>0</v>
      </c>
      <c r="L70" s="264" t="n">
        <v>0</v>
      </c>
      <c r="M70" s="96" t="n">
        <f aca="false">L70</f>
        <v>0</v>
      </c>
      <c r="N70" s="96" t="n">
        <f aca="false">L70</f>
        <v>0</v>
      </c>
      <c r="O70" s="58" t="n">
        <f aca="true">IF($A70="",0,INDEX(tblPosn,$A70,2))</f>
        <v>0</v>
      </c>
      <c r="P70" s="59" t="n">
        <f aca="true">IF($A70="",0,INDEX(tblPosn,$A70,3))</f>
        <v>0</v>
      </c>
      <c r="Q70" s="59" t="n">
        <f aca="true">IF($A70="",0,INDEX(tblPosn,$A70,4))</f>
        <v>0</v>
      </c>
      <c r="R70" s="59" t="n">
        <f aca="true">IF($A70="",0,INDEX(tblPosn,$A70,5))</f>
        <v>0</v>
      </c>
      <c r="S70" s="59" t="n">
        <f aca="true">IF($A70="",0,INDEX(tblPosn,$A70,6))</f>
        <v>0</v>
      </c>
      <c r="T70" s="98" t="n">
        <f aca="false">O70*F70+P70*K70+R70*AC70+S70*AH70/0.72+Q70*X70</f>
        <v>0</v>
      </c>
      <c r="V70" s="161" t="n">
        <f aca="false">D70</f>
        <v>38018</v>
      </c>
      <c r="W70" s="94" t="n">
        <f aca="false">VLOOKUP($D70,tblPriorPrice,4)</f>
        <v>0</v>
      </c>
      <c r="X70" s="162" t="n">
        <f aca="false">Y70-W70</f>
        <v>0</v>
      </c>
      <c r="Y70" s="176" t="n">
        <f aca="false">L70</f>
        <v>0</v>
      </c>
      <c r="Z70" s="177" t="n">
        <f aca="false">Y70</f>
        <v>0</v>
      </c>
      <c r="AA70" s="177" t="n">
        <f aca="false">Y70</f>
        <v>0</v>
      </c>
      <c r="AB70" s="94" t="n">
        <f aca="false">VLOOKUP($D70,tblPriorPrice,5)</f>
        <v>0</v>
      </c>
      <c r="AC70" s="162" t="n">
        <f aca="false">AD70-AB70</f>
        <v>0</v>
      </c>
      <c r="AD70" s="176" t="n">
        <f aca="false">L70</f>
        <v>0</v>
      </c>
      <c r="AE70" s="96" t="n">
        <f aca="false">AD70</f>
        <v>0</v>
      </c>
      <c r="AF70" s="97" t="n">
        <f aca="false">AD70</f>
        <v>0</v>
      </c>
      <c r="AG70" s="94" t="n">
        <f aca="false">VLOOKUP($D70,tblPriorPrice,6)</f>
        <v>0</v>
      </c>
      <c r="AH70" s="182"/>
      <c r="AI70" s="189" t="n">
        <f aca="false">AG70+AH70</f>
        <v>0</v>
      </c>
      <c r="AJ70" s="96" t="n">
        <f aca="false">AI70</f>
        <v>0</v>
      </c>
      <c r="AK70" s="97" t="n">
        <f aca="false">AI70</f>
        <v>0</v>
      </c>
      <c r="AL70" s="178" t="n">
        <v>13</v>
      </c>
      <c r="AM70" s="165" t="n">
        <v>0.3</v>
      </c>
      <c r="AN70" s="166" t="n">
        <f aca="false">EnergyCurve!AN70*2</f>
        <v>0.59</v>
      </c>
      <c r="AO70" s="166" t="n">
        <f aca="false">EnergyCurve!AO70</f>
        <v>0.2655</v>
      </c>
      <c r="AP70" s="166" t="n">
        <f aca="false">AN70*1.25</f>
        <v>0.7375</v>
      </c>
      <c r="AQ70" s="166" t="n">
        <f aca="false">EnergyCurve!AQ70*2</f>
        <v>0.59</v>
      </c>
      <c r="AR70" s="166" t="n">
        <f aca="false">EnergyCurve!AR70</f>
        <v>0.236</v>
      </c>
      <c r="AS70" s="166" t="n">
        <f aca="false">EnergyCurve!AS70*1.25</f>
        <v>0.4425</v>
      </c>
      <c r="AT70" s="168" t="n">
        <f aca="false">EnergyCurve!AT70*2*2</f>
        <v>16.052096959594</v>
      </c>
      <c r="AU70" s="169" t="n">
        <f aca="false">EnergyCurve!AU70</f>
        <v>-1.00325605997463</v>
      </c>
      <c r="AV70" s="169" t="n">
        <f aca="false">AT70*1.25</f>
        <v>20.0651211994925</v>
      </c>
      <c r="AW70" s="168" t="n">
        <f aca="false">EnergyCurve!AW70*2*2</f>
        <v>9.8334</v>
      </c>
      <c r="AX70" s="169" t="n">
        <f aca="false">EnergyCurve!AX70</f>
        <v>-0.6145875</v>
      </c>
      <c r="AY70" s="169" t="n">
        <f aca="false">AW70*1.25</f>
        <v>12.29175</v>
      </c>
      <c r="AZ70" s="167" t="n">
        <v>0</v>
      </c>
      <c r="BA70" s="74"/>
      <c r="BB70" s="193" t="n">
        <f aca="false">BB69+1</f>
        <v>112</v>
      </c>
      <c r="BC70" s="183"/>
      <c r="BD70" s="196"/>
      <c r="BE70" s="197"/>
      <c r="BF70" s="196"/>
      <c r="BG70" s="196"/>
      <c r="BH70" s="197"/>
      <c r="BI70" s="183"/>
      <c r="BJ70" s="196"/>
      <c r="BK70" s="197"/>
      <c r="BL70" s="196"/>
      <c r="BM70" s="196"/>
      <c r="BN70" s="197"/>
      <c r="BQ70" s="108" t="n">
        <v>36907.7428240741</v>
      </c>
      <c r="BR70" s="109" t="n">
        <v>36907.7434490741</v>
      </c>
      <c r="BS70" s="110" t="n">
        <v>38231</v>
      </c>
      <c r="BT70" s="111" t="n">
        <v>0</v>
      </c>
      <c r="BU70" s="112" t="n">
        <v>0</v>
      </c>
      <c r="BV70" s="112" t="n">
        <v>0</v>
      </c>
      <c r="BW70" s="112" t="n">
        <v>0</v>
      </c>
      <c r="BX70" s="113" t="n">
        <v>0</v>
      </c>
      <c r="BZ70" s="110" t="n">
        <v>38018</v>
      </c>
      <c r="CA70" s="116" t="n">
        <v>65.8440017700195</v>
      </c>
      <c r="CB70" s="116" t="n">
        <v>0</v>
      </c>
      <c r="CC70" s="116" t="n">
        <v>0</v>
      </c>
      <c r="CD70" s="116" t="n">
        <v>0</v>
      </c>
      <c r="CE70" s="117" t="n">
        <v>0</v>
      </c>
      <c r="CG70" s="152" t="n">
        <f aca="false">BB29</f>
        <v>2020</v>
      </c>
      <c r="CH70" s="136" t="n">
        <v>0</v>
      </c>
      <c r="CI70" s="137" t="n">
        <v>0</v>
      </c>
      <c r="CJ70" s="137" t="n">
        <v>0</v>
      </c>
      <c r="CK70" s="137" t="n">
        <v>0</v>
      </c>
      <c r="CL70" s="137" t="n">
        <v>0</v>
      </c>
      <c r="CM70" s="137" t="n">
        <v>0</v>
      </c>
      <c r="CN70" s="137" t="n">
        <v>0</v>
      </c>
      <c r="CO70" s="137" t="n">
        <v>0</v>
      </c>
      <c r="CP70" s="137" t="n">
        <v>0</v>
      </c>
      <c r="CQ70" s="137" t="n">
        <v>0</v>
      </c>
      <c r="CR70" s="137" t="n">
        <v>0</v>
      </c>
      <c r="CS70" s="138" t="n">
        <v>0</v>
      </c>
      <c r="CU70" s="152" t="n">
        <f aca="false">BB29</f>
        <v>2020</v>
      </c>
      <c r="CV70" s="136" t="n">
        <v>0</v>
      </c>
      <c r="CW70" s="137" t="n">
        <v>0</v>
      </c>
      <c r="CX70" s="137" t="n">
        <v>0</v>
      </c>
      <c r="CY70" s="137" t="n">
        <v>0</v>
      </c>
      <c r="CZ70" s="137" t="n">
        <v>0</v>
      </c>
      <c r="DA70" s="137" t="n">
        <v>0</v>
      </c>
      <c r="DB70" s="137" t="n">
        <v>0</v>
      </c>
      <c r="DC70" s="137" t="n">
        <v>0</v>
      </c>
      <c r="DD70" s="137" t="n">
        <v>0</v>
      </c>
      <c r="DE70" s="137" t="n">
        <v>0</v>
      </c>
      <c r="DF70" s="137" t="n">
        <v>0</v>
      </c>
      <c r="DG70" s="138" t="n">
        <v>0</v>
      </c>
      <c r="DI70" s="152" t="n">
        <f aca="false">BB29</f>
        <v>2020</v>
      </c>
      <c r="DJ70" s="136" t="n">
        <v>0</v>
      </c>
      <c r="DK70" s="137" t="n">
        <v>0</v>
      </c>
      <c r="DL70" s="137" t="n">
        <v>0</v>
      </c>
      <c r="DM70" s="137" t="n">
        <v>0</v>
      </c>
      <c r="DN70" s="137" t="n">
        <v>0</v>
      </c>
      <c r="DO70" s="137" t="n">
        <v>0</v>
      </c>
      <c r="DP70" s="137" t="n">
        <v>0</v>
      </c>
      <c r="DQ70" s="137" t="n">
        <v>0</v>
      </c>
      <c r="DR70" s="137" t="n">
        <v>0</v>
      </c>
      <c r="DS70" s="137" t="n">
        <v>0</v>
      </c>
      <c r="DT70" s="137" t="n">
        <v>0</v>
      </c>
      <c r="DU70" s="138" t="n">
        <v>0</v>
      </c>
    </row>
    <row r="71" customFormat="false" ht="12.75" hidden="false" customHeight="false" outlineLevel="0" collapsed="false">
      <c r="A71" s="0" t="n">
        <f aca="true">IF(ISERROR(MATCH(D71,iRefDt,0)),"",MATCH(D71,iRefDt,0))</f>
        <v>62</v>
      </c>
      <c r="B71" s="92" t="n">
        <f aca="false">MATCH(YEAR(D71),iSpreads)</f>
        <v>4</v>
      </c>
      <c r="C71" s="0" t="n">
        <f aca="false">MONTH(D71)</f>
        <v>3</v>
      </c>
      <c r="D71" s="93" t="n">
        <f aca="false">+EnergyCurve!D71</f>
        <v>38047</v>
      </c>
      <c r="E71" s="94" t="n">
        <f aca="false">VLOOKUP($D71,tblPriorPrice,2)</f>
        <v>54.7039985656738</v>
      </c>
      <c r="F71" s="95" t="n">
        <f aca="false">G71-E71</f>
        <v>1.43432617250028E-006</v>
      </c>
      <c r="G71" s="264" t="n">
        <f aca="false">IF(EnergyCurve!G71&lt;200,0.001*EnergyCurve!G71+1,1.2)*EnergyCurve!G71</f>
        <v>54.704</v>
      </c>
      <c r="H71" s="96" t="n">
        <f aca="false">IF(EnergyCurve!H71&lt;200,0.001*EnergyCurve!H71+1,1.2)*EnergyCurve!H71</f>
        <v>49.209</v>
      </c>
      <c r="I71" s="96" t="n">
        <f aca="false">IF(EnergyCurve!I71&lt;200,0.001*EnergyCurve!I71+1,1.2)*EnergyCurve!I71</f>
        <v>71.489</v>
      </c>
      <c r="J71" s="94" t="n">
        <f aca="false">VLOOKUP($D71,tblPriorPrice,3)</f>
        <v>0</v>
      </c>
      <c r="K71" s="95" t="n">
        <f aca="false">L71-J71</f>
        <v>0</v>
      </c>
      <c r="L71" s="264" t="n">
        <v>0</v>
      </c>
      <c r="M71" s="96" t="n">
        <f aca="false">L71</f>
        <v>0</v>
      </c>
      <c r="N71" s="96" t="n">
        <f aca="false">L71</f>
        <v>0</v>
      </c>
      <c r="O71" s="58" t="n">
        <f aca="true">IF($A71="",0,INDEX(tblPosn,$A71,2))</f>
        <v>0</v>
      </c>
      <c r="P71" s="59" t="n">
        <f aca="true">IF($A71="",0,INDEX(tblPosn,$A71,3))</f>
        <v>0</v>
      </c>
      <c r="Q71" s="59" t="n">
        <f aca="true">IF($A71="",0,INDEX(tblPosn,$A71,4))</f>
        <v>0</v>
      </c>
      <c r="R71" s="59" t="n">
        <f aca="true">IF($A71="",0,INDEX(tblPosn,$A71,5))</f>
        <v>0</v>
      </c>
      <c r="S71" s="59" t="n">
        <f aca="true">IF($A71="",0,INDEX(tblPosn,$A71,6))</f>
        <v>0</v>
      </c>
      <c r="T71" s="98" t="n">
        <f aca="false">O71*F71+P71*K71+R71*AC71+S71*AH71/0.72+Q71*X71</f>
        <v>0</v>
      </c>
      <c r="V71" s="161" t="n">
        <f aca="false">D71</f>
        <v>38047</v>
      </c>
      <c r="W71" s="94" t="n">
        <f aca="false">VLOOKUP($D71,tblPriorPrice,4)</f>
        <v>0</v>
      </c>
      <c r="X71" s="162" t="n">
        <f aca="false">Y71-W71</f>
        <v>0</v>
      </c>
      <c r="Y71" s="176" t="n">
        <f aca="false">L71</f>
        <v>0</v>
      </c>
      <c r="Z71" s="177" t="n">
        <f aca="false">Y71</f>
        <v>0</v>
      </c>
      <c r="AA71" s="177" t="n">
        <f aca="false">Y71</f>
        <v>0</v>
      </c>
      <c r="AB71" s="94" t="n">
        <f aca="false">VLOOKUP($D71,tblPriorPrice,5)</f>
        <v>0</v>
      </c>
      <c r="AC71" s="162" t="n">
        <f aca="false">AD71-AB71</f>
        <v>0</v>
      </c>
      <c r="AD71" s="176" t="n">
        <f aca="false">L71</f>
        <v>0</v>
      </c>
      <c r="AE71" s="96" t="n">
        <f aca="false">AD71</f>
        <v>0</v>
      </c>
      <c r="AF71" s="97" t="n">
        <f aca="false">AD71</f>
        <v>0</v>
      </c>
      <c r="AG71" s="94" t="n">
        <f aca="false">VLOOKUP($D71,tblPriorPrice,6)</f>
        <v>0</v>
      </c>
      <c r="AH71" s="182"/>
      <c r="AI71" s="189" t="n">
        <f aca="false">AG71+AH71</f>
        <v>0</v>
      </c>
      <c r="AJ71" s="96" t="n">
        <f aca="false">AI71</f>
        <v>0</v>
      </c>
      <c r="AK71" s="97" t="n">
        <f aca="false">AI71</f>
        <v>0</v>
      </c>
      <c r="AL71" s="178" t="n">
        <v>13</v>
      </c>
      <c r="AM71" s="165" t="n">
        <v>0.3</v>
      </c>
      <c r="AN71" s="166" t="n">
        <f aca="false">EnergyCurve!AN71*2</f>
        <v>0.585</v>
      </c>
      <c r="AO71" s="166" t="n">
        <f aca="false">EnergyCurve!AO71</f>
        <v>0.26325</v>
      </c>
      <c r="AP71" s="166" t="n">
        <f aca="false">AN71*1.25</f>
        <v>0.73125</v>
      </c>
      <c r="AQ71" s="166" t="n">
        <f aca="false">EnergyCurve!AQ71*2</f>
        <v>0.585</v>
      </c>
      <c r="AR71" s="166" t="n">
        <f aca="false">EnergyCurve!AR71</f>
        <v>0.234</v>
      </c>
      <c r="AS71" s="166" t="n">
        <f aca="false">EnergyCurve!AS71*1.25</f>
        <v>0.43875</v>
      </c>
      <c r="AT71" s="168" t="n">
        <f aca="false">EnergyCurve!AT71*2*2</f>
        <v>12.4198573007432</v>
      </c>
      <c r="AU71" s="169" t="n">
        <f aca="false">EnergyCurve!AU71</f>
        <v>-0.77624108129645</v>
      </c>
      <c r="AV71" s="169" t="n">
        <f aca="false">AT71*1.25</f>
        <v>15.524821625929</v>
      </c>
      <c r="AW71" s="168" t="n">
        <f aca="false">EnergyCurve!AW71*2*2</f>
        <v>9.9276</v>
      </c>
      <c r="AX71" s="169" t="n">
        <f aca="false">EnergyCurve!AX71</f>
        <v>-0.620475</v>
      </c>
      <c r="AY71" s="169" t="n">
        <f aca="false">AW71*1.25</f>
        <v>12.4095</v>
      </c>
      <c r="AZ71" s="167" t="n">
        <v>0</v>
      </c>
      <c r="BA71" s="74"/>
      <c r="BB71" s="198" t="n">
        <f aca="false">BB70+1</f>
        <v>113</v>
      </c>
      <c r="BC71" s="187"/>
      <c r="BD71" s="199"/>
      <c r="BE71" s="200"/>
      <c r="BF71" s="199"/>
      <c r="BG71" s="199"/>
      <c r="BH71" s="200"/>
      <c r="BI71" s="187"/>
      <c r="BJ71" s="199"/>
      <c r="BK71" s="200"/>
      <c r="BL71" s="199"/>
      <c r="BM71" s="199"/>
      <c r="BN71" s="200"/>
      <c r="BQ71" s="108" t="n">
        <v>36907.7428240741</v>
      </c>
      <c r="BR71" s="109" t="n">
        <v>36907.7434490741</v>
      </c>
      <c r="BS71" s="110" t="n">
        <v>38261</v>
      </c>
      <c r="BT71" s="111" t="n">
        <v>0</v>
      </c>
      <c r="BU71" s="112" t="n">
        <v>0</v>
      </c>
      <c r="BV71" s="112" t="n">
        <v>0</v>
      </c>
      <c r="BW71" s="112" t="n">
        <v>0</v>
      </c>
      <c r="BX71" s="113" t="n">
        <v>0</v>
      </c>
      <c r="BZ71" s="110" t="n">
        <v>38047</v>
      </c>
      <c r="CA71" s="116" t="n">
        <v>54.7039985656738</v>
      </c>
      <c r="CB71" s="116" t="n">
        <v>0</v>
      </c>
      <c r="CC71" s="116" t="n">
        <v>0</v>
      </c>
      <c r="CD71" s="116" t="n">
        <v>0</v>
      </c>
      <c r="CE71" s="117" t="n">
        <v>0</v>
      </c>
    </row>
    <row r="72" customFormat="false" ht="12.75" hidden="false" customHeight="false" outlineLevel="0" collapsed="false">
      <c r="A72" s="0" t="n">
        <f aca="true">IF(ISERROR(MATCH(D72,iRefDt,0)),"",MATCH(D72,iRefDt,0))</f>
        <v>63</v>
      </c>
      <c r="B72" s="92" t="n">
        <f aca="false">MATCH(YEAR(D72),iSpreads)</f>
        <v>4</v>
      </c>
      <c r="C72" s="0" t="n">
        <f aca="false">MONTH(D72)</f>
        <v>4</v>
      </c>
      <c r="D72" s="93" t="n">
        <f aca="false">+EnergyCurve!D72</f>
        <v>38078</v>
      </c>
      <c r="E72" s="94" t="n">
        <f aca="false">VLOOKUP($D72,tblPriorPrice,2)</f>
        <v>34.0890007019043</v>
      </c>
      <c r="F72" s="95" t="n">
        <f aca="false">G72-E72</f>
        <v>-7.01904298239242E-007</v>
      </c>
      <c r="G72" s="264" t="n">
        <f aca="false">IF(EnergyCurve!G72&lt;200,0.001*EnergyCurve!G72+1,1.2)*EnergyCurve!G72</f>
        <v>34.089</v>
      </c>
      <c r="H72" s="96" t="n">
        <f aca="false">IF(EnergyCurve!H72&lt;200,0.001*EnergyCurve!H72+1,1.2)*EnergyCurve!H72</f>
        <v>28.784</v>
      </c>
      <c r="I72" s="96" t="n">
        <f aca="false">IF(EnergyCurve!I72&lt;200,0.001*EnergyCurve!I72+1,1.2)*EnergyCurve!I72</f>
        <v>50.304</v>
      </c>
      <c r="J72" s="94" t="n">
        <f aca="false">VLOOKUP($D72,tblPriorPrice,3)</f>
        <v>0</v>
      </c>
      <c r="K72" s="95" t="n">
        <f aca="false">L72-J72</f>
        <v>0</v>
      </c>
      <c r="L72" s="264" t="n">
        <v>0</v>
      </c>
      <c r="M72" s="96" t="n">
        <f aca="false">L72</f>
        <v>0</v>
      </c>
      <c r="N72" s="96" t="n">
        <f aca="false">L72</f>
        <v>0</v>
      </c>
      <c r="O72" s="58" t="n">
        <f aca="true">IF($A72="",0,INDEX(tblPosn,$A72,2))</f>
        <v>0</v>
      </c>
      <c r="P72" s="59" t="n">
        <f aca="true">IF($A72="",0,INDEX(tblPosn,$A72,3))</f>
        <v>0</v>
      </c>
      <c r="Q72" s="59" t="n">
        <f aca="true">IF($A72="",0,INDEX(tblPosn,$A72,4))</f>
        <v>0</v>
      </c>
      <c r="R72" s="59" t="n">
        <f aca="true">IF($A72="",0,INDEX(tblPosn,$A72,5))</f>
        <v>0</v>
      </c>
      <c r="S72" s="59" t="n">
        <f aca="true">IF($A72="",0,INDEX(tblPosn,$A72,6))</f>
        <v>0</v>
      </c>
      <c r="T72" s="98" t="n">
        <f aca="false">O72*F72+P72*K72+R72*AC72+S72*AH72/0.72+Q72*X72</f>
        <v>0</v>
      </c>
      <c r="V72" s="161" t="n">
        <f aca="false">D72</f>
        <v>38078</v>
      </c>
      <c r="W72" s="94" t="n">
        <f aca="false">VLOOKUP($D72,tblPriorPrice,4)</f>
        <v>0</v>
      </c>
      <c r="X72" s="162" t="n">
        <f aca="false">Y72-W72</f>
        <v>0</v>
      </c>
      <c r="Y72" s="176" t="n">
        <f aca="false">L72</f>
        <v>0</v>
      </c>
      <c r="Z72" s="177" t="n">
        <f aca="false">Y72</f>
        <v>0</v>
      </c>
      <c r="AA72" s="177" t="n">
        <f aca="false">Y72</f>
        <v>0</v>
      </c>
      <c r="AB72" s="94" t="n">
        <f aca="false">VLOOKUP($D72,tblPriorPrice,5)</f>
        <v>0</v>
      </c>
      <c r="AC72" s="162" t="n">
        <f aca="false">AD72-AB72</f>
        <v>0</v>
      </c>
      <c r="AD72" s="176" t="n">
        <f aca="false">L72</f>
        <v>0</v>
      </c>
      <c r="AE72" s="96" t="n">
        <f aca="false">AD72</f>
        <v>0</v>
      </c>
      <c r="AF72" s="97" t="n">
        <f aca="false">AD72</f>
        <v>0</v>
      </c>
      <c r="AG72" s="94" t="n">
        <f aca="false">VLOOKUP($D72,tblPriorPrice,6)</f>
        <v>0</v>
      </c>
      <c r="AH72" s="182"/>
      <c r="AI72" s="189" t="n">
        <f aca="false">AG72+AH72</f>
        <v>0</v>
      </c>
      <c r="AJ72" s="96" t="n">
        <f aca="false">AI72</f>
        <v>0</v>
      </c>
      <c r="AK72" s="97" t="n">
        <f aca="false">AI72</f>
        <v>0</v>
      </c>
      <c r="AL72" s="178" t="n">
        <v>14</v>
      </c>
      <c r="AM72" s="165" t="n">
        <v>0.3</v>
      </c>
      <c r="AN72" s="166" t="n">
        <f aca="false">EnergyCurve!AN72*2</f>
        <v>0.565</v>
      </c>
      <c r="AO72" s="166" t="n">
        <f aca="false">EnergyCurve!AO72</f>
        <v>0.25425</v>
      </c>
      <c r="AP72" s="166" t="n">
        <f aca="false">AN72*1.25</f>
        <v>0.70625</v>
      </c>
      <c r="AQ72" s="166" t="n">
        <f aca="false">EnergyCurve!AQ72*2</f>
        <v>0.565</v>
      </c>
      <c r="AR72" s="166" t="n">
        <f aca="false">EnergyCurve!AR72</f>
        <v>0.226</v>
      </c>
      <c r="AS72" s="166" t="n">
        <f aca="false">EnergyCurve!AS72*1.25</f>
        <v>0.42375</v>
      </c>
      <c r="AT72" s="168" t="n">
        <f aca="false">EnergyCurve!AT72*2*2</f>
        <v>6.88781730529552</v>
      </c>
      <c r="AU72" s="169" t="n">
        <f aca="false">EnergyCurve!AU72</f>
        <v>-0.43048858158097</v>
      </c>
      <c r="AV72" s="169" t="n">
        <f aca="false">AT72*1.25</f>
        <v>8.60977163161941</v>
      </c>
      <c r="AW72" s="168" t="n">
        <f aca="false">EnergyCurve!AW72*2*2</f>
        <v>10.116</v>
      </c>
      <c r="AX72" s="169" t="n">
        <f aca="false">EnergyCurve!AX72</f>
        <v>-0.63225</v>
      </c>
      <c r="AY72" s="169" t="n">
        <f aca="false">AW72*1.25</f>
        <v>12.645</v>
      </c>
      <c r="AZ72" s="167" t="n">
        <v>0</v>
      </c>
      <c r="BA72" s="74"/>
      <c r="BI72" s="91"/>
      <c r="BJ72" s="91"/>
      <c r="BK72" s="91"/>
      <c r="BL72" s="91"/>
      <c r="BM72" s="91"/>
      <c r="BN72" s="91"/>
      <c r="BQ72" s="108" t="n">
        <v>36907.7428240741</v>
      </c>
      <c r="BR72" s="109" t="n">
        <v>36907.7434490741</v>
      </c>
      <c r="BS72" s="110" t="n">
        <v>38292</v>
      </c>
      <c r="BT72" s="111" t="n">
        <v>0</v>
      </c>
      <c r="BU72" s="112" t="n">
        <v>0</v>
      </c>
      <c r="BV72" s="112" t="n">
        <v>0</v>
      </c>
      <c r="BW72" s="112" t="n">
        <v>0</v>
      </c>
      <c r="BX72" s="113" t="n">
        <v>0</v>
      </c>
      <c r="BZ72" s="110" t="n">
        <v>38078</v>
      </c>
      <c r="CA72" s="116" t="n">
        <v>34.0890007019043</v>
      </c>
      <c r="CB72" s="116" t="n">
        <v>0</v>
      </c>
      <c r="CC72" s="116" t="n">
        <v>0</v>
      </c>
      <c r="CD72" s="116" t="n">
        <v>0</v>
      </c>
      <c r="CE72" s="117" t="n">
        <v>0</v>
      </c>
      <c r="CG72" s="105" t="s">
        <v>53</v>
      </c>
      <c r="CH72" s="118"/>
      <c r="CI72" s="118"/>
      <c r="CJ72" s="119"/>
      <c r="CU72" s="105" t="s">
        <v>53</v>
      </c>
      <c r="CV72" s="118"/>
      <c r="CW72" s="118"/>
      <c r="CX72" s="119"/>
      <c r="DI72" s="105" t="s">
        <v>53</v>
      </c>
      <c r="DJ72" s="118"/>
      <c r="DK72" s="118"/>
      <c r="DL72" s="119"/>
    </row>
    <row r="73" customFormat="false" ht="12.75" hidden="false" customHeight="false" outlineLevel="0" collapsed="false">
      <c r="A73" s="0" t="n">
        <f aca="true">IF(ISERROR(MATCH(D73,iRefDt,0)),"",MATCH(D73,iRefDt,0))</f>
        <v>64</v>
      </c>
      <c r="B73" s="92" t="n">
        <f aca="false">MATCH(YEAR(D73),iSpreads)</f>
        <v>4</v>
      </c>
      <c r="C73" s="0" t="n">
        <f aca="false">MONTH(D73)</f>
        <v>5</v>
      </c>
      <c r="D73" s="93" t="n">
        <f aca="false">+EnergyCurve!D73</f>
        <v>38108</v>
      </c>
      <c r="E73" s="94" t="n">
        <f aca="false">VLOOKUP($D73,tblPriorPrice,2)</f>
        <v>37.2960014343262</v>
      </c>
      <c r="F73" s="95" t="n">
        <f aca="false">G73-E73</f>
        <v>-1.43432617250028E-006</v>
      </c>
      <c r="G73" s="264" t="n">
        <f aca="false">IF(EnergyCurve!G73&lt;200,0.001*EnergyCurve!G73+1,1.2)*EnergyCurve!G73</f>
        <v>37.296</v>
      </c>
      <c r="H73" s="96" t="n">
        <f aca="false">IF(EnergyCurve!H73&lt;200,0.001*EnergyCurve!H73+1,1.2)*EnergyCurve!H73</f>
        <v>31.961</v>
      </c>
      <c r="I73" s="96" t="n">
        <f aca="false">IF(EnergyCurve!I73&lt;200,0.001*EnergyCurve!I73+1,1.2)*EnergyCurve!I73</f>
        <v>53.601</v>
      </c>
      <c r="J73" s="94" t="n">
        <f aca="false">VLOOKUP($D73,tblPriorPrice,3)</f>
        <v>0</v>
      </c>
      <c r="K73" s="95" t="n">
        <f aca="false">L73-J73</f>
        <v>0</v>
      </c>
      <c r="L73" s="264" t="n">
        <v>0</v>
      </c>
      <c r="M73" s="96" t="n">
        <f aca="false">L73</f>
        <v>0</v>
      </c>
      <c r="N73" s="96" t="n">
        <f aca="false">L73</f>
        <v>0</v>
      </c>
      <c r="O73" s="58" t="n">
        <f aca="true">IF($A73="",0,INDEX(tblPosn,$A73,2))</f>
        <v>0</v>
      </c>
      <c r="P73" s="59" t="n">
        <f aca="true">IF($A73="",0,INDEX(tblPosn,$A73,3))</f>
        <v>0</v>
      </c>
      <c r="Q73" s="59" t="n">
        <f aca="true">IF($A73="",0,INDEX(tblPosn,$A73,4))</f>
        <v>0</v>
      </c>
      <c r="R73" s="59" t="n">
        <f aca="true">IF($A73="",0,INDEX(tblPosn,$A73,5))</f>
        <v>0</v>
      </c>
      <c r="S73" s="59" t="n">
        <f aca="true">IF($A73="",0,INDEX(tblPosn,$A73,6))</f>
        <v>0</v>
      </c>
      <c r="T73" s="98" t="n">
        <f aca="false">O73*F73+P73*K73+R73*AC73+S73*AH73/0.72+Q73*X73</f>
        <v>0</v>
      </c>
      <c r="V73" s="161" t="n">
        <f aca="false">D73</f>
        <v>38108</v>
      </c>
      <c r="W73" s="94" t="n">
        <f aca="false">VLOOKUP($D73,tblPriorPrice,4)</f>
        <v>0</v>
      </c>
      <c r="X73" s="162" t="n">
        <f aca="false">Y73-W73</f>
        <v>0</v>
      </c>
      <c r="Y73" s="176" t="n">
        <f aca="false">L73</f>
        <v>0</v>
      </c>
      <c r="Z73" s="177" t="n">
        <f aca="false">Y73</f>
        <v>0</v>
      </c>
      <c r="AA73" s="177" t="n">
        <f aca="false">Y73</f>
        <v>0</v>
      </c>
      <c r="AB73" s="94" t="n">
        <f aca="false">VLOOKUP($D73,tblPriorPrice,5)</f>
        <v>0</v>
      </c>
      <c r="AC73" s="162" t="n">
        <f aca="false">AD73-AB73</f>
        <v>0</v>
      </c>
      <c r="AD73" s="176" t="n">
        <f aca="false">L73</f>
        <v>0</v>
      </c>
      <c r="AE73" s="96" t="n">
        <f aca="false">AD73</f>
        <v>0</v>
      </c>
      <c r="AF73" s="97" t="n">
        <f aca="false">AD73</f>
        <v>0</v>
      </c>
      <c r="AG73" s="94" t="n">
        <f aca="false">VLOOKUP($D73,tblPriorPrice,6)</f>
        <v>0</v>
      </c>
      <c r="AH73" s="182"/>
      <c r="AI73" s="189" t="n">
        <f aca="false">AG73+AH73</f>
        <v>0</v>
      </c>
      <c r="AJ73" s="96" t="n">
        <f aca="false">AI73</f>
        <v>0</v>
      </c>
      <c r="AK73" s="97" t="n">
        <f aca="false">AI73</f>
        <v>0</v>
      </c>
      <c r="AL73" s="178" t="n">
        <v>14</v>
      </c>
      <c r="AM73" s="165" t="n">
        <v>0.3</v>
      </c>
      <c r="AN73" s="166" t="n">
        <f aca="false">EnergyCurve!AN73*2</f>
        <v>0.565</v>
      </c>
      <c r="AO73" s="166" t="n">
        <f aca="false">EnergyCurve!AO73</f>
        <v>0.25425</v>
      </c>
      <c r="AP73" s="166" t="n">
        <f aca="false">AN73*1.25</f>
        <v>0.70625</v>
      </c>
      <c r="AQ73" s="166" t="n">
        <f aca="false">EnergyCurve!AQ73*2</f>
        <v>0.565</v>
      </c>
      <c r="AR73" s="166" t="n">
        <f aca="false">EnergyCurve!AR73</f>
        <v>0.226</v>
      </c>
      <c r="AS73" s="166" t="n">
        <f aca="false">EnergyCurve!AS73*1.25</f>
        <v>0.42375</v>
      </c>
      <c r="AT73" s="168" t="n">
        <f aca="false">EnergyCurve!AT73*2*2</f>
        <v>7.51583037003162</v>
      </c>
      <c r="AU73" s="169" t="n">
        <f aca="false">EnergyCurve!AU73</f>
        <v>-0.469739398126976</v>
      </c>
      <c r="AV73" s="169" t="n">
        <f aca="false">AT73*1.25</f>
        <v>9.39478796253952</v>
      </c>
      <c r="AW73" s="168" t="n">
        <f aca="false">EnergyCurve!AW73*2*2</f>
        <v>9.9276</v>
      </c>
      <c r="AX73" s="169" t="n">
        <f aca="false">EnergyCurve!AX73</f>
        <v>-0.620475</v>
      </c>
      <c r="AY73" s="169" t="n">
        <f aca="false">AW73*1.25</f>
        <v>12.4095</v>
      </c>
      <c r="AZ73" s="167" t="n">
        <v>0</v>
      </c>
      <c r="BA73" s="74"/>
      <c r="BB73" s="5" t="s">
        <v>125</v>
      </c>
      <c r="BI73" s="91"/>
      <c r="BJ73" s="91"/>
      <c r="BK73" s="91"/>
      <c r="BL73" s="91"/>
      <c r="BM73" s="91"/>
      <c r="BN73" s="91"/>
      <c r="BQ73" s="108" t="n">
        <v>36907.7428240741</v>
      </c>
      <c r="BR73" s="109" t="n">
        <v>36907.7434490741</v>
      </c>
      <c r="BS73" s="110" t="n">
        <v>38322</v>
      </c>
      <c r="BT73" s="111" t="n">
        <v>0</v>
      </c>
      <c r="BU73" s="112" t="n">
        <v>0</v>
      </c>
      <c r="BV73" s="112" t="n">
        <v>0</v>
      </c>
      <c r="BW73" s="112" t="n">
        <v>0</v>
      </c>
      <c r="BX73" s="113" t="n">
        <v>0</v>
      </c>
      <c r="BZ73" s="110" t="n">
        <v>38108</v>
      </c>
      <c r="CA73" s="116" t="n">
        <v>37.2960014343262</v>
      </c>
      <c r="CB73" s="116" t="n">
        <v>0</v>
      </c>
      <c r="CC73" s="116" t="n">
        <v>0</v>
      </c>
      <c r="CD73" s="116" t="n">
        <v>0</v>
      </c>
      <c r="CE73" s="117" t="n">
        <v>0</v>
      </c>
      <c r="CG73" s="125" t="s">
        <v>99</v>
      </c>
      <c r="CH73" s="126" t="s">
        <v>100</v>
      </c>
      <c r="CI73" s="126" t="s">
        <v>101</v>
      </c>
      <c r="CJ73" s="126" t="s">
        <v>102</v>
      </c>
      <c r="CK73" s="126" t="s">
        <v>103</v>
      </c>
      <c r="CL73" s="126" t="s">
        <v>104</v>
      </c>
      <c r="CM73" s="126" t="s">
        <v>105</v>
      </c>
      <c r="CN73" s="126" t="s">
        <v>106</v>
      </c>
      <c r="CO73" s="126" t="s">
        <v>107</v>
      </c>
      <c r="CP73" s="126" t="s">
        <v>108</v>
      </c>
      <c r="CQ73" s="126" t="s">
        <v>109</v>
      </c>
      <c r="CR73" s="126" t="s">
        <v>110</v>
      </c>
      <c r="CS73" s="126" t="s">
        <v>111</v>
      </c>
      <c r="CU73" s="125" t="s">
        <v>99</v>
      </c>
      <c r="CV73" s="126" t="s">
        <v>100</v>
      </c>
      <c r="CW73" s="126" t="s">
        <v>101</v>
      </c>
      <c r="CX73" s="126" t="s">
        <v>102</v>
      </c>
      <c r="CY73" s="126" t="s">
        <v>103</v>
      </c>
      <c r="CZ73" s="126" t="s">
        <v>104</v>
      </c>
      <c r="DA73" s="126" t="s">
        <v>105</v>
      </c>
      <c r="DB73" s="126" t="s">
        <v>106</v>
      </c>
      <c r="DC73" s="126" t="s">
        <v>107</v>
      </c>
      <c r="DD73" s="126" t="s">
        <v>108</v>
      </c>
      <c r="DE73" s="126" t="s">
        <v>109</v>
      </c>
      <c r="DF73" s="126" t="s">
        <v>110</v>
      </c>
      <c r="DG73" s="126" t="s">
        <v>111</v>
      </c>
      <c r="DI73" s="125" t="s">
        <v>99</v>
      </c>
      <c r="DJ73" s="126" t="s">
        <v>100</v>
      </c>
      <c r="DK73" s="126" t="s">
        <v>101</v>
      </c>
      <c r="DL73" s="126" t="s">
        <v>102</v>
      </c>
      <c r="DM73" s="126" t="s">
        <v>103</v>
      </c>
      <c r="DN73" s="126" t="s">
        <v>104</v>
      </c>
      <c r="DO73" s="126" t="s">
        <v>105</v>
      </c>
      <c r="DP73" s="126" t="s">
        <v>106</v>
      </c>
      <c r="DQ73" s="126" t="s">
        <v>107</v>
      </c>
      <c r="DR73" s="126" t="s">
        <v>108</v>
      </c>
      <c r="DS73" s="126" t="s">
        <v>109</v>
      </c>
      <c r="DT73" s="126" t="s">
        <v>110</v>
      </c>
      <c r="DU73" s="126" t="s">
        <v>111</v>
      </c>
    </row>
    <row r="74" customFormat="false" ht="12.75" hidden="false" customHeight="false" outlineLevel="0" collapsed="false">
      <c r="A74" s="0" t="n">
        <f aca="true">IF(ISERROR(MATCH(D74,iRefDt,0)),"",MATCH(D74,iRefDt,0))</f>
        <v>65</v>
      </c>
      <c r="B74" s="92" t="n">
        <f aca="false">MATCH(YEAR(D74),iSpreads)</f>
        <v>4</v>
      </c>
      <c r="C74" s="0" t="n">
        <f aca="false">MONTH(D74)</f>
        <v>6</v>
      </c>
      <c r="D74" s="93" t="n">
        <f aca="false">+EnergyCurve!D74</f>
        <v>38139</v>
      </c>
      <c r="E74" s="94" t="n">
        <f aca="false">VLOOKUP($D74,tblPriorPrice,2)</f>
        <v>44.8489990234375</v>
      </c>
      <c r="F74" s="95" t="n">
        <f aca="false">G74-E74</f>
        <v>9.76562496646238E-007</v>
      </c>
      <c r="G74" s="264" t="n">
        <f aca="false">IF(EnergyCurve!G74&lt;200,0.001*EnergyCurve!G74+1,1.2)*EnergyCurve!G74</f>
        <v>44.849</v>
      </c>
      <c r="H74" s="96" t="n">
        <f aca="false">IF(EnergyCurve!H74&lt;200,0.001*EnergyCurve!H74+1,1.2)*EnergyCurve!H74</f>
        <v>39.444</v>
      </c>
      <c r="I74" s="96" t="n">
        <f aca="false">IF(EnergyCurve!I74&lt;200,0.001*EnergyCurve!I74+1,1.2)*EnergyCurve!I74</f>
        <v>61.364</v>
      </c>
      <c r="J74" s="94" t="n">
        <f aca="false">VLOOKUP($D74,tblPriorPrice,3)</f>
        <v>0</v>
      </c>
      <c r="K74" s="95" t="n">
        <f aca="false">L74-J74</f>
        <v>0</v>
      </c>
      <c r="L74" s="264" t="n">
        <v>0</v>
      </c>
      <c r="M74" s="96" t="n">
        <f aca="false">L74</f>
        <v>0</v>
      </c>
      <c r="N74" s="96" t="n">
        <f aca="false">L74</f>
        <v>0</v>
      </c>
      <c r="O74" s="58" t="n">
        <f aca="true">IF($A74="",0,INDEX(tblPosn,$A74,2))</f>
        <v>0</v>
      </c>
      <c r="P74" s="59" t="n">
        <f aca="true">IF($A74="",0,INDEX(tblPosn,$A74,3))</f>
        <v>0</v>
      </c>
      <c r="Q74" s="59" t="n">
        <f aca="true">IF($A74="",0,INDEX(tblPosn,$A74,4))</f>
        <v>0</v>
      </c>
      <c r="R74" s="59" t="n">
        <f aca="true">IF($A74="",0,INDEX(tblPosn,$A74,5))</f>
        <v>0</v>
      </c>
      <c r="S74" s="59" t="n">
        <f aca="true">IF($A74="",0,INDEX(tblPosn,$A74,6))</f>
        <v>0</v>
      </c>
      <c r="T74" s="98" t="n">
        <f aca="false">O74*F74+P74*K74+R74*AC74+S74*AH74/0.72+Q74*X74</f>
        <v>0</v>
      </c>
      <c r="V74" s="161" t="n">
        <f aca="false">D74</f>
        <v>38139</v>
      </c>
      <c r="W74" s="94" t="n">
        <f aca="false">VLOOKUP($D74,tblPriorPrice,4)</f>
        <v>0</v>
      </c>
      <c r="X74" s="162" t="n">
        <f aca="false">Y74-W74</f>
        <v>0</v>
      </c>
      <c r="Y74" s="176" t="n">
        <f aca="false">L74</f>
        <v>0</v>
      </c>
      <c r="Z74" s="177" t="n">
        <f aca="false">Y74</f>
        <v>0</v>
      </c>
      <c r="AA74" s="177" t="n">
        <f aca="false">Y74</f>
        <v>0</v>
      </c>
      <c r="AB74" s="94" t="n">
        <f aca="false">VLOOKUP($D74,tblPriorPrice,5)</f>
        <v>0</v>
      </c>
      <c r="AC74" s="162" t="n">
        <f aca="false">AD74-AB74</f>
        <v>0</v>
      </c>
      <c r="AD74" s="176" t="n">
        <f aca="false">L74</f>
        <v>0</v>
      </c>
      <c r="AE74" s="96" t="n">
        <f aca="false">AD74</f>
        <v>0</v>
      </c>
      <c r="AF74" s="97" t="n">
        <f aca="false">AD74</f>
        <v>0</v>
      </c>
      <c r="AG74" s="94" t="n">
        <f aca="false">VLOOKUP($D74,tblPriorPrice,6)</f>
        <v>0</v>
      </c>
      <c r="AH74" s="182"/>
      <c r="AI74" s="189" t="n">
        <f aca="false">AG74+AH74</f>
        <v>0</v>
      </c>
      <c r="AJ74" s="96" t="n">
        <f aca="false">AI74</f>
        <v>0</v>
      </c>
      <c r="AK74" s="97" t="n">
        <f aca="false">AI74</f>
        <v>0</v>
      </c>
      <c r="AL74" s="178" t="n">
        <v>14</v>
      </c>
      <c r="AM74" s="165" t="n">
        <v>0.4</v>
      </c>
      <c r="AN74" s="166" t="n">
        <f aca="false">EnergyCurve!AN74*2</f>
        <v>0.56</v>
      </c>
      <c r="AO74" s="166" t="n">
        <f aca="false">EnergyCurve!AO74</f>
        <v>0.252</v>
      </c>
      <c r="AP74" s="166" t="n">
        <f aca="false">AN74*1.25</f>
        <v>0.7</v>
      </c>
      <c r="AQ74" s="166" t="n">
        <f aca="false">EnergyCurve!AQ74*2</f>
        <v>0.56</v>
      </c>
      <c r="AR74" s="166" t="n">
        <f aca="false">EnergyCurve!AR74</f>
        <v>0.224</v>
      </c>
      <c r="AS74" s="166" t="n">
        <f aca="false">EnergyCurve!AS74*1.25</f>
        <v>0.42</v>
      </c>
      <c r="AT74" s="168" t="n">
        <f aca="false">EnergyCurve!AT74*2*2</f>
        <v>9.43106847375392</v>
      </c>
      <c r="AU74" s="169" t="n">
        <f aca="false">EnergyCurve!AU74</f>
        <v>-0.58944177960962</v>
      </c>
      <c r="AV74" s="169" t="n">
        <f aca="false">AT74*1.25</f>
        <v>11.7888355921924</v>
      </c>
      <c r="AW74" s="168" t="n">
        <f aca="false">EnergyCurve!AW74*2*2</f>
        <v>9.3624</v>
      </c>
      <c r="AX74" s="169" t="n">
        <f aca="false">EnergyCurve!AX74</f>
        <v>-0.58515</v>
      </c>
      <c r="AY74" s="169" t="n">
        <f aca="false">AW74*1.25</f>
        <v>11.703</v>
      </c>
      <c r="AZ74" s="167" t="n">
        <v>0</v>
      </c>
      <c r="BA74" s="74"/>
      <c r="BB74" s="170"/>
      <c r="BC74" s="140" t="s">
        <v>51</v>
      </c>
      <c r="BD74" s="140"/>
      <c r="BE74" s="140"/>
      <c r="BF74" s="140" t="s">
        <v>116</v>
      </c>
      <c r="BG74" s="140"/>
      <c r="BH74" s="140"/>
      <c r="BI74" s="171" t="s">
        <v>84</v>
      </c>
      <c r="BJ74" s="171"/>
      <c r="BK74" s="171"/>
      <c r="BL74" s="171" t="s">
        <v>53</v>
      </c>
      <c r="BM74" s="171"/>
      <c r="BN74" s="171"/>
      <c r="BQ74" s="108" t="n">
        <v>36907.7428240741</v>
      </c>
      <c r="BR74" s="109" t="n">
        <v>36907.7434490741</v>
      </c>
      <c r="BS74" s="110" t="n">
        <v>38353</v>
      </c>
      <c r="BT74" s="111" t="n">
        <v>0</v>
      </c>
      <c r="BU74" s="112" t="n">
        <v>0</v>
      </c>
      <c r="BV74" s="112" t="n">
        <v>0</v>
      </c>
      <c r="BW74" s="112" t="n">
        <v>0</v>
      </c>
      <c r="BX74" s="113" t="n">
        <v>0</v>
      </c>
      <c r="BZ74" s="110" t="n">
        <v>38139</v>
      </c>
      <c r="CA74" s="116" t="n">
        <v>44.8489990234375</v>
      </c>
      <c r="CB74" s="116" t="n">
        <v>0</v>
      </c>
      <c r="CC74" s="116" t="n">
        <v>0</v>
      </c>
      <c r="CD74" s="116" t="n">
        <v>0</v>
      </c>
      <c r="CE74" s="117" t="n">
        <v>0</v>
      </c>
      <c r="CG74" s="128" t="n">
        <f aca="false">BB10</f>
        <v>2001</v>
      </c>
      <c r="CH74" s="129" t="n">
        <v>0</v>
      </c>
      <c r="CI74" s="130" t="n">
        <v>0</v>
      </c>
      <c r="CJ74" s="130" t="n">
        <v>0</v>
      </c>
      <c r="CK74" s="130" t="n">
        <v>0</v>
      </c>
      <c r="CL74" s="130" t="n">
        <v>0</v>
      </c>
      <c r="CM74" s="130" t="n">
        <v>0</v>
      </c>
      <c r="CN74" s="130" t="n">
        <v>0</v>
      </c>
      <c r="CO74" s="130" t="n">
        <v>0</v>
      </c>
      <c r="CP74" s="130" t="n">
        <v>0</v>
      </c>
      <c r="CQ74" s="130" t="n">
        <v>0</v>
      </c>
      <c r="CR74" s="130" t="n">
        <v>0</v>
      </c>
      <c r="CS74" s="131" t="n">
        <v>0</v>
      </c>
      <c r="CU74" s="128" t="n">
        <f aca="false">BB10</f>
        <v>2001</v>
      </c>
      <c r="CV74" s="129" t="n">
        <v>0</v>
      </c>
      <c r="CW74" s="130" t="n">
        <v>0</v>
      </c>
      <c r="CX74" s="130" t="n">
        <v>0</v>
      </c>
      <c r="CY74" s="130" t="n">
        <v>0</v>
      </c>
      <c r="CZ74" s="130" t="n">
        <v>0</v>
      </c>
      <c r="DA74" s="130" t="n">
        <v>0</v>
      </c>
      <c r="DB74" s="130" t="n">
        <v>0</v>
      </c>
      <c r="DC74" s="130" t="n">
        <v>0</v>
      </c>
      <c r="DD74" s="130" t="n">
        <v>0</v>
      </c>
      <c r="DE74" s="130" t="n">
        <v>0</v>
      </c>
      <c r="DF74" s="130" t="n">
        <v>0</v>
      </c>
      <c r="DG74" s="131" t="n">
        <v>0</v>
      </c>
      <c r="DI74" s="128" t="n">
        <f aca="false">BB10</f>
        <v>2001</v>
      </c>
      <c r="DJ74" s="129" t="n">
        <v>0</v>
      </c>
      <c r="DK74" s="130" t="n">
        <v>0</v>
      </c>
      <c r="DL74" s="130" t="n">
        <v>0</v>
      </c>
      <c r="DM74" s="130" t="n">
        <v>0</v>
      </c>
      <c r="DN74" s="130" t="n">
        <v>0</v>
      </c>
      <c r="DO74" s="130" t="n">
        <v>0</v>
      </c>
      <c r="DP74" s="130" t="n">
        <v>0</v>
      </c>
      <c r="DQ74" s="130" t="n">
        <v>0</v>
      </c>
      <c r="DR74" s="130" t="n">
        <v>0</v>
      </c>
      <c r="DS74" s="130" t="n">
        <v>0</v>
      </c>
      <c r="DT74" s="130" t="n">
        <v>0</v>
      </c>
      <c r="DU74" s="131" t="n">
        <v>0</v>
      </c>
    </row>
    <row r="75" customFormat="false" ht="12.75" hidden="false" customHeight="false" outlineLevel="0" collapsed="false">
      <c r="A75" s="0" t="n">
        <f aca="true">IF(ISERROR(MATCH(D75,iRefDt,0)),"",MATCH(D75,iRefDt,0))</f>
        <v>66</v>
      </c>
      <c r="B75" s="92" t="n">
        <f aca="false">MATCH(YEAR(D75),iSpreads)</f>
        <v>4</v>
      </c>
      <c r="C75" s="0" t="n">
        <f aca="false">MONTH(D75)</f>
        <v>7</v>
      </c>
      <c r="D75" s="93" t="n">
        <f aca="false">+EnergyCurve!D75</f>
        <v>38169</v>
      </c>
      <c r="E75" s="94" t="n">
        <f aca="false">VLOOKUP($D75,tblPriorPrice,2)</f>
        <v>61.3639984130859</v>
      </c>
      <c r="F75" s="95" t="n">
        <f aca="false">G75-E75</f>
        <v>1.5869140668201E-006</v>
      </c>
      <c r="G75" s="264" t="n">
        <f aca="false">IF(EnergyCurve!G75&lt;200,0.001*EnergyCurve!G75+1,1.2)*EnergyCurve!G75</f>
        <v>61.364</v>
      </c>
      <c r="H75" s="96" t="n">
        <f aca="false">IF(EnergyCurve!H75&lt;200,0.001*EnergyCurve!H75+1,1.2)*EnergyCurve!H75</f>
        <v>55.809</v>
      </c>
      <c r="I75" s="96" t="n">
        <f aca="false">IF(EnergyCurve!I75&lt;200,0.001*EnergyCurve!I75+1,1.2)*EnergyCurve!I75</f>
        <v>78.329</v>
      </c>
      <c r="J75" s="94" t="n">
        <f aca="false">VLOOKUP($D75,tblPriorPrice,3)</f>
        <v>0</v>
      </c>
      <c r="K75" s="95" t="n">
        <f aca="false">L75-J75</f>
        <v>0</v>
      </c>
      <c r="L75" s="264" t="n">
        <v>0</v>
      </c>
      <c r="M75" s="96" t="n">
        <f aca="false">L75</f>
        <v>0</v>
      </c>
      <c r="N75" s="96" t="n">
        <f aca="false">L75</f>
        <v>0</v>
      </c>
      <c r="O75" s="58" t="n">
        <f aca="true">IF($A75="",0,INDEX(tblPosn,$A75,2))</f>
        <v>0</v>
      </c>
      <c r="P75" s="59" t="n">
        <f aca="true">IF($A75="",0,INDEX(tblPosn,$A75,3))</f>
        <v>0</v>
      </c>
      <c r="Q75" s="59" t="n">
        <f aca="true">IF($A75="",0,INDEX(tblPosn,$A75,4))</f>
        <v>0</v>
      </c>
      <c r="R75" s="59" t="n">
        <f aca="true">IF($A75="",0,INDEX(tblPosn,$A75,5))</f>
        <v>0</v>
      </c>
      <c r="S75" s="59" t="n">
        <f aca="true">IF($A75="",0,INDEX(tblPosn,$A75,6))</f>
        <v>0</v>
      </c>
      <c r="T75" s="98" t="n">
        <f aca="false">O75*F75+P75*K75+R75*AC75+S75*AH75/0.72+Q75*X75</f>
        <v>0</v>
      </c>
      <c r="V75" s="161" t="n">
        <f aca="false">D75</f>
        <v>38169</v>
      </c>
      <c r="W75" s="94" t="n">
        <f aca="false">VLOOKUP($D75,tblPriorPrice,4)</f>
        <v>0</v>
      </c>
      <c r="X75" s="162" t="n">
        <f aca="false">Y75-W75</f>
        <v>0</v>
      </c>
      <c r="Y75" s="176" t="n">
        <f aca="false">L75</f>
        <v>0</v>
      </c>
      <c r="Z75" s="177" t="n">
        <f aca="false">Y75</f>
        <v>0</v>
      </c>
      <c r="AA75" s="177" t="n">
        <f aca="false">Y75</f>
        <v>0</v>
      </c>
      <c r="AB75" s="94" t="n">
        <f aca="false">VLOOKUP($D75,tblPriorPrice,5)</f>
        <v>0</v>
      </c>
      <c r="AC75" s="162" t="n">
        <f aca="false">AD75-AB75</f>
        <v>0</v>
      </c>
      <c r="AD75" s="176" t="n">
        <f aca="false">L75</f>
        <v>0</v>
      </c>
      <c r="AE75" s="96" t="n">
        <f aca="false">AD75</f>
        <v>0</v>
      </c>
      <c r="AF75" s="97" t="n">
        <f aca="false">AD75</f>
        <v>0</v>
      </c>
      <c r="AG75" s="94" t="n">
        <f aca="false">VLOOKUP($D75,tblPriorPrice,6)</f>
        <v>0</v>
      </c>
      <c r="AH75" s="182"/>
      <c r="AI75" s="189" t="n">
        <f aca="false">AG75+AH75</f>
        <v>0</v>
      </c>
      <c r="AJ75" s="96" t="n">
        <f aca="false">AI75</f>
        <v>0</v>
      </c>
      <c r="AK75" s="97" t="n">
        <f aca="false">AI75</f>
        <v>0</v>
      </c>
      <c r="AL75" s="178" t="n">
        <v>15</v>
      </c>
      <c r="AM75" s="165" t="n">
        <v>0.4</v>
      </c>
      <c r="AN75" s="166" t="n">
        <f aca="false">EnergyCurve!AN75*2</f>
        <v>0.555</v>
      </c>
      <c r="AO75" s="166" t="n">
        <f aca="false">EnergyCurve!AO75</f>
        <v>0.24975</v>
      </c>
      <c r="AP75" s="166" t="n">
        <f aca="false">AN75*1.25</f>
        <v>0.69375</v>
      </c>
      <c r="AQ75" s="166" t="n">
        <f aca="false">EnergyCurve!AQ75*2</f>
        <v>0.555</v>
      </c>
      <c r="AR75" s="166" t="n">
        <f aca="false">EnergyCurve!AR75</f>
        <v>0.222</v>
      </c>
      <c r="AS75" s="166" t="n">
        <f aca="false">EnergyCurve!AS75*1.25</f>
        <v>0.41625</v>
      </c>
      <c r="AT75" s="168" t="n">
        <f aca="false">EnergyCurve!AT75*2*2</f>
        <v>14.5768940890464</v>
      </c>
      <c r="AU75" s="169" t="n">
        <f aca="false">EnergyCurve!AU75</f>
        <v>-0.911055880565399</v>
      </c>
      <c r="AV75" s="169" t="n">
        <f aca="false">AT75*1.25</f>
        <v>18.221117611308</v>
      </c>
      <c r="AW75" s="168" t="n">
        <f aca="false">EnergyCurve!AW75*2*2</f>
        <v>9.3624</v>
      </c>
      <c r="AX75" s="169" t="n">
        <f aca="false">EnergyCurve!AX75</f>
        <v>-0.58515</v>
      </c>
      <c r="AY75" s="169" t="n">
        <f aca="false">AW75*1.25</f>
        <v>11.703</v>
      </c>
      <c r="AZ75" s="167" t="n">
        <v>0</v>
      </c>
      <c r="BA75" s="74"/>
      <c r="BB75" s="192" t="s">
        <v>77</v>
      </c>
      <c r="BC75" s="140" t="s">
        <v>89</v>
      </c>
      <c r="BD75" s="140" t="s">
        <v>82</v>
      </c>
      <c r="BE75" s="140" t="s">
        <v>83</v>
      </c>
      <c r="BF75" s="140" t="s">
        <v>89</v>
      </c>
      <c r="BG75" s="140" t="s">
        <v>82</v>
      </c>
      <c r="BH75" s="140" t="s">
        <v>83</v>
      </c>
      <c r="BI75" s="171" t="s">
        <v>89</v>
      </c>
      <c r="BJ75" s="171" t="s">
        <v>82</v>
      </c>
      <c r="BK75" s="171" t="s">
        <v>83</v>
      </c>
      <c r="BL75" s="171" t="s">
        <v>89</v>
      </c>
      <c r="BM75" s="171" t="s">
        <v>82</v>
      </c>
      <c r="BN75" s="171" t="s">
        <v>83</v>
      </c>
      <c r="BQ75" s="108" t="n">
        <v>36907.7428240741</v>
      </c>
      <c r="BR75" s="109" t="n">
        <v>36907.7434490741</v>
      </c>
      <c r="BS75" s="110" t="n">
        <v>38384</v>
      </c>
      <c r="BT75" s="111" t="n">
        <v>0</v>
      </c>
      <c r="BU75" s="112" t="n">
        <v>0</v>
      </c>
      <c r="BV75" s="112" t="n">
        <v>0</v>
      </c>
      <c r="BW75" s="112" t="n">
        <v>0</v>
      </c>
      <c r="BX75" s="113" t="n">
        <v>0</v>
      </c>
      <c r="BZ75" s="110" t="n">
        <v>38169</v>
      </c>
      <c r="CA75" s="116" t="n">
        <v>61.3639984130859</v>
      </c>
      <c r="CB75" s="116" t="n">
        <v>0</v>
      </c>
      <c r="CC75" s="116" t="n">
        <v>0</v>
      </c>
      <c r="CD75" s="116" t="n">
        <v>0</v>
      </c>
      <c r="CE75" s="117" t="n">
        <v>0</v>
      </c>
      <c r="CG75" s="135" t="n">
        <f aca="false">BB11</f>
        <v>2002</v>
      </c>
      <c r="CH75" s="136" t="n">
        <v>0</v>
      </c>
      <c r="CI75" s="137" t="n">
        <v>0</v>
      </c>
      <c r="CJ75" s="137" t="n">
        <v>0</v>
      </c>
      <c r="CK75" s="137" t="n">
        <v>0</v>
      </c>
      <c r="CL75" s="137" t="n">
        <v>0</v>
      </c>
      <c r="CM75" s="137" t="n">
        <v>0</v>
      </c>
      <c r="CN75" s="137" t="n">
        <v>0</v>
      </c>
      <c r="CO75" s="137" t="n">
        <v>0</v>
      </c>
      <c r="CP75" s="137" t="n">
        <v>0</v>
      </c>
      <c r="CQ75" s="137" t="n">
        <v>0</v>
      </c>
      <c r="CR75" s="137" t="n">
        <v>0</v>
      </c>
      <c r="CS75" s="138" t="n">
        <v>0</v>
      </c>
      <c r="CU75" s="135" t="n">
        <f aca="false">BB11</f>
        <v>2002</v>
      </c>
      <c r="CV75" s="136" t="n">
        <v>0</v>
      </c>
      <c r="CW75" s="137" t="n">
        <v>0</v>
      </c>
      <c r="CX75" s="137" t="n">
        <v>0</v>
      </c>
      <c r="CY75" s="137" t="n">
        <v>0</v>
      </c>
      <c r="CZ75" s="137" t="n">
        <v>0</v>
      </c>
      <c r="DA75" s="137" t="n">
        <v>0</v>
      </c>
      <c r="DB75" s="137" t="n">
        <v>0</v>
      </c>
      <c r="DC75" s="137" t="n">
        <v>0</v>
      </c>
      <c r="DD75" s="137" t="n">
        <v>0</v>
      </c>
      <c r="DE75" s="137" t="n">
        <v>0</v>
      </c>
      <c r="DF75" s="137" t="n">
        <v>0</v>
      </c>
      <c r="DG75" s="138" t="n">
        <v>0</v>
      </c>
      <c r="DI75" s="135" t="n">
        <f aca="false">BB11</f>
        <v>2002</v>
      </c>
      <c r="DJ75" s="136" t="n">
        <v>0</v>
      </c>
      <c r="DK75" s="137" t="n">
        <v>0</v>
      </c>
      <c r="DL75" s="137" t="n">
        <v>0</v>
      </c>
      <c r="DM75" s="137" t="n">
        <v>0</v>
      </c>
      <c r="DN75" s="137" t="n">
        <v>0</v>
      </c>
      <c r="DO75" s="137" t="n">
        <v>0</v>
      </c>
      <c r="DP75" s="137" t="n">
        <v>0</v>
      </c>
      <c r="DQ75" s="137" t="n">
        <v>0</v>
      </c>
      <c r="DR75" s="137" t="n">
        <v>0</v>
      </c>
      <c r="DS75" s="137" t="n">
        <v>0</v>
      </c>
      <c r="DT75" s="137" t="n">
        <v>0</v>
      </c>
      <c r="DU75" s="138" t="n">
        <v>0</v>
      </c>
    </row>
    <row r="76" customFormat="false" ht="12.75" hidden="false" customHeight="false" outlineLevel="0" collapsed="false">
      <c r="A76" s="0" t="n">
        <f aca="true">IF(ISERROR(MATCH(D76,iRefDt,0)),"",MATCH(D76,iRefDt,0))</f>
        <v>67</v>
      </c>
      <c r="B76" s="92" t="n">
        <f aca="false">MATCH(YEAR(D76),iSpreads)</f>
        <v>4</v>
      </c>
      <c r="C76" s="0" t="n">
        <f aca="false">MONTH(D76)</f>
        <v>8</v>
      </c>
      <c r="D76" s="93" t="n">
        <f aca="false">+EnergyCurve!D76</f>
        <v>38200</v>
      </c>
      <c r="E76" s="94" t="n">
        <f aca="false">VLOOKUP($D76,tblPriorPrice,2)</f>
        <v>89.8889999389648</v>
      </c>
      <c r="F76" s="95" t="n">
        <f aca="false">G76-E76</f>
        <v>6.1035152043587E-008</v>
      </c>
      <c r="G76" s="264" t="n">
        <f aca="false">IF(EnergyCurve!G76&lt;200,0.001*EnergyCurve!G76+1,1.2)*EnergyCurve!G76</f>
        <v>89.889</v>
      </c>
      <c r="H76" s="96" t="n">
        <f aca="false">IF(EnergyCurve!H76&lt;200,0.001*EnergyCurve!H76+1,1.2)*EnergyCurve!H76</f>
        <v>84.084</v>
      </c>
      <c r="I76" s="96" t="n">
        <f aca="false">IF(EnergyCurve!I76&lt;200,0.001*EnergyCurve!I76+1,1.2)*EnergyCurve!I76</f>
        <v>107.604</v>
      </c>
      <c r="J76" s="94" t="n">
        <f aca="false">VLOOKUP($D76,tblPriorPrice,3)</f>
        <v>0</v>
      </c>
      <c r="K76" s="95" t="n">
        <f aca="false">L76-J76</f>
        <v>0</v>
      </c>
      <c r="L76" s="264" t="n">
        <v>0</v>
      </c>
      <c r="M76" s="96" t="n">
        <f aca="false">L76</f>
        <v>0</v>
      </c>
      <c r="N76" s="96" t="n">
        <f aca="false">L76</f>
        <v>0</v>
      </c>
      <c r="O76" s="58" t="n">
        <f aca="true">IF($A76="",0,INDEX(tblPosn,$A76,2))</f>
        <v>0</v>
      </c>
      <c r="P76" s="59" t="n">
        <f aca="true">IF($A76="",0,INDEX(tblPosn,$A76,3))</f>
        <v>0</v>
      </c>
      <c r="Q76" s="59" t="n">
        <f aca="true">IF($A76="",0,INDEX(tblPosn,$A76,4))</f>
        <v>0</v>
      </c>
      <c r="R76" s="59" t="n">
        <f aca="true">IF($A76="",0,INDEX(tblPosn,$A76,5))</f>
        <v>0</v>
      </c>
      <c r="S76" s="59" t="n">
        <f aca="true">IF($A76="",0,INDEX(tblPosn,$A76,6))</f>
        <v>0</v>
      </c>
      <c r="T76" s="98" t="n">
        <f aca="false">O76*F76+P76*K76+R76*AC76+S76*AH76/0.72+Q76*X76</f>
        <v>0</v>
      </c>
      <c r="V76" s="161" t="n">
        <f aca="false">D76</f>
        <v>38200</v>
      </c>
      <c r="W76" s="94" t="n">
        <f aca="false">VLOOKUP($D76,tblPriorPrice,4)</f>
        <v>0</v>
      </c>
      <c r="X76" s="162" t="n">
        <f aca="false">Y76-W76</f>
        <v>0</v>
      </c>
      <c r="Y76" s="176" t="n">
        <f aca="false">L76</f>
        <v>0</v>
      </c>
      <c r="Z76" s="177" t="n">
        <f aca="false">Y76</f>
        <v>0</v>
      </c>
      <c r="AA76" s="177" t="n">
        <f aca="false">Y76</f>
        <v>0</v>
      </c>
      <c r="AB76" s="94" t="n">
        <f aca="false">VLOOKUP($D76,tblPriorPrice,5)</f>
        <v>0</v>
      </c>
      <c r="AC76" s="162" t="n">
        <f aca="false">AD76-AB76</f>
        <v>0</v>
      </c>
      <c r="AD76" s="176" t="n">
        <f aca="false">L76</f>
        <v>0</v>
      </c>
      <c r="AE76" s="96" t="n">
        <f aca="false">AD76</f>
        <v>0</v>
      </c>
      <c r="AF76" s="97" t="n">
        <f aca="false">AD76</f>
        <v>0</v>
      </c>
      <c r="AG76" s="94" t="n">
        <f aca="false">VLOOKUP($D76,tblPriorPrice,6)</f>
        <v>0</v>
      </c>
      <c r="AH76" s="182"/>
      <c r="AI76" s="189" t="n">
        <f aca="false">AG76+AH76</f>
        <v>0</v>
      </c>
      <c r="AJ76" s="96" t="n">
        <f aca="false">AI76</f>
        <v>0</v>
      </c>
      <c r="AK76" s="97" t="n">
        <f aca="false">AI76</f>
        <v>0</v>
      </c>
      <c r="AL76" s="178" t="n">
        <v>15</v>
      </c>
      <c r="AM76" s="165" t="n">
        <v>0.4</v>
      </c>
      <c r="AN76" s="166" t="n">
        <f aca="false">EnergyCurve!AN76*2</f>
        <v>0.555</v>
      </c>
      <c r="AO76" s="166" t="n">
        <f aca="false">EnergyCurve!AO76</f>
        <v>0.24975</v>
      </c>
      <c r="AP76" s="166" t="n">
        <f aca="false">AN76*1.25</f>
        <v>0.69375</v>
      </c>
      <c r="AQ76" s="166" t="n">
        <f aca="false">EnergyCurve!AQ76*2</f>
        <v>0.555</v>
      </c>
      <c r="AR76" s="166" t="n">
        <f aca="false">EnergyCurve!AR76</f>
        <v>0.222</v>
      </c>
      <c r="AS76" s="166" t="n">
        <f aca="false">EnergyCurve!AS76*1.25</f>
        <v>0.41625</v>
      </c>
      <c r="AT76" s="168" t="n">
        <f aca="false">EnergyCurve!AT76*2*2</f>
        <v>23.9112849470103</v>
      </c>
      <c r="AU76" s="169" t="n">
        <f aca="false">EnergyCurve!AU76</f>
        <v>-1.49445530918815</v>
      </c>
      <c r="AV76" s="169" t="n">
        <f aca="false">AT76*1.25</f>
        <v>29.8891061837629</v>
      </c>
      <c r="AW76" s="168" t="n">
        <f aca="false">EnergyCurve!AW76*2*2</f>
        <v>9.174</v>
      </c>
      <c r="AX76" s="169" t="n">
        <f aca="false">EnergyCurve!AX76</f>
        <v>-0.573375</v>
      </c>
      <c r="AY76" s="169" t="n">
        <f aca="false">AW76*1.25</f>
        <v>11.4675</v>
      </c>
      <c r="AZ76" s="167" t="n">
        <v>0</v>
      </c>
      <c r="BA76" s="74"/>
      <c r="BB76" s="203" t="n">
        <v>1</v>
      </c>
      <c r="BC76" s="204"/>
      <c r="BD76" s="205"/>
      <c r="BE76" s="206"/>
      <c r="BF76" s="207"/>
      <c r="BG76" s="205"/>
      <c r="BH76" s="206"/>
      <c r="BI76" s="204"/>
      <c r="BJ76" s="205"/>
      <c r="BK76" s="206"/>
      <c r="BL76" s="207"/>
      <c r="BM76" s="205"/>
      <c r="BN76" s="206"/>
      <c r="BQ76" s="108" t="n">
        <v>36907.7428240741</v>
      </c>
      <c r="BR76" s="109" t="n">
        <v>36907.7434490741</v>
      </c>
      <c r="BS76" s="110" t="n">
        <v>38412</v>
      </c>
      <c r="BT76" s="111" t="n">
        <v>0</v>
      </c>
      <c r="BU76" s="112" t="n">
        <v>0</v>
      </c>
      <c r="BV76" s="112" t="n">
        <v>0</v>
      </c>
      <c r="BW76" s="112" t="n">
        <v>0</v>
      </c>
      <c r="BX76" s="113" t="n">
        <v>0</v>
      </c>
      <c r="BZ76" s="110" t="n">
        <v>38200</v>
      </c>
      <c r="CA76" s="116" t="n">
        <v>89.8889999389648</v>
      </c>
      <c r="CB76" s="116" t="n">
        <v>0</v>
      </c>
      <c r="CC76" s="116" t="n">
        <v>0</v>
      </c>
      <c r="CD76" s="116" t="n">
        <v>0</v>
      </c>
      <c r="CE76" s="117" t="n">
        <v>0</v>
      </c>
      <c r="CG76" s="135" t="n">
        <f aca="false">BB12</f>
        <v>2003</v>
      </c>
      <c r="CH76" s="136" t="n">
        <v>0</v>
      </c>
      <c r="CI76" s="137" t="n">
        <v>0</v>
      </c>
      <c r="CJ76" s="137" t="n">
        <v>0</v>
      </c>
      <c r="CK76" s="137" t="n">
        <v>0</v>
      </c>
      <c r="CL76" s="137" t="n">
        <v>0</v>
      </c>
      <c r="CM76" s="137" t="n">
        <v>0</v>
      </c>
      <c r="CN76" s="137" t="n">
        <v>0</v>
      </c>
      <c r="CO76" s="137" t="n">
        <v>0</v>
      </c>
      <c r="CP76" s="137" t="n">
        <v>0</v>
      </c>
      <c r="CQ76" s="137" t="n">
        <v>0</v>
      </c>
      <c r="CR76" s="137" t="n">
        <v>0</v>
      </c>
      <c r="CS76" s="138" t="n">
        <v>0</v>
      </c>
      <c r="CU76" s="135" t="n">
        <f aca="false">BB12</f>
        <v>2003</v>
      </c>
      <c r="CV76" s="136" t="n">
        <v>0</v>
      </c>
      <c r="CW76" s="137" t="n">
        <v>0</v>
      </c>
      <c r="CX76" s="137" t="n">
        <v>0</v>
      </c>
      <c r="CY76" s="137" t="n">
        <v>0</v>
      </c>
      <c r="CZ76" s="137" t="n">
        <v>0</v>
      </c>
      <c r="DA76" s="137" t="n">
        <v>0</v>
      </c>
      <c r="DB76" s="137" t="n">
        <v>0</v>
      </c>
      <c r="DC76" s="137" t="n">
        <v>0</v>
      </c>
      <c r="DD76" s="137" t="n">
        <v>0</v>
      </c>
      <c r="DE76" s="137" t="n">
        <v>0</v>
      </c>
      <c r="DF76" s="137" t="n">
        <v>0</v>
      </c>
      <c r="DG76" s="138" t="n">
        <v>0</v>
      </c>
      <c r="DI76" s="135" t="n">
        <f aca="false">BB12</f>
        <v>2003</v>
      </c>
      <c r="DJ76" s="136" t="n">
        <v>0</v>
      </c>
      <c r="DK76" s="137" t="n">
        <v>0</v>
      </c>
      <c r="DL76" s="137" t="n">
        <v>0</v>
      </c>
      <c r="DM76" s="137" t="n">
        <v>0</v>
      </c>
      <c r="DN76" s="137" t="n">
        <v>0</v>
      </c>
      <c r="DO76" s="137" t="n">
        <v>0</v>
      </c>
      <c r="DP76" s="137" t="n">
        <v>0</v>
      </c>
      <c r="DQ76" s="137" t="n">
        <v>0</v>
      </c>
      <c r="DR76" s="137" t="n">
        <v>0</v>
      </c>
      <c r="DS76" s="137" t="n">
        <v>0</v>
      </c>
      <c r="DT76" s="137" t="n">
        <v>0</v>
      </c>
      <c r="DU76" s="138" t="n">
        <v>0</v>
      </c>
    </row>
    <row r="77" customFormat="false" ht="12.75" hidden="false" customHeight="false" outlineLevel="0" collapsed="false">
      <c r="A77" s="0" t="n">
        <f aca="true">IF(ISERROR(MATCH(D77,iRefDt,0)),"",MATCH(D77,iRefDt,0))</f>
        <v>68</v>
      </c>
      <c r="B77" s="92" t="n">
        <f aca="false">MATCH(YEAR(D77),iSpreads)</f>
        <v>4</v>
      </c>
      <c r="C77" s="0" t="n">
        <f aca="false">MONTH(D77)</f>
        <v>9</v>
      </c>
      <c r="D77" s="93" t="n">
        <f aca="false">+EnergyCurve!D77</f>
        <v>38231</v>
      </c>
      <c r="E77" s="94" t="n">
        <f aca="false">VLOOKUP($D77,tblPriorPrice,2)</f>
        <v>66.9690017700195</v>
      </c>
      <c r="F77" s="95" t="n">
        <f aca="false">G77-E77</f>
        <v>-1.77001953716172E-006</v>
      </c>
      <c r="G77" s="264" t="n">
        <f aca="false">IF(EnergyCurve!G77&lt;200,0.001*EnergyCurve!G77+1,1.2)*EnergyCurve!G77</f>
        <v>66.969</v>
      </c>
      <c r="H77" s="96" t="n">
        <f aca="false">IF(EnergyCurve!H77&lt;200,0.001*EnergyCurve!H77+1,1.2)*EnergyCurve!H77</f>
        <v>61.364</v>
      </c>
      <c r="I77" s="96" t="n">
        <f aca="false">IF(EnergyCurve!I77&lt;200,0.001*EnergyCurve!I77+1,1.2)*EnergyCurve!I77</f>
        <v>84.084</v>
      </c>
      <c r="J77" s="94" t="n">
        <f aca="false">VLOOKUP($D77,tblPriorPrice,3)</f>
        <v>0</v>
      </c>
      <c r="K77" s="95" t="n">
        <f aca="false">L77-J77</f>
        <v>0</v>
      </c>
      <c r="L77" s="264" t="n">
        <v>0</v>
      </c>
      <c r="M77" s="96" t="n">
        <f aca="false">L77</f>
        <v>0</v>
      </c>
      <c r="N77" s="96" t="n">
        <f aca="false">L77</f>
        <v>0</v>
      </c>
      <c r="O77" s="58" t="n">
        <f aca="true">IF($A77="",0,INDEX(tblPosn,$A77,2))</f>
        <v>0</v>
      </c>
      <c r="P77" s="59" t="n">
        <f aca="true">IF($A77="",0,INDEX(tblPosn,$A77,3))</f>
        <v>0</v>
      </c>
      <c r="Q77" s="59" t="n">
        <f aca="true">IF($A77="",0,INDEX(tblPosn,$A77,4))</f>
        <v>0</v>
      </c>
      <c r="R77" s="59" t="n">
        <f aca="true">IF($A77="",0,INDEX(tblPosn,$A77,5))</f>
        <v>0</v>
      </c>
      <c r="S77" s="59" t="n">
        <f aca="true">IF($A77="",0,INDEX(tblPosn,$A77,6))</f>
        <v>0</v>
      </c>
      <c r="T77" s="98" t="n">
        <f aca="false">O77*F77+P77*K77+R77*AC77+S77*AH77/0.72+Q77*X77</f>
        <v>0</v>
      </c>
      <c r="V77" s="161" t="n">
        <f aca="false">D77</f>
        <v>38231</v>
      </c>
      <c r="W77" s="94" t="n">
        <f aca="false">VLOOKUP($D77,tblPriorPrice,4)</f>
        <v>0</v>
      </c>
      <c r="X77" s="162" t="n">
        <f aca="false">Y77-W77</f>
        <v>0</v>
      </c>
      <c r="Y77" s="176" t="n">
        <f aca="false">L77</f>
        <v>0</v>
      </c>
      <c r="Z77" s="177" t="n">
        <f aca="false">Y77</f>
        <v>0</v>
      </c>
      <c r="AA77" s="177" t="n">
        <f aca="false">Y77</f>
        <v>0</v>
      </c>
      <c r="AB77" s="94" t="n">
        <f aca="false">VLOOKUP($D77,tblPriorPrice,5)</f>
        <v>0</v>
      </c>
      <c r="AC77" s="162" t="n">
        <f aca="false">AD77-AB77</f>
        <v>0</v>
      </c>
      <c r="AD77" s="176" t="n">
        <f aca="false">L77</f>
        <v>0</v>
      </c>
      <c r="AE77" s="96" t="n">
        <f aca="false">AD77</f>
        <v>0</v>
      </c>
      <c r="AF77" s="97" t="n">
        <f aca="false">AD77</f>
        <v>0</v>
      </c>
      <c r="AG77" s="94" t="n">
        <f aca="false">VLOOKUP($D77,tblPriorPrice,6)</f>
        <v>0</v>
      </c>
      <c r="AH77" s="182"/>
      <c r="AI77" s="189" t="n">
        <f aca="false">AG77+AH77</f>
        <v>0</v>
      </c>
      <c r="AJ77" s="96" t="n">
        <f aca="false">AI77</f>
        <v>0</v>
      </c>
      <c r="AK77" s="97" t="n">
        <f aca="false">AI77</f>
        <v>0</v>
      </c>
      <c r="AL77" s="178" t="n">
        <v>15</v>
      </c>
      <c r="AM77" s="165" t="n">
        <v>0.4</v>
      </c>
      <c r="AN77" s="166" t="n">
        <f aca="false">EnergyCurve!AN77*2</f>
        <v>0.56</v>
      </c>
      <c r="AO77" s="166" t="n">
        <f aca="false">EnergyCurve!AO77</f>
        <v>0.252</v>
      </c>
      <c r="AP77" s="166" t="n">
        <f aca="false">AN77*1.25</f>
        <v>0.7</v>
      </c>
      <c r="AQ77" s="166" t="n">
        <f aca="false">EnergyCurve!AQ77*2</f>
        <v>0.56</v>
      </c>
      <c r="AR77" s="166" t="n">
        <f aca="false">EnergyCurve!AR77</f>
        <v>0.224</v>
      </c>
      <c r="AS77" s="166" t="n">
        <f aca="false">EnergyCurve!AS77*1.25</f>
        <v>0.42</v>
      </c>
      <c r="AT77" s="168" t="n">
        <f aca="false">EnergyCurve!AT77*2*2</f>
        <v>16.4238244633521</v>
      </c>
      <c r="AU77" s="169" t="n">
        <f aca="false">EnergyCurve!AU77</f>
        <v>-1.02648902895951</v>
      </c>
      <c r="AV77" s="169" t="n">
        <f aca="false">AT77*1.25</f>
        <v>20.5297805791901</v>
      </c>
      <c r="AW77" s="168" t="n">
        <f aca="false">EnergyCurve!AW77*2*2</f>
        <v>9.7392</v>
      </c>
      <c r="AX77" s="169" t="n">
        <f aca="false">EnergyCurve!AX77</f>
        <v>-0.6087</v>
      </c>
      <c r="AY77" s="169" t="n">
        <f aca="false">AW77*1.25</f>
        <v>12.174</v>
      </c>
      <c r="AZ77" s="167" t="n">
        <v>0</v>
      </c>
      <c r="BA77" s="74"/>
      <c r="BB77" s="208" t="n">
        <v>2</v>
      </c>
      <c r="BC77" s="209"/>
      <c r="BD77" s="210"/>
      <c r="BE77" s="211"/>
      <c r="BF77" s="212"/>
      <c r="BG77" s="210"/>
      <c r="BH77" s="211"/>
      <c r="BI77" s="209"/>
      <c r="BJ77" s="210"/>
      <c r="BK77" s="211"/>
      <c r="BL77" s="212"/>
      <c r="BM77" s="210"/>
      <c r="BN77" s="211"/>
      <c r="BQ77" s="108" t="n">
        <v>36907.7428240741</v>
      </c>
      <c r="BR77" s="109" t="n">
        <v>36907.7434490741</v>
      </c>
      <c r="BS77" s="110" t="n">
        <v>38443</v>
      </c>
      <c r="BT77" s="111" t="n">
        <v>0</v>
      </c>
      <c r="BU77" s="112" t="n">
        <v>0</v>
      </c>
      <c r="BV77" s="112" t="n">
        <v>0</v>
      </c>
      <c r="BW77" s="112" t="n">
        <v>0</v>
      </c>
      <c r="BX77" s="113" t="n">
        <v>0</v>
      </c>
      <c r="BZ77" s="110" t="n">
        <v>38231</v>
      </c>
      <c r="CA77" s="116" t="n">
        <v>66.9690017700195</v>
      </c>
      <c r="CB77" s="116" t="n">
        <v>0</v>
      </c>
      <c r="CC77" s="116" t="n">
        <v>0</v>
      </c>
      <c r="CD77" s="116" t="n">
        <v>0</v>
      </c>
      <c r="CE77" s="117" t="n">
        <v>0</v>
      </c>
      <c r="CG77" s="135" t="n">
        <f aca="false">BB13</f>
        <v>2004</v>
      </c>
      <c r="CH77" s="136" t="n">
        <v>0</v>
      </c>
      <c r="CI77" s="137" t="n">
        <v>0</v>
      </c>
      <c r="CJ77" s="137" t="n">
        <v>0</v>
      </c>
      <c r="CK77" s="137" t="n">
        <v>0</v>
      </c>
      <c r="CL77" s="137" t="n">
        <v>0</v>
      </c>
      <c r="CM77" s="137" t="n">
        <v>0</v>
      </c>
      <c r="CN77" s="137" t="n">
        <v>0</v>
      </c>
      <c r="CO77" s="137" t="n">
        <v>0</v>
      </c>
      <c r="CP77" s="137" t="n">
        <v>0</v>
      </c>
      <c r="CQ77" s="137" t="n">
        <v>0</v>
      </c>
      <c r="CR77" s="137" t="n">
        <v>0</v>
      </c>
      <c r="CS77" s="138" t="n">
        <v>0</v>
      </c>
      <c r="CU77" s="135" t="n">
        <f aca="false">BB13</f>
        <v>2004</v>
      </c>
      <c r="CV77" s="136" t="n">
        <v>0</v>
      </c>
      <c r="CW77" s="137" t="n">
        <v>0</v>
      </c>
      <c r="CX77" s="137" t="n">
        <v>0</v>
      </c>
      <c r="CY77" s="137" t="n">
        <v>0</v>
      </c>
      <c r="CZ77" s="137" t="n">
        <v>0</v>
      </c>
      <c r="DA77" s="137" t="n">
        <v>0</v>
      </c>
      <c r="DB77" s="137" t="n">
        <v>0</v>
      </c>
      <c r="DC77" s="137" t="n">
        <v>0</v>
      </c>
      <c r="DD77" s="137" t="n">
        <v>0</v>
      </c>
      <c r="DE77" s="137" t="n">
        <v>0</v>
      </c>
      <c r="DF77" s="137" t="n">
        <v>0</v>
      </c>
      <c r="DG77" s="138" t="n">
        <v>0</v>
      </c>
      <c r="DI77" s="135" t="n">
        <f aca="false">BB13</f>
        <v>2004</v>
      </c>
      <c r="DJ77" s="136" t="n">
        <v>0</v>
      </c>
      <c r="DK77" s="137" t="n">
        <v>0</v>
      </c>
      <c r="DL77" s="137" t="n">
        <v>0</v>
      </c>
      <c r="DM77" s="137" t="n">
        <v>0</v>
      </c>
      <c r="DN77" s="137" t="n">
        <v>0</v>
      </c>
      <c r="DO77" s="137" t="n">
        <v>0</v>
      </c>
      <c r="DP77" s="137" t="n">
        <v>0</v>
      </c>
      <c r="DQ77" s="137" t="n">
        <v>0</v>
      </c>
      <c r="DR77" s="137" t="n">
        <v>0</v>
      </c>
      <c r="DS77" s="137" t="n">
        <v>0</v>
      </c>
      <c r="DT77" s="137" t="n">
        <v>0</v>
      </c>
      <c r="DU77" s="138" t="n">
        <v>0</v>
      </c>
    </row>
    <row r="78" customFormat="false" ht="12.75" hidden="false" customHeight="false" outlineLevel="0" collapsed="false">
      <c r="A78" s="0" t="n">
        <f aca="true">IF(ISERROR(MATCH(D78,iRefDt,0)),"",MATCH(D78,iRefDt,0))</f>
        <v>69</v>
      </c>
      <c r="B78" s="92" t="n">
        <f aca="false">MATCH(YEAR(D78),iSpreads)</f>
        <v>4</v>
      </c>
      <c r="C78" s="0" t="n">
        <f aca="false">MONTH(D78)</f>
        <v>10</v>
      </c>
      <c r="D78" s="93" t="n">
        <f aca="false">+EnergyCurve!D78</f>
        <v>38261</v>
      </c>
      <c r="E78" s="94" t="n">
        <f aca="false">VLOOKUP($D78,tblPriorPrice,2)</f>
        <v>43.7639999389648</v>
      </c>
      <c r="F78" s="95" t="n">
        <f aca="false">G78-E78</f>
        <v>6.10351591490144E-008</v>
      </c>
      <c r="G78" s="264" t="n">
        <f aca="false">IF(EnergyCurve!G78&lt;200,0.001*EnergyCurve!G78+1,1.2)*EnergyCurve!G78</f>
        <v>43.764</v>
      </c>
      <c r="H78" s="96" t="n">
        <f aca="false">IF(EnergyCurve!H78&lt;200,0.001*EnergyCurve!H78+1,1.2)*EnergyCurve!H78</f>
        <v>38.369</v>
      </c>
      <c r="I78" s="96" t="n">
        <f aca="false">IF(EnergyCurve!I78&lt;200,0.001*EnergyCurve!I78+1,1.2)*EnergyCurve!I78</f>
        <v>60.249</v>
      </c>
      <c r="J78" s="94" t="n">
        <f aca="false">VLOOKUP($D78,tblPriorPrice,3)</f>
        <v>0</v>
      </c>
      <c r="K78" s="95" t="n">
        <f aca="false">L78-J78</f>
        <v>0</v>
      </c>
      <c r="L78" s="264" t="n">
        <v>0</v>
      </c>
      <c r="M78" s="96" t="n">
        <f aca="false">L78</f>
        <v>0</v>
      </c>
      <c r="N78" s="96" t="n">
        <f aca="false">L78</f>
        <v>0</v>
      </c>
      <c r="O78" s="58" t="n">
        <f aca="true">IF($A78="",0,INDEX(tblPosn,$A78,2))</f>
        <v>0</v>
      </c>
      <c r="P78" s="59" t="n">
        <f aca="true">IF($A78="",0,INDEX(tblPosn,$A78,3))</f>
        <v>0</v>
      </c>
      <c r="Q78" s="59" t="n">
        <f aca="true">IF($A78="",0,INDEX(tblPosn,$A78,4))</f>
        <v>0</v>
      </c>
      <c r="R78" s="59" t="n">
        <f aca="true">IF($A78="",0,INDEX(tblPosn,$A78,5))</f>
        <v>0</v>
      </c>
      <c r="S78" s="59" t="n">
        <f aca="true">IF($A78="",0,INDEX(tblPosn,$A78,6))</f>
        <v>0</v>
      </c>
      <c r="T78" s="98" t="n">
        <f aca="false">O78*F78+P78*K78+R78*AC78+S78*AH78/0.72+Q78*X78</f>
        <v>0</v>
      </c>
      <c r="V78" s="161" t="n">
        <f aca="false">D78</f>
        <v>38261</v>
      </c>
      <c r="W78" s="94" t="n">
        <f aca="false">VLOOKUP($D78,tblPriorPrice,4)</f>
        <v>0</v>
      </c>
      <c r="X78" s="162" t="n">
        <f aca="false">Y78-W78</f>
        <v>0</v>
      </c>
      <c r="Y78" s="176" t="n">
        <f aca="false">L78</f>
        <v>0</v>
      </c>
      <c r="Z78" s="177" t="n">
        <f aca="false">Y78</f>
        <v>0</v>
      </c>
      <c r="AA78" s="177" t="n">
        <f aca="false">Y78</f>
        <v>0</v>
      </c>
      <c r="AB78" s="94" t="n">
        <f aca="false">VLOOKUP($D78,tblPriorPrice,5)</f>
        <v>0</v>
      </c>
      <c r="AC78" s="162" t="n">
        <f aca="false">AD78-AB78</f>
        <v>0</v>
      </c>
      <c r="AD78" s="176" t="n">
        <f aca="false">L78</f>
        <v>0</v>
      </c>
      <c r="AE78" s="96" t="n">
        <f aca="false">AD78</f>
        <v>0</v>
      </c>
      <c r="AF78" s="97" t="n">
        <f aca="false">AD78</f>
        <v>0</v>
      </c>
      <c r="AG78" s="94" t="n">
        <f aca="false">VLOOKUP($D78,tblPriorPrice,6)</f>
        <v>0</v>
      </c>
      <c r="AH78" s="182"/>
      <c r="AI78" s="189" t="n">
        <f aca="false">AG78+AH78</f>
        <v>0</v>
      </c>
      <c r="AJ78" s="96" t="n">
        <f aca="false">AI78</f>
        <v>0</v>
      </c>
      <c r="AK78" s="97" t="n">
        <f aca="false">AI78</f>
        <v>0</v>
      </c>
      <c r="AL78" s="178" t="n">
        <v>16</v>
      </c>
      <c r="AM78" s="165" t="n">
        <v>0.4</v>
      </c>
      <c r="AN78" s="166" t="n">
        <f aca="false">EnergyCurve!AN78*2</f>
        <v>0.56</v>
      </c>
      <c r="AO78" s="166" t="n">
        <f aca="false">EnergyCurve!AO78</f>
        <v>0.252</v>
      </c>
      <c r="AP78" s="166" t="n">
        <f aca="false">AN78*1.25</f>
        <v>0.7</v>
      </c>
      <c r="AQ78" s="166" t="n">
        <f aca="false">EnergyCurve!AQ78*2</f>
        <v>0.56</v>
      </c>
      <c r="AR78" s="166" t="n">
        <f aca="false">EnergyCurve!AR78</f>
        <v>0.224</v>
      </c>
      <c r="AS78" s="166" t="n">
        <f aca="false">EnergyCurve!AS78*1.25</f>
        <v>0.42</v>
      </c>
      <c r="AT78" s="168" t="n">
        <f aca="false">EnergyCurve!AT78*2*2</f>
        <v>9.12862652431785</v>
      </c>
      <c r="AU78" s="169" t="n">
        <f aca="false">EnergyCurve!AU78</f>
        <v>-0.570539157769866</v>
      </c>
      <c r="AV78" s="169" t="n">
        <f aca="false">AT78*1.25</f>
        <v>11.4107831553973</v>
      </c>
      <c r="AW78" s="168" t="n">
        <f aca="false">EnergyCurve!AW78*2*2</f>
        <v>9.5508</v>
      </c>
      <c r="AX78" s="169" t="n">
        <f aca="false">EnergyCurve!AX78</f>
        <v>-0.596925</v>
      </c>
      <c r="AY78" s="169" t="n">
        <f aca="false">AW78*1.25</f>
        <v>11.9385</v>
      </c>
      <c r="AZ78" s="167" t="n">
        <v>0</v>
      </c>
      <c r="BA78" s="74"/>
      <c r="BB78" s="208" t="n">
        <v>3</v>
      </c>
      <c r="BC78" s="209"/>
      <c r="BD78" s="210"/>
      <c r="BE78" s="211"/>
      <c r="BF78" s="212"/>
      <c r="BG78" s="210"/>
      <c r="BH78" s="211"/>
      <c r="BI78" s="209"/>
      <c r="BJ78" s="210"/>
      <c r="BK78" s="211"/>
      <c r="BL78" s="212"/>
      <c r="BM78" s="210"/>
      <c r="BN78" s="211"/>
      <c r="BQ78" s="108" t="n">
        <v>36907.7428240741</v>
      </c>
      <c r="BR78" s="109" t="n">
        <v>36907.7434490741</v>
      </c>
      <c r="BS78" s="110" t="n">
        <v>38473</v>
      </c>
      <c r="BT78" s="111" t="n">
        <v>0</v>
      </c>
      <c r="BU78" s="112" t="n">
        <v>0</v>
      </c>
      <c r="BV78" s="112" t="n">
        <v>0</v>
      </c>
      <c r="BW78" s="112" t="n">
        <v>0</v>
      </c>
      <c r="BX78" s="113" t="n">
        <v>0</v>
      </c>
      <c r="BZ78" s="110" t="n">
        <v>38261</v>
      </c>
      <c r="CA78" s="116" t="n">
        <v>43.7639999389648</v>
      </c>
      <c r="CB78" s="116" t="n">
        <v>0</v>
      </c>
      <c r="CC78" s="116" t="n">
        <v>0</v>
      </c>
      <c r="CD78" s="116" t="n">
        <v>0</v>
      </c>
      <c r="CE78" s="117" t="n">
        <v>0</v>
      </c>
      <c r="CG78" s="135" t="n">
        <f aca="false">BB14</f>
        <v>2005</v>
      </c>
      <c r="CH78" s="136" t="n">
        <v>0</v>
      </c>
      <c r="CI78" s="137" t="n">
        <v>0</v>
      </c>
      <c r="CJ78" s="137" t="n">
        <v>0</v>
      </c>
      <c r="CK78" s="137" t="n">
        <v>0</v>
      </c>
      <c r="CL78" s="137" t="n">
        <v>0</v>
      </c>
      <c r="CM78" s="137" t="n">
        <v>0</v>
      </c>
      <c r="CN78" s="137" t="n">
        <v>0</v>
      </c>
      <c r="CO78" s="137" t="n">
        <v>0</v>
      </c>
      <c r="CP78" s="137" t="n">
        <v>0</v>
      </c>
      <c r="CQ78" s="137" t="n">
        <v>0</v>
      </c>
      <c r="CR78" s="137" t="n">
        <v>0</v>
      </c>
      <c r="CS78" s="138" t="n">
        <v>0</v>
      </c>
      <c r="CU78" s="135" t="n">
        <f aca="false">BB14</f>
        <v>2005</v>
      </c>
      <c r="CV78" s="136" t="n">
        <v>0</v>
      </c>
      <c r="CW78" s="137" t="n">
        <v>0</v>
      </c>
      <c r="CX78" s="137" t="n">
        <v>0</v>
      </c>
      <c r="CY78" s="137" t="n">
        <v>0</v>
      </c>
      <c r="CZ78" s="137" t="n">
        <v>0</v>
      </c>
      <c r="DA78" s="137" t="n">
        <v>0</v>
      </c>
      <c r="DB78" s="137" t="n">
        <v>0</v>
      </c>
      <c r="DC78" s="137" t="n">
        <v>0</v>
      </c>
      <c r="DD78" s="137" t="n">
        <v>0</v>
      </c>
      <c r="DE78" s="137" t="n">
        <v>0</v>
      </c>
      <c r="DF78" s="137" t="n">
        <v>0</v>
      </c>
      <c r="DG78" s="138" t="n">
        <v>0</v>
      </c>
      <c r="DI78" s="135" t="n">
        <f aca="false">BB14</f>
        <v>2005</v>
      </c>
      <c r="DJ78" s="136" t="n">
        <v>0</v>
      </c>
      <c r="DK78" s="137" t="n">
        <v>0</v>
      </c>
      <c r="DL78" s="137" t="n">
        <v>0</v>
      </c>
      <c r="DM78" s="137" t="n">
        <v>0</v>
      </c>
      <c r="DN78" s="137" t="n">
        <v>0</v>
      </c>
      <c r="DO78" s="137" t="n">
        <v>0</v>
      </c>
      <c r="DP78" s="137" t="n">
        <v>0</v>
      </c>
      <c r="DQ78" s="137" t="n">
        <v>0</v>
      </c>
      <c r="DR78" s="137" t="n">
        <v>0</v>
      </c>
      <c r="DS78" s="137" t="n">
        <v>0</v>
      </c>
      <c r="DT78" s="137" t="n">
        <v>0</v>
      </c>
      <c r="DU78" s="138" t="n">
        <v>0</v>
      </c>
    </row>
    <row r="79" customFormat="false" ht="12.75" hidden="false" customHeight="false" outlineLevel="0" collapsed="false">
      <c r="A79" s="0" t="n">
        <f aca="true">IF(ISERROR(MATCH(D79,iRefDt,0)),"",MATCH(D79,iRefDt,0))</f>
        <v>70</v>
      </c>
      <c r="B79" s="92" t="n">
        <f aca="false">MATCH(YEAR(D79),iSpreads)</f>
        <v>4</v>
      </c>
      <c r="C79" s="0" t="n">
        <f aca="false">MONTH(D79)</f>
        <v>11</v>
      </c>
      <c r="D79" s="93" t="n">
        <f aca="false">+EnergyCurve!D79</f>
        <v>38292</v>
      </c>
      <c r="E79" s="94" t="n">
        <f aca="false">VLOOKUP($D79,tblPriorPrice,2)</f>
        <v>47.0250015258789</v>
      </c>
      <c r="F79" s="95" t="n">
        <f aca="false">G79-E79</f>
        <v>-1.52587890767109E-006</v>
      </c>
      <c r="G79" s="264" t="n">
        <f aca="false">IF(EnergyCurve!G79&lt;200,0.001*EnergyCurve!G79+1,1.2)*EnergyCurve!G79</f>
        <v>47.025</v>
      </c>
      <c r="H79" s="96" t="n">
        <f aca="false">IF(EnergyCurve!H79&lt;200,0.001*EnergyCurve!H79+1,1.2)*EnergyCurve!H79</f>
        <v>41.6</v>
      </c>
      <c r="I79" s="96" t="n">
        <f aca="false">IF(EnergyCurve!I79&lt;200,0.001*EnergyCurve!I79+1,1.2)*EnergyCurve!I79</f>
        <v>63.6</v>
      </c>
      <c r="J79" s="94" t="n">
        <f aca="false">VLOOKUP($D79,tblPriorPrice,3)</f>
        <v>0</v>
      </c>
      <c r="K79" s="95" t="n">
        <f aca="false">L79-J79</f>
        <v>0</v>
      </c>
      <c r="L79" s="264" t="n">
        <v>0</v>
      </c>
      <c r="M79" s="96" t="n">
        <f aca="false">L79</f>
        <v>0</v>
      </c>
      <c r="N79" s="96" t="n">
        <f aca="false">L79</f>
        <v>0</v>
      </c>
      <c r="O79" s="58" t="n">
        <f aca="true">IF($A79="",0,INDEX(tblPosn,$A79,2))</f>
        <v>0</v>
      </c>
      <c r="P79" s="59" t="n">
        <f aca="true">IF($A79="",0,INDEX(tblPosn,$A79,3))</f>
        <v>0</v>
      </c>
      <c r="Q79" s="59" t="n">
        <f aca="true">IF($A79="",0,INDEX(tblPosn,$A79,4))</f>
        <v>0</v>
      </c>
      <c r="R79" s="59" t="n">
        <f aca="true">IF($A79="",0,INDEX(tblPosn,$A79,5))</f>
        <v>0</v>
      </c>
      <c r="S79" s="59" t="n">
        <f aca="true">IF($A79="",0,INDEX(tblPosn,$A79,6))</f>
        <v>0</v>
      </c>
      <c r="T79" s="98" t="n">
        <f aca="false">O79*F79+P79*K79+R79*AC79+S79*AH79/0.72+Q79*X79</f>
        <v>0</v>
      </c>
      <c r="V79" s="161" t="n">
        <f aca="false">D79</f>
        <v>38292</v>
      </c>
      <c r="W79" s="94" t="n">
        <f aca="false">VLOOKUP($D79,tblPriorPrice,4)</f>
        <v>0</v>
      </c>
      <c r="X79" s="162" t="n">
        <f aca="false">Y79-W79</f>
        <v>0</v>
      </c>
      <c r="Y79" s="176" t="n">
        <f aca="false">L79</f>
        <v>0</v>
      </c>
      <c r="Z79" s="177" t="n">
        <f aca="false">Y79</f>
        <v>0</v>
      </c>
      <c r="AA79" s="177" t="n">
        <f aca="false">Y79</f>
        <v>0</v>
      </c>
      <c r="AB79" s="94" t="n">
        <f aca="false">VLOOKUP($D79,tblPriorPrice,5)</f>
        <v>0</v>
      </c>
      <c r="AC79" s="162" t="n">
        <f aca="false">AD79-AB79</f>
        <v>0</v>
      </c>
      <c r="AD79" s="176" t="n">
        <f aca="false">L79</f>
        <v>0</v>
      </c>
      <c r="AE79" s="96" t="n">
        <f aca="false">AD79</f>
        <v>0</v>
      </c>
      <c r="AF79" s="97" t="n">
        <f aca="false">AD79</f>
        <v>0</v>
      </c>
      <c r="AG79" s="94" t="n">
        <f aca="false">VLOOKUP($D79,tblPriorPrice,6)</f>
        <v>0</v>
      </c>
      <c r="AH79" s="182"/>
      <c r="AI79" s="189" t="n">
        <f aca="false">AG79+AH79</f>
        <v>0</v>
      </c>
      <c r="AJ79" s="96" t="n">
        <f aca="false">AI79</f>
        <v>0</v>
      </c>
      <c r="AK79" s="97" t="n">
        <f aca="false">AI79</f>
        <v>0</v>
      </c>
      <c r="AL79" s="178" t="n">
        <v>16</v>
      </c>
      <c r="AM79" s="165" t="n">
        <v>0.4</v>
      </c>
      <c r="AN79" s="166" t="n">
        <f aca="false">EnergyCurve!AN79*2</f>
        <v>0.565</v>
      </c>
      <c r="AO79" s="166" t="n">
        <f aca="false">EnergyCurve!AO79</f>
        <v>0.25425</v>
      </c>
      <c r="AP79" s="166" t="n">
        <f aca="false">AN79*1.25</f>
        <v>0.70625</v>
      </c>
      <c r="AQ79" s="166" t="n">
        <f aca="false">EnergyCurve!AQ79*2</f>
        <v>0.565</v>
      </c>
      <c r="AR79" s="166" t="n">
        <f aca="false">EnergyCurve!AR79</f>
        <v>0.226</v>
      </c>
      <c r="AS79" s="166" t="n">
        <f aca="false">EnergyCurve!AS79*1.25</f>
        <v>0.42375</v>
      </c>
      <c r="AT79" s="168" t="n">
        <f aca="false">EnergyCurve!AT79*2*2</f>
        <v>10.057608103652</v>
      </c>
      <c r="AU79" s="169" t="n">
        <f aca="false">EnergyCurve!AU79</f>
        <v>-0.628600506478251</v>
      </c>
      <c r="AV79" s="169" t="n">
        <f aca="false">AT79*1.25</f>
        <v>12.572010129565</v>
      </c>
      <c r="AW79" s="168" t="n">
        <f aca="false">EnergyCurve!AW79*2*2</f>
        <v>9.9276</v>
      </c>
      <c r="AX79" s="169" t="n">
        <f aca="false">EnergyCurve!AX79</f>
        <v>-0.620475</v>
      </c>
      <c r="AY79" s="169" t="n">
        <f aca="false">AW79*1.25</f>
        <v>12.4095</v>
      </c>
      <c r="AZ79" s="167" t="n">
        <v>0</v>
      </c>
      <c r="BA79" s="74"/>
      <c r="BB79" s="208" t="n">
        <v>4</v>
      </c>
      <c r="BC79" s="209"/>
      <c r="BD79" s="210"/>
      <c r="BE79" s="211"/>
      <c r="BF79" s="212"/>
      <c r="BG79" s="210"/>
      <c r="BH79" s="211"/>
      <c r="BI79" s="209"/>
      <c r="BJ79" s="210"/>
      <c r="BK79" s="211"/>
      <c r="BL79" s="212"/>
      <c r="BM79" s="210"/>
      <c r="BN79" s="211"/>
      <c r="BQ79" s="108" t="n">
        <v>36907.7428240741</v>
      </c>
      <c r="BR79" s="109" t="n">
        <v>36907.7434490741</v>
      </c>
      <c r="BS79" s="110" t="n">
        <v>38504</v>
      </c>
      <c r="BT79" s="111" t="n">
        <v>0</v>
      </c>
      <c r="BU79" s="112" t="n">
        <v>0</v>
      </c>
      <c r="BV79" s="112" t="n">
        <v>0</v>
      </c>
      <c r="BW79" s="112" t="n">
        <v>0</v>
      </c>
      <c r="BX79" s="113" t="n">
        <v>0</v>
      </c>
      <c r="BZ79" s="110" t="n">
        <v>38292</v>
      </c>
      <c r="CA79" s="116" t="n">
        <v>47.0250015258789</v>
      </c>
      <c r="CB79" s="116" t="n">
        <v>0</v>
      </c>
      <c r="CC79" s="116" t="n">
        <v>0</v>
      </c>
      <c r="CD79" s="116" t="n">
        <v>0</v>
      </c>
      <c r="CE79" s="117" t="n">
        <v>0</v>
      </c>
      <c r="CG79" s="135" t="n">
        <f aca="false">BB15</f>
        <v>2006</v>
      </c>
      <c r="CH79" s="136" t="n">
        <v>0</v>
      </c>
      <c r="CI79" s="137" t="n">
        <v>0</v>
      </c>
      <c r="CJ79" s="137" t="n">
        <v>0</v>
      </c>
      <c r="CK79" s="137" t="n">
        <v>0</v>
      </c>
      <c r="CL79" s="137" t="n">
        <v>0</v>
      </c>
      <c r="CM79" s="137" t="n">
        <v>0</v>
      </c>
      <c r="CN79" s="137" t="n">
        <v>0</v>
      </c>
      <c r="CO79" s="137" t="n">
        <v>0</v>
      </c>
      <c r="CP79" s="137" t="n">
        <v>0</v>
      </c>
      <c r="CQ79" s="137" t="n">
        <v>0</v>
      </c>
      <c r="CR79" s="137" t="n">
        <v>0</v>
      </c>
      <c r="CS79" s="138" t="n">
        <v>0</v>
      </c>
      <c r="CU79" s="135" t="n">
        <f aca="false">BB15</f>
        <v>2006</v>
      </c>
      <c r="CV79" s="136" t="n">
        <v>0</v>
      </c>
      <c r="CW79" s="137" t="n">
        <v>0</v>
      </c>
      <c r="CX79" s="137" t="n">
        <v>0</v>
      </c>
      <c r="CY79" s="137" t="n">
        <v>0</v>
      </c>
      <c r="CZ79" s="137" t="n">
        <v>0</v>
      </c>
      <c r="DA79" s="137" t="n">
        <v>0</v>
      </c>
      <c r="DB79" s="137" t="n">
        <v>0</v>
      </c>
      <c r="DC79" s="137" t="n">
        <v>0</v>
      </c>
      <c r="DD79" s="137" t="n">
        <v>0</v>
      </c>
      <c r="DE79" s="137" t="n">
        <v>0</v>
      </c>
      <c r="DF79" s="137" t="n">
        <v>0</v>
      </c>
      <c r="DG79" s="138" t="n">
        <v>0</v>
      </c>
      <c r="DI79" s="135" t="n">
        <f aca="false">BB15</f>
        <v>2006</v>
      </c>
      <c r="DJ79" s="136" t="n">
        <v>0</v>
      </c>
      <c r="DK79" s="137" t="n">
        <v>0</v>
      </c>
      <c r="DL79" s="137" t="n">
        <v>0</v>
      </c>
      <c r="DM79" s="137" t="n">
        <v>0</v>
      </c>
      <c r="DN79" s="137" t="n">
        <v>0</v>
      </c>
      <c r="DO79" s="137" t="n">
        <v>0</v>
      </c>
      <c r="DP79" s="137" t="n">
        <v>0</v>
      </c>
      <c r="DQ79" s="137" t="n">
        <v>0</v>
      </c>
      <c r="DR79" s="137" t="n">
        <v>0</v>
      </c>
      <c r="DS79" s="137" t="n">
        <v>0</v>
      </c>
      <c r="DT79" s="137" t="n">
        <v>0</v>
      </c>
      <c r="DU79" s="138" t="n">
        <v>0</v>
      </c>
    </row>
    <row r="80" customFormat="false" ht="12.75" hidden="false" customHeight="false" outlineLevel="0" collapsed="false">
      <c r="A80" s="0" t="n">
        <f aca="true">IF(ISERROR(MATCH(D80,iRefDt,0)),"",MATCH(D80,iRefDt,0))</f>
        <v>71</v>
      </c>
      <c r="B80" s="92" t="n">
        <f aca="false">MATCH(YEAR(D80),iSpreads)</f>
        <v>4</v>
      </c>
      <c r="C80" s="0" t="n">
        <f aca="false">MONTH(D80)</f>
        <v>12</v>
      </c>
      <c r="D80" s="93" t="n">
        <f aca="false">+EnergyCurve!D80</f>
        <v>38322</v>
      </c>
      <c r="E80" s="94" t="n">
        <f aca="false">VLOOKUP($D80,tblPriorPrice,2)</f>
        <v>69.2249984741211</v>
      </c>
      <c r="F80" s="95" t="n">
        <f aca="false">G80-E80</f>
        <v>1.52587890056566E-006</v>
      </c>
      <c r="G80" s="264" t="n">
        <f aca="false">IF(EnergyCurve!G80&lt;200,0.001*EnergyCurve!G80+1,1.2)*EnergyCurve!G80</f>
        <v>69.225</v>
      </c>
      <c r="H80" s="96" t="n">
        <f aca="false">IF(EnergyCurve!H80&lt;200,0.001*EnergyCurve!H80+1,1.2)*EnergyCurve!H80</f>
        <v>63.6</v>
      </c>
      <c r="I80" s="96" t="n">
        <f aca="false">IF(EnergyCurve!I80&lt;200,0.001*EnergyCurve!I80+1,1.2)*EnergyCurve!I80</f>
        <v>86.4</v>
      </c>
      <c r="J80" s="94" t="n">
        <f aca="false">VLOOKUP($D80,tblPriorPrice,3)</f>
        <v>0</v>
      </c>
      <c r="K80" s="95" t="n">
        <f aca="false">L80-J80</f>
        <v>0</v>
      </c>
      <c r="L80" s="264" t="n">
        <v>0</v>
      </c>
      <c r="M80" s="96" t="n">
        <f aca="false">L80</f>
        <v>0</v>
      </c>
      <c r="N80" s="96" t="n">
        <f aca="false">L80</f>
        <v>0</v>
      </c>
      <c r="O80" s="58" t="n">
        <f aca="true">IF($A80="",0,INDEX(tblPosn,$A80,2))</f>
        <v>0</v>
      </c>
      <c r="P80" s="59" t="n">
        <f aca="true">IF($A80="",0,INDEX(tblPosn,$A80,3))</f>
        <v>0</v>
      </c>
      <c r="Q80" s="59" t="n">
        <f aca="true">IF($A80="",0,INDEX(tblPosn,$A80,4))</f>
        <v>0</v>
      </c>
      <c r="R80" s="59" t="n">
        <f aca="true">IF($A80="",0,INDEX(tblPosn,$A80,5))</f>
        <v>0</v>
      </c>
      <c r="S80" s="59" t="n">
        <f aca="true">IF($A80="",0,INDEX(tblPosn,$A80,6))</f>
        <v>0</v>
      </c>
      <c r="T80" s="98" t="n">
        <f aca="false">O80*F80+P80*K80+R80*AC80+S80*AH80/0.72+Q80*X80</f>
        <v>0</v>
      </c>
      <c r="V80" s="161" t="n">
        <f aca="false">D80</f>
        <v>38322</v>
      </c>
      <c r="W80" s="94" t="n">
        <f aca="false">VLOOKUP($D80,tblPriorPrice,4)</f>
        <v>0</v>
      </c>
      <c r="X80" s="162" t="n">
        <f aca="false">Y80-W80</f>
        <v>0</v>
      </c>
      <c r="Y80" s="176" t="n">
        <f aca="false">L80</f>
        <v>0</v>
      </c>
      <c r="Z80" s="177" t="n">
        <f aca="false">Y80</f>
        <v>0</v>
      </c>
      <c r="AA80" s="177" t="n">
        <f aca="false">Y80</f>
        <v>0</v>
      </c>
      <c r="AB80" s="94" t="n">
        <f aca="false">VLOOKUP($D80,tblPriorPrice,5)</f>
        <v>0</v>
      </c>
      <c r="AC80" s="162" t="n">
        <f aca="false">AD80-AB80</f>
        <v>0</v>
      </c>
      <c r="AD80" s="176" t="n">
        <f aca="false">L80</f>
        <v>0</v>
      </c>
      <c r="AE80" s="96" t="n">
        <f aca="false">AD80</f>
        <v>0</v>
      </c>
      <c r="AF80" s="97" t="n">
        <f aca="false">AD80</f>
        <v>0</v>
      </c>
      <c r="AG80" s="94" t="n">
        <f aca="false">VLOOKUP($D80,tblPriorPrice,6)</f>
        <v>0</v>
      </c>
      <c r="AH80" s="182"/>
      <c r="AI80" s="189" t="n">
        <f aca="false">AG80+AH80</f>
        <v>0</v>
      </c>
      <c r="AJ80" s="96" t="n">
        <f aca="false">AI80</f>
        <v>0</v>
      </c>
      <c r="AK80" s="97" t="n">
        <f aca="false">AI80</f>
        <v>0</v>
      </c>
      <c r="AL80" s="178" t="n">
        <v>16</v>
      </c>
      <c r="AM80" s="165" t="n">
        <v>0.4</v>
      </c>
      <c r="AN80" s="166" t="n">
        <f aca="false">EnergyCurve!AN80*2</f>
        <v>0.57</v>
      </c>
      <c r="AO80" s="166" t="n">
        <f aca="false">EnergyCurve!AO80</f>
        <v>0.2565</v>
      </c>
      <c r="AP80" s="166" t="n">
        <f aca="false">AN80*1.25</f>
        <v>0.7125</v>
      </c>
      <c r="AQ80" s="166" t="n">
        <f aca="false">EnergyCurve!AQ80*2</f>
        <v>0.57</v>
      </c>
      <c r="AR80" s="166" t="n">
        <f aca="false">EnergyCurve!AR80</f>
        <v>0.228</v>
      </c>
      <c r="AS80" s="166" t="n">
        <f aca="false">EnergyCurve!AS80*1.25</f>
        <v>0.4275</v>
      </c>
      <c r="AT80" s="168" t="n">
        <f aca="false">EnergyCurve!AT80*2*2</f>
        <v>17.1697685265069</v>
      </c>
      <c r="AU80" s="169" t="n">
        <f aca="false">EnergyCurve!AU80</f>
        <v>-1.07311053290668</v>
      </c>
      <c r="AV80" s="169" t="n">
        <f aca="false">AT80*1.25</f>
        <v>21.4622106581337</v>
      </c>
      <c r="AW80" s="168" t="n">
        <f aca="false">EnergyCurve!AW80*2*2</f>
        <v>9.9276</v>
      </c>
      <c r="AX80" s="169" t="n">
        <f aca="false">EnergyCurve!AX80</f>
        <v>-0.620475</v>
      </c>
      <c r="AY80" s="169" t="n">
        <f aca="false">AW80*1.25</f>
        <v>12.4095</v>
      </c>
      <c r="AZ80" s="167" t="n">
        <v>0</v>
      </c>
      <c r="BA80" s="74"/>
      <c r="BB80" s="208" t="n">
        <v>5</v>
      </c>
      <c r="BC80" s="209"/>
      <c r="BD80" s="210"/>
      <c r="BE80" s="211"/>
      <c r="BF80" s="212"/>
      <c r="BG80" s="210"/>
      <c r="BH80" s="211"/>
      <c r="BI80" s="209"/>
      <c r="BJ80" s="210"/>
      <c r="BK80" s="211"/>
      <c r="BL80" s="212"/>
      <c r="BM80" s="210"/>
      <c r="BN80" s="211"/>
      <c r="BQ80" s="108" t="n">
        <v>36907.7428240741</v>
      </c>
      <c r="BR80" s="109" t="n">
        <v>36907.7434490741</v>
      </c>
      <c r="BS80" s="110" t="n">
        <v>38534</v>
      </c>
      <c r="BT80" s="111" t="n">
        <v>0</v>
      </c>
      <c r="BU80" s="112" t="n">
        <v>0</v>
      </c>
      <c r="BV80" s="112" t="n">
        <v>0</v>
      </c>
      <c r="BW80" s="112" t="n">
        <v>0</v>
      </c>
      <c r="BX80" s="113" t="n">
        <v>0</v>
      </c>
      <c r="BZ80" s="110" t="n">
        <v>38322</v>
      </c>
      <c r="CA80" s="116" t="n">
        <v>69.2249984741211</v>
      </c>
      <c r="CB80" s="116" t="n">
        <v>0</v>
      </c>
      <c r="CC80" s="116" t="n">
        <v>0</v>
      </c>
      <c r="CD80" s="116" t="n">
        <v>0</v>
      </c>
      <c r="CE80" s="117" t="n">
        <v>0</v>
      </c>
      <c r="CG80" s="135" t="n">
        <f aca="false">BB16</f>
        <v>2007</v>
      </c>
      <c r="CH80" s="136" t="n">
        <v>0</v>
      </c>
      <c r="CI80" s="137" t="n">
        <v>0</v>
      </c>
      <c r="CJ80" s="137" t="n">
        <v>0</v>
      </c>
      <c r="CK80" s="137" t="n">
        <v>0</v>
      </c>
      <c r="CL80" s="137" t="n">
        <v>0</v>
      </c>
      <c r="CM80" s="137" t="n">
        <v>0</v>
      </c>
      <c r="CN80" s="137" t="n">
        <v>0</v>
      </c>
      <c r="CO80" s="137" t="n">
        <v>0</v>
      </c>
      <c r="CP80" s="137" t="n">
        <v>0</v>
      </c>
      <c r="CQ80" s="137" t="n">
        <v>0</v>
      </c>
      <c r="CR80" s="137" t="n">
        <v>0</v>
      </c>
      <c r="CS80" s="138" t="n">
        <v>0</v>
      </c>
      <c r="CU80" s="135" t="n">
        <f aca="false">BB16</f>
        <v>2007</v>
      </c>
      <c r="CV80" s="136" t="n">
        <v>0</v>
      </c>
      <c r="CW80" s="137" t="n">
        <v>0</v>
      </c>
      <c r="CX80" s="137" t="n">
        <v>0</v>
      </c>
      <c r="CY80" s="137" t="n">
        <v>0</v>
      </c>
      <c r="CZ80" s="137" t="n">
        <v>0</v>
      </c>
      <c r="DA80" s="137" t="n">
        <v>0</v>
      </c>
      <c r="DB80" s="137" t="n">
        <v>0</v>
      </c>
      <c r="DC80" s="137" t="n">
        <v>0</v>
      </c>
      <c r="DD80" s="137" t="n">
        <v>0</v>
      </c>
      <c r="DE80" s="137" t="n">
        <v>0</v>
      </c>
      <c r="DF80" s="137" t="n">
        <v>0</v>
      </c>
      <c r="DG80" s="138" t="n">
        <v>0</v>
      </c>
      <c r="DI80" s="135" t="n">
        <f aca="false">BB16</f>
        <v>2007</v>
      </c>
      <c r="DJ80" s="136" t="n">
        <v>0</v>
      </c>
      <c r="DK80" s="137" t="n">
        <v>0</v>
      </c>
      <c r="DL80" s="137" t="n">
        <v>0</v>
      </c>
      <c r="DM80" s="137" t="n">
        <v>0</v>
      </c>
      <c r="DN80" s="137" t="n">
        <v>0</v>
      </c>
      <c r="DO80" s="137" t="n">
        <v>0</v>
      </c>
      <c r="DP80" s="137" t="n">
        <v>0</v>
      </c>
      <c r="DQ80" s="137" t="n">
        <v>0</v>
      </c>
      <c r="DR80" s="137" t="n">
        <v>0</v>
      </c>
      <c r="DS80" s="137" t="n">
        <v>0</v>
      </c>
      <c r="DT80" s="137" t="n">
        <v>0</v>
      </c>
      <c r="DU80" s="138" t="n">
        <v>0</v>
      </c>
    </row>
    <row r="81" customFormat="false" ht="12.75" hidden="false" customHeight="false" outlineLevel="0" collapsed="false">
      <c r="A81" s="0" t="n">
        <f aca="true">IF(ISERROR(MATCH(D81,iRefDt,0)),"",MATCH(D81,iRefDt,0))</f>
        <v>72</v>
      </c>
      <c r="B81" s="92" t="n">
        <f aca="false">MATCH(YEAR(D81),iSpreads)</f>
        <v>5</v>
      </c>
      <c r="C81" s="0" t="n">
        <f aca="false">MONTH(D81)</f>
        <v>1</v>
      </c>
      <c r="D81" s="93" t="n">
        <f aca="false">+EnergyCurve!D81</f>
        <v>38353</v>
      </c>
      <c r="E81" s="94" t="n">
        <f aca="false">VLOOKUP($D81,tblPriorPrice,2)</f>
        <v>62.4809989929199</v>
      </c>
      <c r="F81" s="95" t="n">
        <f aca="false">G81-E81</f>
        <v>1.00708007266803E-006</v>
      </c>
      <c r="G81" s="264" t="n">
        <f aca="false">IF(EnergyCurve!G81&lt;200,0.001*EnergyCurve!G81+1,1.2)*EnergyCurve!G81</f>
        <v>62.481</v>
      </c>
      <c r="H81" s="96" t="n">
        <f aca="false">IF(EnergyCurve!H81&lt;200,0.001*EnergyCurve!H81+1,1.2)*EnergyCurve!H81</f>
        <v>56.916</v>
      </c>
      <c r="I81" s="96" t="n">
        <f aca="false">IF(EnergyCurve!I81&lt;200,0.001*EnergyCurve!I81+1,1.2)*EnergyCurve!I81</f>
        <v>79.476</v>
      </c>
      <c r="J81" s="94" t="n">
        <f aca="false">VLOOKUP($D81,tblPriorPrice,3)</f>
        <v>0</v>
      </c>
      <c r="K81" s="95" t="n">
        <f aca="false">L81-J81</f>
        <v>0</v>
      </c>
      <c r="L81" s="264" t="n">
        <v>0</v>
      </c>
      <c r="M81" s="96" t="n">
        <f aca="false">L81</f>
        <v>0</v>
      </c>
      <c r="N81" s="96" t="n">
        <f aca="false">L81</f>
        <v>0</v>
      </c>
      <c r="O81" s="58" t="n">
        <f aca="true">IF($A81="",0,INDEX(tblPosn,$A81,2))</f>
        <v>0</v>
      </c>
      <c r="P81" s="59" t="n">
        <f aca="true">IF($A81="",0,INDEX(tblPosn,$A81,3))</f>
        <v>0</v>
      </c>
      <c r="Q81" s="59" t="n">
        <f aca="true">IF($A81="",0,INDEX(tblPosn,$A81,4))</f>
        <v>0</v>
      </c>
      <c r="R81" s="59" t="n">
        <f aca="true">IF($A81="",0,INDEX(tblPosn,$A81,5))</f>
        <v>0</v>
      </c>
      <c r="S81" s="59" t="n">
        <f aca="true">IF($A81="",0,INDEX(tblPosn,$A81,6))</f>
        <v>0</v>
      </c>
      <c r="T81" s="98" t="n">
        <f aca="false">O81*F81+P81*K81+R81*AC81+S81*AH81/0.72+Q81*X81</f>
        <v>0</v>
      </c>
      <c r="V81" s="161" t="n">
        <f aca="false">D81</f>
        <v>38353</v>
      </c>
      <c r="W81" s="94" t="n">
        <f aca="false">VLOOKUP($D81,tblPriorPrice,4)</f>
        <v>0</v>
      </c>
      <c r="X81" s="162" t="n">
        <f aca="false">Y81-W81</f>
        <v>0</v>
      </c>
      <c r="Y81" s="176" t="n">
        <f aca="false">L81</f>
        <v>0</v>
      </c>
      <c r="Z81" s="177" t="n">
        <f aca="false">Y81</f>
        <v>0</v>
      </c>
      <c r="AA81" s="177" t="n">
        <f aca="false">Y81</f>
        <v>0</v>
      </c>
      <c r="AB81" s="94" t="n">
        <f aca="false">VLOOKUP($D81,tblPriorPrice,5)</f>
        <v>0</v>
      </c>
      <c r="AC81" s="162" t="n">
        <f aca="false">AD81-AB81</f>
        <v>0</v>
      </c>
      <c r="AD81" s="176" t="n">
        <f aca="false">L81</f>
        <v>0</v>
      </c>
      <c r="AE81" s="96" t="n">
        <f aca="false">AD81</f>
        <v>0</v>
      </c>
      <c r="AF81" s="97" t="n">
        <f aca="false">AD81</f>
        <v>0</v>
      </c>
      <c r="AG81" s="94" t="n">
        <f aca="false">VLOOKUP($D81,tblPriorPrice,6)</f>
        <v>0</v>
      </c>
      <c r="AH81" s="182"/>
      <c r="AI81" s="189" t="n">
        <f aca="false">AG81+AH81</f>
        <v>0</v>
      </c>
      <c r="AJ81" s="96" t="n">
        <f aca="false">AI81</f>
        <v>0</v>
      </c>
      <c r="AK81" s="97" t="n">
        <f aca="false">AI81</f>
        <v>0</v>
      </c>
      <c r="AL81" s="178" t="n">
        <v>17</v>
      </c>
      <c r="AM81" s="165" t="n">
        <v>0.4</v>
      </c>
      <c r="AN81" s="166" t="n">
        <f aca="false">EnergyCurve!AN81*2</f>
        <v>0.57</v>
      </c>
      <c r="AO81" s="166" t="n">
        <f aca="false">EnergyCurve!AO81</f>
        <v>0.2565</v>
      </c>
      <c r="AP81" s="166" t="n">
        <f aca="false">AN81*1.25</f>
        <v>0.7125</v>
      </c>
      <c r="AQ81" s="166" t="n">
        <f aca="false">EnergyCurve!AQ81*2</f>
        <v>0.57</v>
      </c>
      <c r="AR81" s="166" t="n">
        <f aca="false">EnergyCurve!AR81</f>
        <v>0.228</v>
      </c>
      <c r="AS81" s="166" t="n">
        <f aca="false">EnergyCurve!AS81*1.25</f>
        <v>0.4275</v>
      </c>
      <c r="AT81" s="168" t="n">
        <f aca="false">EnergyCurve!AT81*2*2</f>
        <v>14.9436126167388</v>
      </c>
      <c r="AU81" s="169" t="n">
        <f aca="false">EnergyCurve!AU81</f>
        <v>-0.933975788546176</v>
      </c>
      <c r="AV81" s="169" t="n">
        <f aca="false">AT81*1.25</f>
        <v>18.6795157709235</v>
      </c>
      <c r="AW81" s="168" t="n">
        <f aca="false">EnergyCurve!AW81*2*2</f>
        <v>9.9276</v>
      </c>
      <c r="AX81" s="169" t="n">
        <f aca="false">EnergyCurve!AX81</f>
        <v>-0.620475</v>
      </c>
      <c r="AY81" s="169" t="n">
        <f aca="false">AW81*1.25</f>
        <v>12.4095</v>
      </c>
      <c r="AZ81" s="167" t="n">
        <v>0</v>
      </c>
      <c r="BA81" s="74"/>
      <c r="BB81" s="208" t="n">
        <v>6</v>
      </c>
      <c r="BC81" s="209"/>
      <c r="BD81" s="210"/>
      <c r="BE81" s="211"/>
      <c r="BF81" s="212"/>
      <c r="BG81" s="210"/>
      <c r="BH81" s="211"/>
      <c r="BI81" s="209"/>
      <c r="BJ81" s="210"/>
      <c r="BK81" s="211"/>
      <c r="BL81" s="212"/>
      <c r="BM81" s="210"/>
      <c r="BN81" s="211"/>
      <c r="BQ81" s="108" t="n">
        <v>36907.7428240741</v>
      </c>
      <c r="BR81" s="109" t="n">
        <v>36907.7434490741</v>
      </c>
      <c r="BS81" s="110" t="n">
        <v>38565</v>
      </c>
      <c r="BT81" s="111" t="n">
        <v>0</v>
      </c>
      <c r="BU81" s="112" t="n">
        <v>0</v>
      </c>
      <c r="BV81" s="112" t="n">
        <v>0</v>
      </c>
      <c r="BW81" s="112" t="n">
        <v>0</v>
      </c>
      <c r="BX81" s="113" t="n">
        <v>0</v>
      </c>
      <c r="BZ81" s="110" t="n">
        <v>38353</v>
      </c>
      <c r="CA81" s="116" t="n">
        <v>62.4809989929199</v>
      </c>
      <c r="CB81" s="116" t="n">
        <v>0</v>
      </c>
      <c r="CC81" s="116" t="n">
        <v>0</v>
      </c>
      <c r="CD81" s="116" t="n">
        <v>0</v>
      </c>
      <c r="CE81" s="117" t="n">
        <v>0</v>
      </c>
      <c r="CG81" s="135" t="n">
        <f aca="false">BB17</f>
        <v>2008</v>
      </c>
      <c r="CH81" s="136" t="n">
        <v>0</v>
      </c>
      <c r="CI81" s="137" t="n">
        <v>0</v>
      </c>
      <c r="CJ81" s="137" t="n">
        <v>0</v>
      </c>
      <c r="CK81" s="137" t="n">
        <v>0</v>
      </c>
      <c r="CL81" s="137" t="n">
        <v>0</v>
      </c>
      <c r="CM81" s="137" t="n">
        <v>0</v>
      </c>
      <c r="CN81" s="137" t="n">
        <v>0</v>
      </c>
      <c r="CO81" s="137" t="n">
        <v>0</v>
      </c>
      <c r="CP81" s="137" t="n">
        <v>0</v>
      </c>
      <c r="CQ81" s="137" t="n">
        <v>0</v>
      </c>
      <c r="CR81" s="137" t="n">
        <v>0</v>
      </c>
      <c r="CS81" s="138" t="n">
        <v>0</v>
      </c>
      <c r="CU81" s="135" t="n">
        <f aca="false">BB17</f>
        <v>2008</v>
      </c>
      <c r="CV81" s="136" t="n">
        <v>0</v>
      </c>
      <c r="CW81" s="137" t="n">
        <v>0</v>
      </c>
      <c r="CX81" s="137" t="n">
        <v>0</v>
      </c>
      <c r="CY81" s="137" t="n">
        <v>0</v>
      </c>
      <c r="CZ81" s="137" t="n">
        <v>0</v>
      </c>
      <c r="DA81" s="137" t="n">
        <v>0</v>
      </c>
      <c r="DB81" s="137" t="n">
        <v>0</v>
      </c>
      <c r="DC81" s="137" t="n">
        <v>0</v>
      </c>
      <c r="DD81" s="137" t="n">
        <v>0</v>
      </c>
      <c r="DE81" s="137" t="n">
        <v>0</v>
      </c>
      <c r="DF81" s="137" t="n">
        <v>0</v>
      </c>
      <c r="DG81" s="138" t="n">
        <v>0</v>
      </c>
      <c r="DI81" s="135" t="n">
        <f aca="false">BB17</f>
        <v>2008</v>
      </c>
      <c r="DJ81" s="136" t="n">
        <v>0</v>
      </c>
      <c r="DK81" s="137" t="n">
        <v>0</v>
      </c>
      <c r="DL81" s="137" t="n">
        <v>0</v>
      </c>
      <c r="DM81" s="137" t="n">
        <v>0</v>
      </c>
      <c r="DN81" s="137" t="n">
        <v>0</v>
      </c>
      <c r="DO81" s="137" t="n">
        <v>0</v>
      </c>
      <c r="DP81" s="137" t="n">
        <v>0</v>
      </c>
      <c r="DQ81" s="137" t="n">
        <v>0</v>
      </c>
      <c r="DR81" s="137" t="n">
        <v>0</v>
      </c>
      <c r="DS81" s="137" t="n">
        <v>0</v>
      </c>
      <c r="DT81" s="137" t="n">
        <v>0</v>
      </c>
      <c r="DU81" s="138" t="n">
        <v>0</v>
      </c>
    </row>
    <row r="82" customFormat="false" ht="12.75" hidden="false" customHeight="false" outlineLevel="0" collapsed="false">
      <c r="A82" s="0" t="n">
        <f aca="true">IF(ISERROR(MATCH(D82,iRefDt,0)),"",MATCH(D82,iRefDt,0))</f>
        <v>73</v>
      </c>
      <c r="B82" s="92" t="n">
        <f aca="false">MATCH(YEAR(D82),iSpreads)</f>
        <v>5</v>
      </c>
      <c r="C82" s="0" t="n">
        <f aca="false">MONTH(D82)</f>
        <v>2</v>
      </c>
      <c r="D82" s="93" t="n">
        <f aca="false">+EnergyCurve!D82</f>
        <v>38384</v>
      </c>
      <c r="E82" s="94" t="n">
        <f aca="false">VLOOKUP($D82,tblPriorPrice,2)</f>
        <v>55.8089981079102</v>
      </c>
      <c r="F82" s="95" t="n">
        <f aca="false">G82-E82</f>
        <v>1.89208984124889E-006</v>
      </c>
      <c r="G82" s="264" t="n">
        <f aca="false">IF(EnergyCurve!G82&lt;200,0.001*EnergyCurve!G82+1,1.2)*EnergyCurve!G82</f>
        <v>55.809</v>
      </c>
      <c r="H82" s="96" t="n">
        <f aca="false">IF(EnergyCurve!H82&lt;200,0.001*EnergyCurve!H82+1,1.2)*EnergyCurve!H82</f>
        <v>50.304</v>
      </c>
      <c r="I82" s="96" t="n">
        <f aca="false">IF(EnergyCurve!I82&lt;200,0.001*EnergyCurve!I82+1,1.2)*EnergyCurve!I82</f>
        <v>72.624</v>
      </c>
      <c r="J82" s="94" t="n">
        <f aca="false">VLOOKUP($D82,tblPriorPrice,3)</f>
        <v>0</v>
      </c>
      <c r="K82" s="95" t="n">
        <f aca="false">L82-J82</f>
        <v>0</v>
      </c>
      <c r="L82" s="264" t="n">
        <v>0</v>
      </c>
      <c r="M82" s="96" t="n">
        <f aca="false">L82</f>
        <v>0</v>
      </c>
      <c r="N82" s="96" t="n">
        <f aca="false">L82</f>
        <v>0</v>
      </c>
      <c r="O82" s="58" t="n">
        <f aca="true">IF($A82="",0,INDEX(tblPosn,$A82,2))</f>
        <v>0</v>
      </c>
      <c r="P82" s="59" t="n">
        <f aca="true">IF($A82="",0,INDEX(tblPosn,$A82,3))</f>
        <v>0</v>
      </c>
      <c r="Q82" s="59" t="n">
        <f aca="true">IF($A82="",0,INDEX(tblPosn,$A82,4))</f>
        <v>0</v>
      </c>
      <c r="R82" s="59" t="n">
        <f aca="true">IF($A82="",0,INDEX(tblPosn,$A82,5))</f>
        <v>0</v>
      </c>
      <c r="S82" s="59" t="n">
        <f aca="true">IF($A82="",0,INDEX(tblPosn,$A82,6))</f>
        <v>0</v>
      </c>
      <c r="T82" s="98" t="n">
        <f aca="false">O82*F82+P82*K82+R82*AC82+S82*AH82/0.72+Q82*X82</f>
        <v>0</v>
      </c>
      <c r="V82" s="161" t="n">
        <f aca="false">D82</f>
        <v>38384</v>
      </c>
      <c r="W82" s="94" t="n">
        <f aca="false">VLOOKUP($D82,tblPriorPrice,4)</f>
        <v>0</v>
      </c>
      <c r="X82" s="162" t="n">
        <f aca="false">Y82-W82</f>
        <v>0</v>
      </c>
      <c r="Y82" s="176" t="n">
        <f aca="false">L82</f>
        <v>0</v>
      </c>
      <c r="Z82" s="177" t="n">
        <f aca="false">Y82</f>
        <v>0</v>
      </c>
      <c r="AA82" s="177" t="n">
        <f aca="false">Y82</f>
        <v>0</v>
      </c>
      <c r="AB82" s="94" t="n">
        <f aca="false">VLOOKUP($D82,tblPriorPrice,5)</f>
        <v>0</v>
      </c>
      <c r="AC82" s="162" t="n">
        <f aca="false">AD82-AB82</f>
        <v>0</v>
      </c>
      <c r="AD82" s="176" t="n">
        <f aca="false">L82</f>
        <v>0</v>
      </c>
      <c r="AE82" s="96" t="n">
        <f aca="false">AD82</f>
        <v>0</v>
      </c>
      <c r="AF82" s="97" t="n">
        <f aca="false">AD82</f>
        <v>0</v>
      </c>
      <c r="AG82" s="94" t="n">
        <f aca="false">VLOOKUP($D82,tblPriorPrice,6)</f>
        <v>0</v>
      </c>
      <c r="AH82" s="182"/>
      <c r="AI82" s="189" t="n">
        <f aca="false">AG82+AH82</f>
        <v>0</v>
      </c>
      <c r="AJ82" s="96" t="n">
        <f aca="false">AI82</f>
        <v>0</v>
      </c>
      <c r="AK82" s="97" t="n">
        <f aca="false">AI82</f>
        <v>0</v>
      </c>
      <c r="AL82" s="178" t="n">
        <v>17</v>
      </c>
      <c r="AM82" s="165" t="n">
        <v>0.4</v>
      </c>
      <c r="AN82" s="166" t="n">
        <f aca="false">EnergyCurve!AN82*2</f>
        <v>0.56</v>
      </c>
      <c r="AO82" s="166" t="n">
        <f aca="false">EnergyCurve!AO82</f>
        <v>0.252</v>
      </c>
      <c r="AP82" s="166" t="n">
        <f aca="false">AN82*1.25</f>
        <v>0.7</v>
      </c>
      <c r="AQ82" s="166" t="n">
        <f aca="false">EnergyCurve!AQ82*2</f>
        <v>0.56</v>
      </c>
      <c r="AR82" s="166" t="n">
        <f aca="false">EnergyCurve!AR82</f>
        <v>0.224</v>
      </c>
      <c r="AS82" s="166" t="n">
        <f aca="false">EnergyCurve!AS82*1.25</f>
        <v>0.42</v>
      </c>
      <c r="AT82" s="168" t="n">
        <f aca="false">EnergyCurve!AT82*2*2</f>
        <v>12.7730149679672</v>
      </c>
      <c r="AU82" s="169" t="n">
        <f aca="false">EnergyCurve!AU82</f>
        <v>-0.798313435497948</v>
      </c>
      <c r="AV82" s="169" t="n">
        <f aca="false">AT82*1.25</f>
        <v>15.966268709959</v>
      </c>
      <c r="AW82" s="168" t="n">
        <f aca="false">EnergyCurve!AW82*2*2</f>
        <v>10.0218</v>
      </c>
      <c r="AX82" s="169" t="n">
        <f aca="false">EnergyCurve!AX82</f>
        <v>-0.6263625</v>
      </c>
      <c r="AY82" s="169" t="n">
        <f aca="false">AW82*1.25</f>
        <v>12.52725</v>
      </c>
      <c r="AZ82" s="167" t="n">
        <v>0</v>
      </c>
      <c r="BA82" s="74"/>
      <c r="BB82" s="208" t="n">
        <v>7</v>
      </c>
      <c r="BC82" s="209"/>
      <c r="BD82" s="210"/>
      <c r="BE82" s="211"/>
      <c r="BF82" s="212"/>
      <c r="BG82" s="210"/>
      <c r="BH82" s="211"/>
      <c r="BI82" s="209"/>
      <c r="BJ82" s="210"/>
      <c r="BK82" s="211"/>
      <c r="BL82" s="212"/>
      <c r="BM82" s="210"/>
      <c r="BN82" s="211"/>
      <c r="BQ82" s="108" t="n">
        <v>36907.7428240741</v>
      </c>
      <c r="BR82" s="109" t="n">
        <v>36907.7434490741</v>
      </c>
      <c r="BS82" s="110" t="n">
        <v>38596</v>
      </c>
      <c r="BT82" s="111" t="n">
        <v>0</v>
      </c>
      <c r="BU82" s="112" t="n">
        <v>0</v>
      </c>
      <c r="BV82" s="112" t="n">
        <v>0</v>
      </c>
      <c r="BW82" s="112" t="n">
        <v>0</v>
      </c>
      <c r="BX82" s="113" t="n">
        <v>0</v>
      </c>
      <c r="BZ82" s="110" t="n">
        <v>38384</v>
      </c>
      <c r="CA82" s="116" t="n">
        <v>55.8089981079102</v>
      </c>
      <c r="CB82" s="116" t="n">
        <v>0</v>
      </c>
      <c r="CC82" s="116" t="n">
        <v>0</v>
      </c>
      <c r="CD82" s="116" t="n">
        <v>0</v>
      </c>
      <c r="CE82" s="117" t="n">
        <v>0</v>
      </c>
      <c r="CG82" s="135" t="n">
        <f aca="false">BB18</f>
        <v>2009</v>
      </c>
      <c r="CH82" s="136" t="n">
        <v>0</v>
      </c>
      <c r="CI82" s="137" t="n">
        <v>0</v>
      </c>
      <c r="CJ82" s="137" t="n">
        <v>0</v>
      </c>
      <c r="CK82" s="137" t="n">
        <v>0</v>
      </c>
      <c r="CL82" s="137" t="n">
        <v>0</v>
      </c>
      <c r="CM82" s="137" t="n">
        <v>0</v>
      </c>
      <c r="CN82" s="137" t="n">
        <v>0</v>
      </c>
      <c r="CO82" s="137" t="n">
        <v>0</v>
      </c>
      <c r="CP82" s="137" t="n">
        <v>0</v>
      </c>
      <c r="CQ82" s="137" t="n">
        <v>0</v>
      </c>
      <c r="CR82" s="137" t="n">
        <v>0</v>
      </c>
      <c r="CS82" s="138" t="n">
        <v>0</v>
      </c>
      <c r="CU82" s="135" t="n">
        <f aca="false">BB18</f>
        <v>2009</v>
      </c>
      <c r="CV82" s="136" t="n">
        <v>0</v>
      </c>
      <c r="CW82" s="137" t="n">
        <v>0</v>
      </c>
      <c r="CX82" s="137" t="n">
        <v>0</v>
      </c>
      <c r="CY82" s="137" t="n">
        <v>0</v>
      </c>
      <c r="CZ82" s="137" t="n">
        <v>0</v>
      </c>
      <c r="DA82" s="137" t="n">
        <v>0</v>
      </c>
      <c r="DB82" s="137" t="n">
        <v>0</v>
      </c>
      <c r="DC82" s="137" t="n">
        <v>0</v>
      </c>
      <c r="DD82" s="137" t="n">
        <v>0</v>
      </c>
      <c r="DE82" s="137" t="n">
        <v>0</v>
      </c>
      <c r="DF82" s="137" t="n">
        <v>0</v>
      </c>
      <c r="DG82" s="138" t="n">
        <v>0</v>
      </c>
      <c r="DI82" s="135" t="n">
        <f aca="false">BB18</f>
        <v>2009</v>
      </c>
      <c r="DJ82" s="136" t="n">
        <v>0</v>
      </c>
      <c r="DK82" s="137" t="n">
        <v>0</v>
      </c>
      <c r="DL82" s="137" t="n">
        <v>0</v>
      </c>
      <c r="DM82" s="137" t="n">
        <v>0</v>
      </c>
      <c r="DN82" s="137" t="n">
        <v>0</v>
      </c>
      <c r="DO82" s="137" t="n">
        <v>0</v>
      </c>
      <c r="DP82" s="137" t="n">
        <v>0</v>
      </c>
      <c r="DQ82" s="137" t="n">
        <v>0</v>
      </c>
      <c r="DR82" s="137" t="n">
        <v>0</v>
      </c>
      <c r="DS82" s="137" t="n">
        <v>0</v>
      </c>
      <c r="DT82" s="137" t="n">
        <v>0</v>
      </c>
      <c r="DU82" s="138" t="n">
        <v>0</v>
      </c>
    </row>
    <row r="83" customFormat="false" ht="12.75" hidden="false" customHeight="false" outlineLevel="0" collapsed="false">
      <c r="A83" s="0" t="n">
        <f aca="true">IF(ISERROR(MATCH(D83,iRefDt,0)),"",MATCH(D83,iRefDt,0))</f>
        <v>74</v>
      </c>
      <c r="B83" s="92" t="n">
        <f aca="false">MATCH(YEAR(D83),iSpreads)</f>
        <v>5</v>
      </c>
      <c r="C83" s="0" t="n">
        <f aca="false">MONTH(D83)</f>
        <v>3</v>
      </c>
      <c r="D83" s="93" t="n">
        <f aca="false">+EnergyCurve!D83</f>
        <v>38412</v>
      </c>
      <c r="E83" s="94" t="n">
        <f aca="false">VLOOKUP($D83,tblPriorPrice,2)</f>
        <v>45.9360008239746</v>
      </c>
      <c r="F83" s="95" t="n">
        <f aca="false">G83-E83</f>
        <v>-8.23974609431843E-007</v>
      </c>
      <c r="G83" s="264" t="n">
        <f aca="false">IF(EnergyCurve!G83&lt;200,0.001*EnergyCurve!G83+1,1.2)*EnergyCurve!G83</f>
        <v>45.936</v>
      </c>
      <c r="H83" s="96" t="n">
        <f aca="false">IF(EnergyCurve!H83&lt;200,0.001*EnergyCurve!H83+1,1.2)*EnergyCurve!H83</f>
        <v>40.521</v>
      </c>
      <c r="I83" s="96" t="n">
        <f aca="false">IF(EnergyCurve!I83&lt;200,0.001*EnergyCurve!I83+1,1.2)*EnergyCurve!I83</f>
        <v>62.481</v>
      </c>
      <c r="J83" s="94" t="n">
        <f aca="false">VLOOKUP($D83,tblPriorPrice,3)</f>
        <v>0</v>
      </c>
      <c r="K83" s="95" t="n">
        <f aca="false">L83-J83</f>
        <v>0</v>
      </c>
      <c r="L83" s="264" t="n">
        <v>0</v>
      </c>
      <c r="M83" s="96" t="n">
        <f aca="false">L83</f>
        <v>0</v>
      </c>
      <c r="N83" s="96" t="n">
        <f aca="false">L83</f>
        <v>0</v>
      </c>
      <c r="O83" s="58" t="n">
        <f aca="true">IF($A83="",0,INDEX(tblPosn,$A83,2))</f>
        <v>0</v>
      </c>
      <c r="P83" s="59" t="n">
        <f aca="true">IF($A83="",0,INDEX(tblPosn,$A83,3))</f>
        <v>0</v>
      </c>
      <c r="Q83" s="59" t="n">
        <f aca="true">IF($A83="",0,INDEX(tblPosn,$A83,4))</f>
        <v>0</v>
      </c>
      <c r="R83" s="59" t="n">
        <f aca="true">IF($A83="",0,INDEX(tblPosn,$A83,5))</f>
        <v>0</v>
      </c>
      <c r="S83" s="59" t="n">
        <f aca="true">IF($A83="",0,INDEX(tblPosn,$A83,6))</f>
        <v>0</v>
      </c>
      <c r="T83" s="98" t="n">
        <f aca="false">O83*F83+P83*K83+R83*AC83+S83*AH83/0.72+Q83*X83</f>
        <v>0</v>
      </c>
      <c r="V83" s="161" t="n">
        <f aca="false">D83</f>
        <v>38412</v>
      </c>
      <c r="W83" s="94" t="n">
        <f aca="false">VLOOKUP($D83,tblPriorPrice,4)</f>
        <v>0</v>
      </c>
      <c r="X83" s="162" t="n">
        <f aca="false">Y83-W83</f>
        <v>0</v>
      </c>
      <c r="Y83" s="176" t="n">
        <f aca="false">L83</f>
        <v>0</v>
      </c>
      <c r="Z83" s="177" t="n">
        <f aca="false">Y83</f>
        <v>0</v>
      </c>
      <c r="AA83" s="177" t="n">
        <f aca="false">Y83</f>
        <v>0</v>
      </c>
      <c r="AB83" s="94" t="n">
        <f aca="false">VLOOKUP($D83,tblPriorPrice,5)</f>
        <v>0</v>
      </c>
      <c r="AC83" s="162" t="n">
        <f aca="false">AD83-AB83</f>
        <v>0</v>
      </c>
      <c r="AD83" s="176" t="n">
        <f aca="false">L83</f>
        <v>0</v>
      </c>
      <c r="AE83" s="96" t="n">
        <f aca="false">AD83</f>
        <v>0</v>
      </c>
      <c r="AF83" s="97" t="n">
        <f aca="false">AD83</f>
        <v>0</v>
      </c>
      <c r="AG83" s="94" t="n">
        <f aca="false">VLOOKUP($D83,tblPriorPrice,6)</f>
        <v>0</v>
      </c>
      <c r="AH83" s="182"/>
      <c r="AI83" s="189" t="n">
        <f aca="false">AG83+AH83</f>
        <v>0</v>
      </c>
      <c r="AJ83" s="96" t="n">
        <f aca="false">AI83</f>
        <v>0</v>
      </c>
      <c r="AK83" s="97" t="n">
        <f aca="false">AI83</f>
        <v>0</v>
      </c>
      <c r="AL83" s="178" t="n">
        <v>17</v>
      </c>
      <c r="AM83" s="165" t="n">
        <v>0.4</v>
      </c>
      <c r="AN83" s="166" t="n">
        <f aca="false">EnergyCurve!AN83*2</f>
        <v>0.55</v>
      </c>
      <c r="AO83" s="166" t="n">
        <f aca="false">EnergyCurve!AO83</f>
        <v>0.2475</v>
      </c>
      <c r="AP83" s="166" t="n">
        <f aca="false">AN83*1.25</f>
        <v>0.6875</v>
      </c>
      <c r="AQ83" s="166" t="n">
        <f aca="false">EnergyCurve!AQ83*2</f>
        <v>0.55</v>
      </c>
      <c r="AR83" s="166" t="n">
        <f aca="false">EnergyCurve!AR83</f>
        <v>0.22</v>
      </c>
      <c r="AS83" s="166" t="n">
        <f aca="false">EnergyCurve!AS83*1.25</f>
        <v>0.4125</v>
      </c>
      <c r="AT83" s="168" t="n">
        <f aca="false">EnergyCurve!AT83*2*2</f>
        <v>9.74094701630045</v>
      </c>
      <c r="AU83" s="169" t="n">
        <f aca="false">EnergyCurve!AU83</f>
        <v>-0.608809188518778</v>
      </c>
      <c r="AV83" s="169" t="n">
        <f aca="false">AT83*1.25</f>
        <v>12.1761837703756</v>
      </c>
      <c r="AW83" s="168" t="n">
        <f aca="false">EnergyCurve!AW83*2*2</f>
        <v>10.2102</v>
      </c>
      <c r="AX83" s="169" t="n">
        <f aca="false">EnergyCurve!AX83</f>
        <v>-0.6381375</v>
      </c>
      <c r="AY83" s="169" t="n">
        <f aca="false">AW83*1.25</f>
        <v>12.76275</v>
      </c>
      <c r="AZ83" s="167" t="n">
        <v>0</v>
      </c>
      <c r="BA83" s="74"/>
      <c r="BB83" s="208" t="n">
        <v>8</v>
      </c>
      <c r="BC83" s="209"/>
      <c r="BD83" s="210"/>
      <c r="BE83" s="211"/>
      <c r="BF83" s="212"/>
      <c r="BG83" s="210"/>
      <c r="BH83" s="211"/>
      <c r="BI83" s="209"/>
      <c r="BJ83" s="210"/>
      <c r="BK83" s="211"/>
      <c r="BL83" s="212"/>
      <c r="BM83" s="210"/>
      <c r="BN83" s="211"/>
      <c r="BQ83" s="108" t="n">
        <v>36907.7428240741</v>
      </c>
      <c r="BR83" s="109" t="n">
        <v>36907.7434490741</v>
      </c>
      <c r="BS83" s="110" t="n">
        <v>38626</v>
      </c>
      <c r="BT83" s="111" t="n">
        <v>0</v>
      </c>
      <c r="BU83" s="112" t="n">
        <v>0</v>
      </c>
      <c r="BV83" s="112" t="n">
        <v>0</v>
      </c>
      <c r="BW83" s="112" t="n">
        <v>0</v>
      </c>
      <c r="BX83" s="113" t="n">
        <v>0</v>
      </c>
      <c r="BZ83" s="110" t="n">
        <v>38412</v>
      </c>
      <c r="CA83" s="116" t="n">
        <v>45.9360008239746</v>
      </c>
      <c r="CB83" s="116" t="n">
        <v>0</v>
      </c>
      <c r="CC83" s="116" t="n">
        <v>0</v>
      </c>
      <c r="CD83" s="116" t="n">
        <v>0</v>
      </c>
      <c r="CE83" s="117" t="n">
        <v>0</v>
      </c>
      <c r="CG83" s="135" t="n">
        <f aca="false">BB19</f>
        <v>2010</v>
      </c>
      <c r="CH83" s="136" t="n">
        <v>0</v>
      </c>
      <c r="CI83" s="137" t="n">
        <v>0</v>
      </c>
      <c r="CJ83" s="137" t="n">
        <v>0</v>
      </c>
      <c r="CK83" s="137" t="n">
        <v>0</v>
      </c>
      <c r="CL83" s="137" t="n">
        <v>0</v>
      </c>
      <c r="CM83" s="137" t="n">
        <v>0</v>
      </c>
      <c r="CN83" s="137" t="n">
        <v>0</v>
      </c>
      <c r="CO83" s="137" t="n">
        <v>0</v>
      </c>
      <c r="CP83" s="137" t="n">
        <v>0</v>
      </c>
      <c r="CQ83" s="137" t="n">
        <v>0</v>
      </c>
      <c r="CR83" s="137" t="n">
        <v>0</v>
      </c>
      <c r="CS83" s="138" t="n">
        <v>0</v>
      </c>
      <c r="CU83" s="135" t="n">
        <f aca="false">BB19</f>
        <v>2010</v>
      </c>
      <c r="CV83" s="136" t="n">
        <v>0</v>
      </c>
      <c r="CW83" s="137" t="n">
        <v>0</v>
      </c>
      <c r="CX83" s="137" t="n">
        <v>0</v>
      </c>
      <c r="CY83" s="137" t="n">
        <v>0</v>
      </c>
      <c r="CZ83" s="137" t="n">
        <v>0</v>
      </c>
      <c r="DA83" s="137" t="n">
        <v>0</v>
      </c>
      <c r="DB83" s="137" t="n">
        <v>0</v>
      </c>
      <c r="DC83" s="137" t="n">
        <v>0</v>
      </c>
      <c r="DD83" s="137" t="n">
        <v>0</v>
      </c>
      <c r="DE83" s="137" t="n">
        <v>0</v>
      </c>
      <c r="DF83" s="137" t="n">
        <v>0</v>
      </c>
      <c r="DG83" s="138" t="n">
        <v>0</v>
      </c>
      <c r="DI83" s="135" t="n">
        <f aca="false">BB19</f>
        <v>2010</v>
      </c>
      <c r="DJ83" s="136" t="n">
        <v>0</v>
      </c>
      <c r="DK83" s="137" t="n">
        <v>0</v>
      </c>
      <c r="DL83" s="137" t="n">
        <v>0</v>
      </c>
      <c r="DM83" s="137" t="n">
        <v>0</v>
      </c>
      <c r="DN83" s="137" t="n">
        <v>0</v>
      </c>
      <c r="DO83" s="137" t="n">
        <v>0</v>
      </c>
      <c r="DP83" s="137" t="n">
        <v>0</v>
      </c>
      <c r="DQ83" s="137" t="n">
        <v>0</v>
      </c>
      <c r="DR83" s="137" t="n">
        <v>0</v>
      </c>
      <c r="DS83" s="137" t="n">
        <v>0</v>
      </c>
      <c r="DT83" s="137" t="n">
        <v>0</v>
      </c>
      <c r="DU83" s="138" t="n">
        <v>0</v>
      </c>
    </row>
    <row r="84" customFormat="false" ht="12.75" hidden="false" customHeight="false" outlineLevel="0" collapsed="false">
      <c r="A84" s="0" t="n">
        <f aca="true">IF(ISERROR(MATCH(D84,iRefDt,0)),"",MATCH(D84,iRefDt,0))</f>
        <v>75</v>
      </c>
      <c r="B84" s="92" t="n">
        <f aca="false">MATCH(YEAR(D84),iSpreads)</f>
        <v>5</v>
      </c>
      <c r="C84" s="0" t="n">
        <f aca="false">MONTH(D84)</f>
        <v>4</v>
      </c>
      <c r="D84" s="93" t="n">
        <f aca="false">+EnergyCurve!D84</f>
        <v>38443</v>
      </c>
      <c r="E84" s="94" t="n">
        <f aca="false">VLOOKUP($D84,tblPriorPrice,2)</f>
        <v>31.9610004425049</v>
      </c>
      <c r="F84" s="95" t="n">
        <f aca="false">G84-E84</f>
        <v>-4.42504884290429E-007</v>
      </c>
      <c r="G84" s="264" t="n">
        <f aca="false">IF(EnergyCurve!G84&lt;200,0.001*EnergyCurve!G84+1,1.2)*EnergyCurve!G84</f>
        <v>31.961</v>
      </c>
      <c r="H84" s="96" t="n">
        <f aca="false">IF(EnergyCurve!H84&lt;200,0.001*EnergyCurve!H84+1,1.2)*EnergyCurve!H84</f>
        <v>26.676</v>
      </c>
      <c r="I84" s="96" t="n">
        <f aca="false">IF(EnergyCurve!I84&lt;200,0.001*EnergyCurve!I84+1,1.2)*EnergyCurve!I84</f>
        <v>48.116</v>
      </c>
      <c r="J84" s="94" t="n">
        <f aca="false">VLOOKUP($D84,tblPriorPrice,3)</f>
        <v>0</v>
      </c>
      <c r="K84" s="95" t="n">
        <f aca="false">L84-J84</f>
        <v>0</v>
      </c>
      <c r="L84" s="264" t="n">
        <v>0</v>
      </c>
      <c r="M84" s="96" t="n">
        <f aca="false">L84</f>
        <v>0</v>
      </c>
      <c r="N84" s="96" t="n">
        <f aca="false">L84</f>
        <v>0</v>
      </c>
      <c r="O84" s="58" t="n">
        <f aca="true">IF($A84="",0,INDEX(tblPosn,$A84,2))</f>
        <v>0</v>
      </c>
      <c r="P84" s="59" t="n">
        <f aca="true">IF($A84="",0,INDEX(tblPosn,$A84,3))</f>
        <v>0</v>
      </c>
      <c r="Q84" s="59" t="n">
        <f aca="true">IF($A84="",0,INDEX(tblPosn,$A84,4))</f>
        <v>0</v>
      </c>
      <c r="R84" s="59" t="n">
        <f aca="true">IF($A84="",0,INDEX(tblPosn,$A84,5))</f>
        <v>0</v>
      </c>
      <c r="S84" s="59" t="n">
        <f aca="true">IF($A84="",0,INDEX(tblPosn,$A84,6))</f>
        <v>0</v>
      </c>
      <c r="T84" s="98" t="n">
        <f aca="false">O84*F84+P84*K84+R84*AC84+S84*AH84/0.72+Q84*X84</f>
        <v>0</v>
      </c>
      <c r="V84" s="161" t="n">
        <f aca="false">D84</f>
        <v>38443</v>
      </c>
      <c r="W84" s="94" t="n">
        <f aca="false">VLOOKUP($D84,tblPriorPrice,4)</f>
        <v>0</v>
      </c>
      <c r="X84" s="162" t="n">
        <f aca="false">Y84-W84</f>
        <v>0</v>
      </c>
      <c r="Y84" s="176" t="n">
        <f aca="false">L84</f>
        <v>0</v>
      </c>
      <c r="Z84" s="177" t="n">
        <f aca="false">Y84</f>
        <v>0</v>
      </c>
      <c r="AA84" s="177" t="n">
        <f aca="false">Y84</f>
        <v>0</v>
      </c>
      <c r="AB84" s="94" t="n">
        <f aca="false">VLOOKUP($D84,tblPriorPrice,5)</f>
        <v>0</v>
      </c>
      <c r="AC84" s="162" t="n">
        <f aca="false">AD84-AB84</f>
        <v>0</v>
      </c>
      <c r="AD84" s="176" t="n">
        <f aca="false">L84</f>
        <v>0</v>
      </c>
      <c r="AE84" s="96" t="n">
        <f aca="false">AD84</f>
        <v>0</v>
      </c>
      <c r="AF84" s="97" t="n">
        <f aca="false">AD84</f>
        <v>0</v>
      </c>
      <c r="AG84" s="94" t="n">
        <f aca="false">VLOOKUP($D84,tblPriorPrice,6)</f>
        <v>0</v>
      </c>
      <c r="AH84" s="182"/>
      <c r="AI84" s="189" t="n">
        <f aca="false">AG84+AH84</f>
        <v>0</v>
      </c>
      <c r="AJ84" s="96" t="n">
        <f aca="false">AI84</f>
        <v>0</v>
      </c>
      <c r="AK84" s="97" t="n">
        <f aca="false">AI84</f>
        <v>0</v>
      </c>
      <c r="AL84" s="178" t="n">
        <v>18</v>
      </c>
      <c r="AM84" s="165" t="n">
        <v>0.4</v>
      </c>
      <c r="AN84" s="166" t="n">
        <f aca="false">EnergyCurve!AN84*2</f>
        <v>0.51</v>
      </c>
      <c r="AO84" s="166" t="n">
        <f aca="false">EnergyCurve!AO84</f>
        <v>0.2295</v>
      </c>
      <c r="AP84" s="166" t="n">
        <f aca="false">AN84*1.25</f>
        <v>0.6375</v>
      </c>
      <c r="AQ84" s="166" t="n">
        <f aca="false">EnergyCurve!AQ84*2</f>
        <v>0.51</v>
      </c>
      <c r="AR84" s="166" t="n">
        <f aca="false">EnergyCurve!AR84</f>
        <v>0.204</v>
      </c>
      <c r="AS84" s="166" t="n">
        <f aca="false">EnergyCurve!AS84*1.25</f>
        <v>0.3825</v>
      </c>
      <c r="AT84" s="168" t="n">
        <f aca="false">EnergyCurve!AT84*2*2</f>
        <v>6.56235962744143</v>
      </c>
      <c r="AU84" s="169" t="n">
        <f aca="false">EnergyCurve!AU84</f>
        <v>-0.410147476715089</v>
      </c>
      <c r="AV84" s="169" t="n">
        <f aca="false">AT84*1.25</f>
        <v>8.20294953430178</v>
      </c>
      <c r="AW84" s="168" t="n">
        <f aca="false">EnergyCurve!AW84*2*2</f>
        <v>10.3044</v>
      </c>
      <c r="AX84" s="169" t="n">
        <f aca="false">EnergyCurve!AX84</f>
        <v>-0.644025</v>
      </c>
      <c r="AY84" s="169" t="n">
        <f aca="false">AW84*1.25</f>
        <v>12.8805</v>
      </c>
      <c r="AZ84" s="167" t="n">
        <v>0</v>
      </c>
      <c r="BA84" s="74"/>
      <c r="BB84" s="208" t="n">
        <v>9</v>
      </c>
      <c r="BC84" s="209"/>
      <c r="BD84" s="210"/>
      <c r="BE84" s="211"/>
      <c r="BF84" s="212"/>
      <c r="BG84" s="210"/>
      <c r="BH84" s="211"/>
      <c r="BI84" s="209"/>
      <c r="BJ84" s="210"/>
      <c r="BK84" s="211"/>
      <c r="BL84" s="212"/>
      <c r="BM84" s="210"/>
      <c r="BN84" s="211"/>
      <c r="BQ84" s="108" t="n">
        <v>36907.7428240741</v>
      </c>
      <c r="BR84" s="109" t="n">
        <v>36907.7434490741</v>
      </c>
      <c r="BS84" s="110" t="n">
        <v>38657</v>
      </c>
      <c r="BT84" s="111" t="n">
        <v>0</v>
      </c>
      <c r="BU84" s="112" t="n">
        <v>0</v>
      </c>
      <c r="BV84" s="112" t="n">
        <v>0</v>
      </c>
      <c r="BW84" s="112" t="n">
        <v>0</v>
      </c>
      <c r="BX84" s="113" t="n">
        <v>0</v>
      </c>
      <c r="BZ84" s="110" t="n">
        <v>38443</v>
      </c>
      <c r="CA84" s="116" t="n">
        <v>31.9610004425049</v>
      </c>
      <c r="CB84" s="116" t="n">
        <v>0</v>
      </c>
      <c r="CC84" s="116" t="n">
        <v>0</v>
      </c>
      <c r="CD84" s="116" t="n">
        <v>0</v>
      </c>
      <c r="CE84" s="117" t="n">
        <v>0</v>
      </c>
      <c r="CG84" s="135" t="n">
        <f aca="false">BB20</f>
        <v>2011</v>
      </c>
      <c r="CH84" s="136" t="n">
        <v>0</v>
      </c>
      <c r="CI84" s="137" t="n">
        <v>0</v>
      </c>
      <c r="CJ84" s="137" t="n">
        <v>0</v>
      </c>
      <c r="CK84" s="137" t="n">
        <v>0</v>
      </c>
      <c r="CL84" s="137" t="n">
        <v>0</v>
      </c>
      <c r="CM84" s="137" t="n">
        <v>0</v>
      </c>
      <c r="CN84" s="137" t="n">
        <v>0</v>
      </c>
      <c r="CO84" s="137" t="n">
        <v>0</v>
      </c>
      <c r="CP84" s="137" t="n">
        <v>0</v>
      </c>
      <c r="CQ84" s="137" t="n">
        <v>0</v>
      </c>
      <c r="CR84" s="137" t="n">
        <v>0</v>
      </c>
      <c r="CS84" s="138" t="n">
        <v>0</v>
      </c>
      <c r="CU84" s="135" t="n">
        <f aca="false">BB20</f>
        <v>2011</v>
      </c>
      <c r="CV84" s="136" t="n">
        <v>0</v>
      </c>
      <c r="CW84" s="137" t="n">
        <v>0</v>
      </c>
      <c r="CX84" s="137" t="n">
        <v>0</v>
      </c>
      <c r="CY84" s="137" t="n">
        <v>0</v>
      </c>
      <c r="CZ84" s="137" t="n">
        <v>0</v>
      </c>
      <c r="DA84" s="137" t="n">
        <v>0</v>
      </c>
      <c r="DB84" s="137" t="n">
        <v>0</v>
      </c>
      <c r="DC84" s="137" t="n">
        <v>0</v>
      </c>
      <c r="DD84" s="137" t="n">
        <v>0</v>
      </c>
      <c r="DE84" s="137" t="n">
        <v>0</v>
      </c>
      <c r="DF84" s="137" t="n">
        <v>0</v>
      </c>
      <c r="DG84" s="138" t="n">
        <v>0</v>
      </c>
      <c r="DI84" s="135" t="n">
        <f aca="false">BB20</f>
        <v>2011</v>
      </c>
      <c r="DJ84" s="136" t="n">
        <v>0</v>
      </c>
      <c r="DK84" s="137" t="n">
        <v>0</v>
      </c>
      <c r="DL84" s="137" t="n">
        <v>0</v>
      </c>
      <c r="DM84" s="137" t="n">
        <v>0</v>
      </c>
      <c r="DN84" s="137" t="n">
        <v>0</v>
      </c>
      <c r="DO84" s="137" t="n">
        <v>0</v>
      </c>
      <c r="DP84" s="137" t="n">
        <v>0</v>
      </c>
      <c r="DQ84" s="137" t="n">
        <v>0</v>
      </c>
      <c r="DR84" s="137" t="n">
        <v>0</v>
      </c>
      <c r="DS84" s="137" t="n">
        <v>0</v>
      </c>
      <c r="DT84" s="137" t="n">
        <v>0</v>
      </c>
      <c r="DU84" s="138" t="n">
        <v>0</v>
      </c>
    </row>
    <row r="85" customFormat="false" ht="12.75" hidden="false" customHeight="false" outlineLevel="0" collapsed="false">
      <c r="A85" s="0" t="n">
        <f aca="true">IF(ISERROR(MATCH(D85,iRefDt,0)),"",MATCH(D85,iRefDt,0))</f>
        <v>76</v>
      </c>
      <c r="B85" s="92" t="n">
        <f aca="false">MATCH(YEAR(D85),iSpreads)</f>
        <v>5</v>
      </c>
      <c r="C85" s="0" t="n">
        <f aca="false">MONTH(D85)</f>
        <v>5</v>
      </c>
      <c r="D85" s="93" t="n">
        <f aca="false">+EnergyCurve!D85</f>
        <v>38473</v>
      </c>
      <c r="E85" s="94" t="n">
        <f aca="false">VLOOKUP($D85,tblPriorPrice,2)</f>
        <v>35.1559982299805</v>
      </c>
      <c r="F85" s="95" t="n">
        <f aca="false">G85-E85</f>
        <v>1.77001953005629E-006</v>
      </c>
      <c r="G85" s="264" t="n">
        <f aca="false">IF(EnergyCurve!G85&lt;200,0.001*EnergyCurve!G85+1,1.2)*EnergyCurve!G85</f>
        <v>35.156</v>
      </c>
      <c r="H85" s="96" t="n">
        <f aca="false">IF(EnergyCurve!H85&lt;200,0.001*EnergyCurve!H85+1,1.2)*EnergyCurve!H85</f>
        <v>29.841</v>
      </c>
      <c r="I85" s="96" t="n">
        <f aca="false">IF(EnergyCurve!I85&lt;200,0.001*EnergyCurve!I85+1,1.2)*EnergyCurve!I85</f>
        <v>51.401</v>
      </c>
      <c r="J85" s="94" t="n">
        <f aca="false">VLOOKUP($D85,tblPriorPrice,3)</f>
        <v>0</v>
      </c>
      <c r="K85" s="95" t="n">
        <f aca="false">L85-J85</f>
        <v>0</v>
      </c>
      <c r="L85" s="264" t="n">
        <v>0</v>
      </c>
      <c r="M85" s="96" t="n">
        <f aca="false">L85</f>
        <v>0</v>
      </c>
      <c r="N85" s="96" t="n">
        <f aca="false">L85</f>
        <v>0</v>
      </c>
      <c r="O85" s="58" t="n">
        <f aca="true">IF($A85="",0,INDEX(tblPosn,$A85,2))</f>
        <v>0</v>
      </c>
      <c r="P85" s="59" t="n">
        <f aca="true">IF($A85="",0,INDEX(tblPosn,$A85,3))</f>
        <v>0</v>
      </c>
      <c r="Q85" s="59" t="n">
        <f aca="true">IF($A85="",0,INDEX(tblPosn,$A85,4))</f>
        <v>0</v>
      </c>
      <c r="R85" s="59" t="n">
        <f aca="true">IF($A85="",0,INDEX(tblPosn,$A85,5))</f>
        <v>0</v>
      </c>
      <c r="S85" s="59" t="n">
        <f aca="true">IF($A85="",0,INDEX(tblPosn,$A85,6))</f>
        <v>0</v>
      </c>
      <c r="T85" s="98" t="n">
        <f aca="false">O85*F85+P85*K85+R85*AC85+S85*AH85/0.72+Q85*X85</f>
        <v>0</v>
      </c>
      <c r="V85" s="161" t="n">
        <f aca="false">D85</f>
        <v>38473</v>
      </c>
      <c r="W85" s="94" t="n">
        <f aca="false">VLOOKUP($D85,tblPriorPrice,4)</f>
        <v>0</v>
      </c>
      <c r="X85" s="162" t="n">
        <f aca="false">Y85-W85</f>
        <v>0</v>
      </c>
      <c r="Y85" s="176" t="n">
        <f aca="false">L85</f>
        <v>0</v>
      </c>
      <c r="Z85" s="177" t="n">
        <f aca="false">Y85</f>
        <v>0</v>
      </c>
      <c r="AA85" s="177" t="n">
        <f aca="false">Y85</f>
        <v>0</v>
      </c>
      <c r="AB85" s="94" t="n">
        <f aca="false">VLOOKUP($D85,tblPriorPrice,5)</f>
        <v>0</v>
      </c>
      <c r="AC85" s="162" t="n">
        <f aca="false">AD85-AB85</f>
        <v>0</v>
      </c>
      <c r="AD85" s="176" t="n">
        <f aca="false">L85</f>
        <v>0</v>
      </c>
      <c r="AE85" s="96" t="n">
        <f aca="false">AD85</f>
        <v>0</v>
      </c>
      <c r="AF85" s="97" t="n">
        <f aca="false">AD85</f>
        <v>0</v>
      </c>
      <c r="AG85" s="94" t="n">
        <f aca="false">VLOOKUP($D85,tblPriorPrice,6)</f>
        <v>0</v>
      </c>
      <c r="AH85" s="182"/>
      <c r="AI85" s="189" t="n">
        <f aca="false">AG85+AH85</f>
        <v>0</v>
      </c>
      <c r="AJ85" s="96" t="n">
        <f aca="false">AI85</f>
        <v>0</v>
      </c>
      <c r="AK85" s="97" t="n">
        <f aca="false">AI85</f>
        <v>0</v>
      </c>
      <c r="AL85" s="178" t="n">
        <v>18</v>
      </c>
      <c r="AM85" s="165" t="n">
        <v>0.4</v>
      </c>
      <c r="AN85" s="166" t="n">
        <f aca="false">EnergyCurve!AN85*2</f>
        <v>0.5</v>
      </c>
      <c r="AO85" s="166" t="n">
        <f aca="false">EnergyCurve!AO85</f>
        <v>0.225</v>
      </c>
      <c r="AP85" s="166" t="n">
        <f aca="false">AN85*1.25</f>
        <v>0.625</v>
      </c>
      <c r="AQ85" s="166" t="n">
        <f aca="false">EnergyCurve!AQ85*2</f>
        <v>0.5</v>
      </c>
      <c r="AR85" s="166" t="n">
        <f aca="false">EnergyCurve!AR85</f>
        <v>0.2</v>
      </c>
      <c r="AS85" s="166" t="n">
        <f aca="false">EnergyCurve!AS85*1.25</f>
        <v>0.375</v>
      </c>
      <c r="AT85" s="168" t="n">
        <f aca="false">EnergyCurve!AT85*2*2</f>
        <v>7.08032482171168</v>
      </c>
      <c r="AU85" s="169" t="n">
        <f aca="false">EnergyCurve!AU85</f>
        <v>-0.44252030135698</v>
      </c>
      <c r="AV85" s="169" t="n">
        <f aca="false">AT85*1.25</f>
        <v>8.8504060271396</v>
      </c>
      <c r="AW85" s="168" t="n">
        <f aca="false">EnergyCurve!AW85*2*2</f>
        <v>10.0218</v>
      </c>
      <c r="AX85" s="169" t="n">
        <f aca="false">EnergyCurve!AX85</f>
        <v>-0.6263625</v>
      </c>
      <c r="AY85" s="169" t="n">
        <f aca="false">AW85*1.25</f>
        <v>12.52725</v>
      </c>
      <c r="AZ85" s="167" t="n">
        <v>0</v>
      </c>
      <c r="BA85" s="74"/>
      <c r="BB85" s="208" t="n">
        <v>10</v>
      </c>
      <c r="BC85" s="209"/>
      <c r="BD85" s="210"/>
      <c r="BE85" s="211"/>
      <c r="BF85" s="212"/>
      <c r="BG85" s="210"/>
      <c r="BH85" s="211"/>
      <c r="BI85" s="209"/>
      <c r="BJ85" s="210"/>
      <c r="BK85" s="211"/>
      <c r="BL85" s="212"/>
      <c r="BM85" s="210"/>
      <c r="BN85" s="211"/>
      <c r="BQ85" s="108" t="n">
        <v>36907.7428240741</v>
      </c>
      <c r="BR85" s="109" t="n">
        <v>36907.7434490741</v>
      </c>
      <c r="BS85" s="110" t="n">
        <v>38687</v>
      </c>
      <c r="BT85" s="111" t="n">
        <v>0</v>
      </c>
      <c r="BU85" s="112" t="n">
        <v>0</v>
      </c>
      <c r="BV85" s="112" t="n">
        <v>0</v>
      </c>
      <c r="BW85" s="112" t="n">
        <v>0</v>
      </c>
      <c r="BX85" s="113" t="n">
        <v>0</v>
      </c>
      <c r="BZ85" s="110" t="n">
        <v>38473</v>
      </c>
      <c r="CA85" s="116" t="n">
        <v>35.1559982299805</v>
      </c>
      <c r="CB85" s="116" t="n">
        <v>0</v>
      </c>
      <c r="CC85" s="116" t="n">
        <v>0</v>
      </c>
      <c r="CD85" s="116" t="n">
        <v>0</v>
      </c>
      <c r="CE85" s="117" t="n">
        <v>0</v>
      </c>
      <c r="CG85" s="135" t="n">
        <f aca="false">BB21</f>
        <v>2012</v>
      </c>
      <c r="CH85" s="136" t="n">
        <v>0</v>
      </c>
      <c r="CI85" s="137" t="n">
        <v>0</v>
      </c>
      <c r="CJ85" s="137" t="n">
        <v>0</v>
      </c>
      <c r="CK85" s="137" t="n">
        <v>0</v>
      </c>
      <c r="CL85" s="137" t="n">
        <v>0</v>
      </c>
      <c r="CM85" s="137" t="n">
        <v>0</v>
      </c>
      <c r="CN85" s="137" t="n">
        <v>0</v>
      </c>
      <c r="CO85" s="137" t="n">
        <v>0</v>
      </c>
      <c r="CP85" s="137" t="n">
        <v>0</v>
      </c>
      <c r="CQ85" s="137" t="n">
        <v>0</v>
      </c>
      <c r="CR85" s="137" t="n">
        <v>0</v>
      </c>
      <c r="CS85" s="138" t="n">
        <v>0</v>
      </c>
      <c r="CU85" s="135" t="n">
        <f aca="false">BB21</f>
        <v>2012</v>
      </c>
      <c r="CV85" s="136" t="n">
        <v>0</v>
      </c>
      <c r="CW85" s="137" t="n">
        <v>0</v>
      </c>
      <c r="CX85" s="137" t="n">
        <v>0</v>
      </c>
      <c r="CY85" s="137" t="n">
        <v>0</v>
      </c>
      <c r="CZ85" s="137" t="n">
        <v>0</v>
      </c>
      <c r="DA85" s="137" t="n">
        <v>0</v>
      </c>
      <c r="DB85" s="137" t="n">
        <v>0</v>
      </c>
      <c r="DC85" s="137" t="n">
        <v>0</v>
      </c>
      <c r="DD85" s="137" t="n">
        <v>0</v>
      </c>
      <c r="DE85" s="137" t="n">
        <v>0</v>
      </c>
      <c r="DF85" s="137" t="n">
        <v>0</v>
      </c>
      <c r="DG85" s="138" t="n">
        <v>0</v>
      </c>
      <c r="DI85" s="135" t="n">
        <f aca="false">BB21</f>
        <v>2012</v>
      </c>
      <c r="DJ85" s="136" t="n">
        <v>0</v>
      </c>
      <c r="DK85" s="137" t="n">
        <v>0</v>
      </c>
      <c r="DL85" s="137" t="n">
        <v>0</v>
      </c>
      <c r="DM85" s="137" t="n">
        <v>0</v>
      </c>
      <c r="DN85" s="137" t="n">
        <v>0</v>
      </c>
      <c r="DO85" s="137" t="n">
        <v>0</v>
      </c>
      <c r="DP85" s="137" t="n">
        <v>0</v>
      </c>
      <c r="DQ85" s="137" t="n">
        <v>0</v>
      </c>
      <c r="DR85" s="137" t="n">
        <v>0</v>
      </c>
      <c r="DS85" s="137" t="n">
        <v>0</v>
      </c>
      <c r="DT85" s="137" t="n">
        <v>0</v>
      </c>
      <c r="DU85" s="138" t="n">
        <v>0</v>
      </c>
    </row>
    <row r="86" customFormat="false" ht="12.75" hidden="false" customHeight="false" outlineLevel="0" collapsed="false">
      <c r="A86" s="0" t="n">
        <f aca="true">IF(ISERROR(MATCH(D86,iRefDt,0)),"",MATCH(D86,iRefDt,0))</f>
        <v>77</v>
      </c>
      <c r="B86" s="92" t="n">
        <f aca="false">MATCH(YEAR(D86),iSpreads)</f>
        <v>5</v>
      </c>
      <c r="C86" s="0" t="n">
        <f aca="false">MONTH(D86)</f>
        <v>6</v>
      </c>
      <c r="D86" s="93" t="n">
        <f aca="false">+EnergyCurve!D86</f>
        <v>38504</v>
      </c>
      <c r="E86" s="94" t="n">
        <f aca="false">VLOOKUP($D86,tblPriorPrice,2)</f>
        <v>41.5999984741211</v>
      </c>
      <c r="F86" s="95" t="n">
        <f aca="false">G86-E86</f>
        <v>1.52587890767109E-006</v>
      </c>
      <c r="G86" s="264" t="n">
        <f aca="false">IF(EnergyCurve!G86&lt;200,0.001*EnergyCurve!G86+1,1.2)*EnergyCurve!G86</f>
        <v>41.6</v>
      </c>
      <c r="H86" s="96" t="n">
        <f aca="false">IF(EnergyCurve!H86&lt;200,0.001*EnergyCurve!H86+1,1.2)*EnergyCurve!H86</f>
        <v>36.225</v>
      </c>
      <c r="I86" s="96" t="n">
        <f aca="false">IF(EnergyCurve!I86&lt;200,0.001*EnergyCurve!I86+1,1.2)*EnergyCurve!I86</f>
        <v>58.025</v>
      </c>
      <c r="J86" s="94" t="n">
        <f aca="false">VLOOKUP($D86,tblPriorPrice,3)</f>
        <v>0</v>
      </c>
      <c r="K86" s="95" t="n">
        <f aca="false">L86-J86</f>
        <v>0</v>
      </c>
      <c r="L86" s="264" t="n">
        <v>0</v>
      </c>
      <c r="M86" s="96" t="n">
        <f aca="false">L86</f>
        <v>0</v>
      </c>
      <c r="N86" s="96" t="n">
        <f aca="false">L86</f>
        <v>0</v>
      </c>
      <c r="O86" s="58" t="n">
        <f aca="true">IF($A86="",0,INDEX(tblPosn,$A86,2))</f>
        <v>0</v>
      </c>
      <c r="P86" s="59" t="n">
        <f aca="true">IF($A86="",0,INDEX(tblPosn,$A86,3))</f>
        <v>0</v>
      </c>
      <c r="Q86" s="59" t="n">
        <f aca="true">IF($A86="",0,INDEX(tblPosn,$A86,4))</f>
        <v>0</v>
      </c>
      <c r="R86" s="59" t="n">
        <f aca="true">IF($A86="",0,INDEX(tblPosn,$A86,5))</f>
        <v>0</v>
      </c>
      <c r="S86" s="59" t="n">
        <f aca="true">IF($A86="",0,INDEX(tblPosn,$A86,6))</f>
        <v>0</v>
      </c>
      <c r="T86" s="98" t="n">
        <f aca="false">O86*F86+P86*K86+R86*AC86+S86*AH86/0.72+Q86*X86</f>
        <v>0</v>
      </c>
      <c r="V86" s="161" t="n">
        <f aca="false">D86</f>
        <v>38504</v>
      </c>
      <c r="W86" s="94" t="n">
        <f aca="false">VLOOKUP($D86,tblPriorPrice,4)</f>
        <v>0</v>
      </c>
      <c r="X86" s="162" t="n">
        <f aca="false">Y86-W86</f>
        <v>0</v>
      </c>
      <c r="Y86" s="176" t="n">
        <f aca="false">L86</f>
        <v>0</v>
      </c>
      <c r="Z86" s="177" t="n">
        <f aca="false">Y86</f>
        <v>0</v>
      </c>
      <c r="AA86" s="177" t="n">
        <f aca="false">Y86</f>
        <v>0</v>
      </c>
      <c r="AB86" s="94" t="n">
        <f aca="false">VLOOKUP($D86,tblPriorPrice,5)</f>
        <v>0</v>
      </c>
      <c r="AC86" s="162" t="n">
        <f aca="false">AD86-AB86</f>
        <v>0</v>
      </c>
      <c r="AD86" s="176" t="n">
        <f aca="false">L86</f>
        <v>0</v>
      </c>
      <c r="AE86" s="96" t="n">
        <f aca="false">AD86</f>
        <v>0</v>
      </c>
      <c r="AF86" s="97" t="n">
        <f aca="false">AD86</f>
        <v>0</v>
      </c>
      <c r="AG86" s="94" t="n">
        <f aca="false">VLOOKUP($D86,tblPriorPrice,6)</f>
        <v>0</v>
      </c>
      <c r="AH86" s="182"/>
      <c r="AI86" s="189" t="n">
        <f aca="false">AG86+AH86</f>
        <v>0</v>
      </c>
      <c r="AJ86" s="96" t="n">
        <f aca="false">AI86</f>
        <v>0</v>
      </c>
      <c r="AK86" s="97" t="n">
        <f aca="false">AI86</f>
        <v>0</v>
      </c>
      <c r="AL86" s="178" t="n">
        <v>18</v>
      </c>
      <c r="AM86" s="165" t="n">
        <v>0.4</v>
      </c>
      <c r="AN86" s="166" t="n">
        <f aca="false">EnergyCurve!AN86*2</f>
        <v>0.49</v>
      </c>
      <c r="AO86" s="166" t="n">
        <f aca="false">EnergyCurve!AO86</f>
        <v>0.2205</v>
      </c>
      <c r="AP86" s="166" t="n">
        <f aca="false">AN86*1.25</f>
        <v>0.6125</v>
      </c>
      <c r="AQ86" s="166" t="n">
        <f aca="false">EnergyCurve!AQ86*2</f>
        <v>0.49</v>
      </c>
      <c r="AR86" s="166" t="n">
        <f aca="false">EnergyCurve!AR86</f>
        <v>0.196</v>
      </c>
      <c r="AS86" s="166" t="n">
        <f aca="false">EnergyCurve!AS86*1.25</f>
        <v>0.3675</v>
      </c>
      <c r="AT86" s="168" t="n">
        <f aca="false">EnergyCurve!AT86*2*2</f>
        <v>8.54899422815716</v>
      </c>
      <c r="AU86" s="169" t="n">
        <f aca="false">EnergyCurve!AU86</f>
        <v>-0.534312139259822</v>
      </c>
      <c r="AV86" s="169" t="n">
        <f aca="false">AT86*1.25</f>
        <v>10.6862427851964</v>
      </c>
      <c r="AW86" s="168" t="n">
        <f aca="false">EnergyCurve!AW86*2*2</f>
        <v>9.4566</v>
      </c>
      <c r="AX86" s="169" t="n">
        <f aca="false">EnergyCurve!AX86</f>
        <v>-0.5910375</v>
      </c>
      <c r="AY86" s="169" t="n">
        <f aca="false">AW86*1.25</f>
        <v>11.82075</v>
      </c>
      <c r="AZ86" s="167" t="n">
        <v>0</v>
      </c>
      <c r="BA86" s="74"/>
      <c r="BB86" s="208" t="n">
        <v>11</v>
      </c>
      <c r="BC86" s="209"/>
      <c r="BD86" s="210"/>
      <c r="BE86" s="211"/>
      <c r="BF86" s="212"/>
      <c r="BG86" s="210"/>
      <c r="BH86" s="211"/>
      <c r="BI86" s="209"/>
      <c r="BJ86" s="210"/>
      <c r="BK86" s="211"/>
      <c r="BL86" s="212"/>
      <c r="BM86" s="210"/>
      <c r="BN86" s="211"/>
      <c r="BQ86" s="108" t="n">
        <v>36907.7428240741</v>
      </c>
      <c r="BR86" s="109" t="n">
        <v>36907.7434490741</v>
      </c>
      <c r="BS86" s="110" t="n">
        <v>38718</v>
      </c>
      <c r="BT86" s="111" t="n">
        <v>0</v>
      </c>
      <c r="BU86" s="112" t="n">
        <v>0</v>
      </c>
      <c r="BV86" s="112" t="n">
        <v>0</v>
      </c>
      <c r="BW86" s="112" t="n">
        <v>0</v>
      </c>
      <c r="BX86" s="113" t="n">
        <v>0</v>
      </c>
      <c r="BZ86" s="110" t="n">
        <v>38504</v>
      </c>
      <c r="CA86" s="116" t="n">
        <v>41.5999984741211</v>
      </c>
      <c r="CB86" s="116" t="n">
        <v>0</v>
      </c>
      <c r="CC86" s="116" t="n">
        <v>0</v>
      </c>
      <c r="CD86" s="116" t="n">
        <v>0</v>
      </c>
      <c r="CE86" s="117" t="n">
        <v>0</v>
      </c>
      <c r="CG86" s="135" t="n">
        <f aca="false">BB22</f>
        <v>2013</v>
      </c>
      <c r="CH86" s="136" t="n">
        <v>0</v>
      </c>
      <c r="CI86" s="137" t="n">
        <v>0</v>
      </c>
      <c r="CJ86" s="137" t="n">
        <v>0</v>
      </c>
      <c r="CK86" s="137" t="n">
        <v>0</v>
      </c>
      <c r="CL86" s="137" t="n">
        <v>0</v>
      </c>
      <c r="CM86" s="137" t="n">
        <v>0</v>
      </c>
      <c r="CN86" s="137" t="n">
        <v>0</v>
      </c>
      <c r="CO86" s="137" t="n">
        <v>0</v>
      </c>
      <c r="CP86" s="137" t="n">
        <v>0</v>
      </c>
      <c r="CQ86" s="137" t="n">
        <v>0</v>
      </c>
      <c r="CR86" s="137" t="n">
        <v>0</v>
      </c>
      <c r="CS86" s="138" t="n">
        <v>0</v>
      </c>
      <c r="CU86" s="135" t="n">
        <f aca="false">BB22</f>
        <v>2013</v>
      </c>
      <c r="CV86" s="136" t="n">
        <v>0</v>
      </c>
      <c r="CW86" s="137" t="n">
        <v>0</v>
      </c>
      <c r="CX86" s="137" t="n">
        <v>0</v>
      </c>
      <c r="CY86" s="137" t="n">
        <v>0</v>
      </c>
      <c r="CZ86" s="137" t="n">
        <v>0</v>
      </c>
      <c r="DA86" s="137" t="n">
        <v>0</v>
      </c>
      <c r="DB86" s="137" t="n">
        <v>0</v>
      </c>
      <c r="DC86" s="137" t="n">
        <v>0</v>
      </c>
      <c r="DD86" s="137" t="n">
        <v>0</v>
      </c>
      <c r="DE86" s="137" t="n">
        <v>0</v>
      </c>
      <c r="DF86" s="137" t="n">
        <v>0</v>
      </c>
      <c r="DG86" s="138" t="n">
        <v>0</v>
      </c>
      <c r="DI86" s="135" t="n">
        <f aca="false">BB22</f>
        <v>2013</v>
      </c>
      <c r="DJ86" s="136" t="n">
        <v>0</v>
      </c>
      <c r="DK86" s="137" t="n">
        <v>0</v>
      </c>
      <c r="DL86" s="137" t="n">
        <v>0</v>
      </c>
      <c r="DM86" s="137" t="n">
        <v>0</v>
      </c>
      <c r="DN86" s="137" t="n">
        <v>0</v>
      </c>
      <c r="DO86" s="137" t="n">
        <v>0</v>
      </c>
      <c r="DP86" s="137" t="n">
        <v>0</v>
      </c>
      <c r="DQ86" s="137" t="n">
        <v>0</v>
      </c>
      <c r="DR86" s="137" t="n">
        <v>0</v>
      </c>
      <c r="DS86" s="137" t="n">
        <v>0</v>
      </c>
      <c r="DT86" s="137" t="n">
        <v>0</v>
      </c>
      <c r="DU86" s="138" t="n">
        <v>0</v>
      </c>
    </row>
    <row r="87" customFormat="false" ht="12.75" hidden="false" customHeight="false" outlineLevel="0" collapsed="false">
      <c r="A87" s="0" t="n">
        <f aca="true">IF(ISERROR(MATCH(D87,iRefDt,0)),"",MATCH(D87,iRefDt,0))</f>
        <v>78</v>
      </c>
      <c r="B87" s="92" t="n">
        <f aca="false">MATCH(YEAR(D87),iSpreads)</f>
        <v>5</v>
      </c>
      <c r="C87" s="0" t="n">
        <f aca="false">MONTH(D87)</f>
        <v>7</v>
      </c>
      <c r="D87" s="93" t="n">
        <f aca="false">+EnergyCurve!D87</f>
        <v>38534</v>
      </c>
      <c r="E87" s="94" t="n">
        <f aca="false">VLOOKUP($D87,tblPriorPrice,2)</f>
        <v>53.601001739502</v>
      </c>
      <c r="F87" s="95" t="n">
        <f aca="false">G87-E87</f>
        <v>-1.73950195403449E-006</v>
      </c>
      <c r="G87" s="264" t="n">
        <f aca="false">IF(EnergyCurve!G87&lt;200,0.001*EnergyCurve!G87+1,1.2)*EnergyCurve!G87</f>
        <v>53.601</v>
      </c>
      <c r="H87" s="96" t="n">
        <f aca="false">IF(EnergyCurve!H87&lt;200,0.001*EnergyCurve!H87+1,1.2)*EnergyCurve!H87</f>
        <v>48.116</v>
      </c>
      <c r="I87" s="96" t="n">
        <f aca="false">IF(EnergyCurve!I87&lt;200,0.001*EnergyCurve!I87+1,1.2)*EnergyCurve!I87</f>
        <v>70.356</v>
      </c>
      <c r="J87" s="94" t="n">
        <f aca="false">VLOOKUP($D87,tblPriorPrice,3)</f>
        <v>0</v>
      </c>
      <c r="K87" s="95" t="n">
        <f aca="false">L87-J87</f>
        <v>0</v>
      </c>
      <c r="L87" s="264" t="n">
        <v>0</v>
      </c>
      <c r="M87" s="96" t="n">
        <f aca="false">L87</f>
        <v>0</v>
      </c>
      <c r="N87" s="96" t="n">
        <f aca="false">L87</f>
        <v>0</v>
      </c>
      <c r="O87" s="58" t="n">
        <f aca="true">IF($A87="",0,INDEX(tblPosn,$A87,2))</f>
        <v>0</v>
      </c>
      <c r="P87" s="59" t="n">
        <f aca="true">IF($A87="",0,INDEX(tblPosn,$A87,3))</f>
        <v>0</v>
      </c>
      <c r="Q87" s="59" t="n">
        <f aca="true">IF($A87="",0,INDEX(tblPosn,$A87,4))</f>
        <v>0</v>
      </c>
      <c r="R87" s="59" t="n">
        <f aca="true">IF($A87="",0,INDEX(tblPosn,$A87,5))</f>
        <v>0</v>
      </c>
      <c r="S87" s="59" t="n">
        <f aca="true">IF($A87="",0,INDEX(tblPosn,$A87,6))</f>
        <v>0</v>
      </c>
      <c r="T87" s="98" t="n">
        <f aca="false">O87*F87+P87*K87+R87*AC87+S87*AH87/0.72+Q87*X87</f>
        <v>0</v>
      </c>
      <c r="V87" s="161" t="n">
        <f aca="false">D87</f>
        <v>38534</v>
      </c>
      <c r="W87" s="94" t="n">
        <f aca="false">VLOOKUP($D87,tblPriorPrice,4)</f>
        <v>0</v>
      </c>
      <c r="X87" s="162" t="n">
        <f aca="false">Y87-W87</f>
        <v>0</v>
      </c>
      <c r="Y87" s="176" t="n">
        <f aca="false">L87</f>
        <v>0</v>
      </c>
      <c r="Z87" s="177" t="n">
        <f aca="false">Y87</f>
        <v>0</v>
      </c>
      <c r="AA87" s="177" t="n">
        <f aca="false">Y87</f>
        <v>0</v>
      </c>
      <c r="AB87" s="94" t="n">
        <f aca="false">VLOOKUP($D87,tblPriorPrice,5)</f>
        <v>0</v>
      </c>
      <c r="AC87" s="162" t="n">
        <f aca="false">AD87-AB87</f>
        <v>0</v>
      </c>
      <c r="AD87" s="176" t="n">
        <f aca="false">L87</f>
        <v>0</v>
      </c>
      <c r="AE87" s="96" t="n">
        <f aca="false">AD87</f>
        <v>0</v>
      </c>
      <c r="AF87" s="97" t="n">
        <f aca="false">AD87</f>
        <v>0</v>
      </c>
      <c r="AG87" s="94" t="n">
        <f aca="false">VLOOKUP($D87,tblPriorPrice,6)</f>
        <v>0</v>
      </c>
      <c r="AH87" s="182"/>
      <c r="AI87" s="189" t="n">
        <f aca="false">AG87+AH87</f>
        <v>0</v>
      </c>
      <c r="AJ87" s="96" t="n">
        <f aca="false">AI87</f>
        <v>0</v>
      </c>
      <c r="AK87" s="97" t="n">
        <f aca="false">AI87</f>
        <v>0</v>
      </c>
      <c r="AL87" s="178" t="n">
        <v>19</v>
      </c>
      <c r="AM87" s="165" t="n">
        <v>0.4</v>
      </c>
      <c r="AN87" s="166" t="n">
        <f aca="false">EnergyCurve!AN87*2</f>
        <v>0.49</v>
      </c>
      <c r="AO87" s="166" t="n">
        <f aca="false">EnergyCurve!AO87</f>
        <v>0.2205</v>
      </c>
      <c r="AP87" s="166" t="n">
        <f aca="false">AN87*1.25</f>
        <v>0.6125</v>
      </c>
      <c r="AQ87" s="166" t="n">
        <f aca="false">EnergyCurve!AQ87*2</f>
        <v>0.49</v>
      </c>
      <c r="AR87" s="166" t="n">
        <f aca="false">EnergyCurve!AR87</f>
        <v>0.196</v>
      </c>
      <c r="AS87" s="166" t="n">
        <f aca="false">EnergyCurve!AS87*1.25</f>
        <v>0.3675</v>
      </c>
      <c r="AT87" s="168" t="n">
        <f aca="false">EnergyCurve!AT87*2*2</f>
        <v>12.069891976293</v>
      </c>
      <c r="AU87" s="169" t="n">
        <f aca="false">EnergyCurve!AU87</f>
        <v>-0.754368248518309</v>
      </c>
      <c r="AV87" s="169" t="n">
        <f aca="false">AT87*1.25</f>
        <v>15.0873649703662</v>
      </c>
      <c r="AW87" s="168" t="n">
        <f aca="false">EnergyCurve!AW87*2*2</f>
        <v>9.3624</v>
      </c>
      <c r="AX87" s="169" t="n">
        <f aca="false">EnergyCurve!AX87</f>
        <v>-0.58515</v>
      </c>
      <c r="AY87" s="169" t="n">
        <f aca="false">AW87*1.25</f>
        <v>11.703</v>
      </c>
      <c r="AZ87" s="167" t="n">
        <v>0</v>
      </c>
      <c r="BA87" s="74"/>
      <c r="BB87" s="213" t="n">
        <v>12</v>
      </c>
      <c r="BC87" s="214"/>
      <c r="BD87" s="215"/>
      <c r="BE87" s="216"/>
      <c r="BF87" s="217"/>
      <c r="BG87" s="215"/>
      <c r="BH87" s="216"/>
      <c r="BI87" s="214"/>
      <c r="BJ87" s="215"/>
      <c r="BK87" s="216"/>
      <c r="BL87" s="217"/>
      <c r="BM87" s="215"/>
      <c r="BN87" s="216"/>
      <c r="BQ87" s="108" t="n">
        <v>36907.7428240741</v>
      </c>
      <c r="BR87" s="109" t="n">
        <v>36907.7434490741</v>
      </c>
      <c r="BS87" s="110" t="n">
        <v>38749</v>
      </c>
      <c r="BT87" s="111" t="n">
        <v>0</v>
      </c>
      <c r="BU87" s="112" t="n">
        <v>0</v>
      </c>
      <c r="BV87" s="112" t="n">
        <v>0</v>
      </c>
      <c r="BW87" s="112" t="n">
        <v>0</v>
      </c>
      <c r="BX87" s="113" t="n">
        <v>0</v>
      </c>
      <c r="BZ87" s="110" t="n">
        <v>38534</v>
      </c>
      <c r="CA87" s="116" t="n">
        <v>53.601001739502</v>
      </c>
      <c r="CB87" s="116" t="n">
        <v>0</v>
      </c>
      <c r="CC87" s="116" t="n">
        <v>0</v>
      </c>
      <c r="CD87" s="116" t="n">
        <v>0</v>
      </c>
      <c r="CE87" s="117" t="n">
        <v>0</v>
      </c>
      <c r="CG87" s="135" t="n">
        <f aca="false">BB23</f>
        <v>2014</v>
      </c>
      <c r="CH87" s="136" t="n">
        <v>0</v>
      </c>
      <c r="CI87" s="137" t="n">
        <v>0</v>
      </c>
      <c r="CJ87" s="137" t="n">
        <v>0</v>
      </c>
      <c r="CK87" s="137" t="n">
        <v>0</v>
      </c>
      <c r="CL87" s="137" t="n">
        <v>0</v>
      </c>
      <c r="CM87" s="137" t="n">
        <v>0</v>
      </c>
      <c r="CN87" s="137" t="n">
        <v>0</v>
      </c>
      <c r="CO87" s="137" t="n">
        <v>0</v>
      </c>
      <c r="CP87" s="137" t="n">
        <v>0</v>
      </c>
      <c r="CQ87" s="137" t="n">
        <v>0</v>
      </c>
      <c r="CR87" s="137" t="n">
        <v>0</v>
      </c>
      <c r="CS87" s="138" t="n">
        <v>0</v>
      </c>
      <c r="CU87" s="135" t="n">
        <f aca="false">BB23</f>
        <v>2014</v>
      </c>
      <c r="CV87" s="136" t="n">
        <v>0</v>
      </c>
      <c r="CW87" s="137" t="n">
        <v>0</v>
      </c>
      <c r="CX87" s="137" t="n">
        <v>0</v>
      </c>
      <c r="CY87" s="137" t="n">
        <v>0</v>
      </c>
      <c r="CZ87" s="137" t="n">
        <v>0</v>
      </c>
      <c r="DA87" s="137" t="n">
        <v>0</v>
      </c>
      <c r="DB87" s="137" t="n">
        <v>0</v>
      </c>
      <c r="DC87" s="137" t="n">
        <v>0</v>
      </c>
      <c r="DD87" s="137" t="n">
        <v>0</v>
      </c>
      <c r="DE87" s="137" t="n">
        <v>0</v>
      </c>
      <c r="DF87" s="137" t="n">
        <v>0</v>
      </c>
      <c r="DG87" s="138" t="n">
        <v>0</v>
      </c>
      <c r="DI87" s="135" t="n">
        <f aca="false">BB23</f>
        <v>2014</v>
      </c>
      <c r="DJ87" s="136" t="n">
        <v>0</v>
      </c>
      <c r="DK87" s="137" t="n">
        <v>0</v>
      </c>
      <c r="DL87" s="137" t="n">
        <v>0</v>
      </c>
      <c r="DM87" s="137" t="n">
        <v>0</v>
      </c>
      <c r="DN87" s="137" t="n">
        <v>0</v>
      </c>
      <c r="DO87" s="137" t="n">
        <v>0</v>
      </c>
      <c r="DP87" s="137" t="n">
        <v>0</v>
      </c>
      <c r="DQ87" s="137" t="n">
        <v>0</v>
      </c>
      <c r="DR87" s="137" t="n">
        <v>0</v>
      </c>
      <c r="DS87" s="137" t="n">
        <v>0</v>
      </c>
      <c r="DT87" s="137" t="n">
        <v>0</v>
      </c>
      <c r="DU87" s="138" t="n">
        <v>0</v>
      </c>
    </row>
    <row r="88" customFormat="false" ht="12.75" hidden="false" customHeight="false" outlineLevel="0" collapsed="false">
      <c r="A88" s="0" t="n">
        <f aca="true">IF(ISERROR(MATCH(D88,iRefDt,0)),"",MATCH(D88,iRefDt,0))</f>
        <v>79</v>
      </c>
      <c r="B88" s="92" t="n">
        <f aca="false">MATCH(YEAR(D88),iSpreads)</f>
        <v>5</v>
      </c>
      <c r="C88" s="0" t="n">
        <f aca="false">MONTH(D88)</f>
        <v>8</v>
      </c>
      <c r="D88" s="93" t="n">
        <f aca="false">+EnergyCurve!D88</f>
        <v>38565</v>
      </c>
      <c r="E88" s="94" t="n">
        <f aca="false">VLOOKUP($D88,tblPriorPrice,2)</f>
        <v>77.1839981079102</v>
      </c>
      <c r="F88" s="95" t="n">
        <f aca="false">G88-E88</f>
        <v>1.89208984124889E-006</v>
      </c>
      <c r="G88" s="264" t="n">
        <f aca="false">IF(EnergyCurve!G88&lt;200,0.001*EnergyCurve!G88+1,1.2)*EnergyCurve!G88</f>
        <v>77.184</v>
      </c>
      <c r="H88" s="96" t="n">
        <f aca="false">IF(EnergyCurve!H88&lt;200,0.001*EnergyCurve!H88+1,1.2)*EnergyCurve!H88</f>
        <v>71.489</v>
      </c>
      <c r="I88" s="96" t="n">
        <f aca="false">IF(EnergyCurve!I88&lt;200,0.001*EnergyCurve!I88+1,1.2)*EnergyCurve!I88</f>
        <v>94.569</v>
      </c>
      <c r="J88" s="94" t="n">
        <f aca="false">VLOOKUP($D88,tblPriorPrice,3)</f>
        <v>0</v>
      </c>
      <c r="K88" s="95" t="n">
        <f aca="false">L88-J88</f>
        <v>0</v>
      </c>
      <c r="L88" s="264" t="n">
        <v>0</v>
      </c>
      <c r="M88" s="96" t="n">
        <f aca="false">L88</f>
        <v>0</v>
      </c>
      <c r="N88" s="96" t="n">
        <f aca="false">L88</f>
        <v>0</v>
      </c>
      <c r="O88" s="58" t="n">
        <f aca="true">IF($A88="",0,INDEX(tblPosn,$A88,2))</f>
        <v>0</v>
      </c>
      <c r="P88" s="59" t="n">
        <f aca="true">IF($A88="",0,INDEX(tblPosn,$A88,3))</f>
        <v>0</v>
      </c>
      <c r="Q88" s="59" t="n">
        <f aca="true">IF($A88="",0,INDEX(tblPosn,$A88,4))</f>
        <v>0</v>
      </c>
      <c r="R88" s="59" t="n">
        <f aca="true">IF($A88="",0,INDEX(tblPosn,$A88,5))</f>
        <v>0</v>
      </c>
      <c r="S88" s="59" t="n">
        <f aca="true">IF($A88="",0,INDEX(tblPosn,$A88,6))</f>
        <v>0</v>
      </c>
      <c r="T88" s="98" t="n">
        <f aca="false">O88*F88+P88*K88+R88*AC88+S88*AH88/0.72+Q88*X88</f>
        <v>0</v>
      </c>
      <c r="V88" s="161" t="n">
        <f aca="false">D88</f>
        <v>38565</v>
      </c>
      <c r="W88" s="94" t="n">
        <f aca="false">VLOOKUP($D88,tblPriorPrice,4)</f>
        <v>0</v>
      </c>
      <c r="X88" s="162" t="n">
        <f aca="false">Y88-W88</f>
        <v>0</v>
      </c>
      <c r="Y88" s="176" t="n">
        <f aca="false">L88</f>
        <v>0</v>
      </c>
      <c r="Z88" s="177" t="n">
        <f aca="false">Y88</f>
        <v>0</v>
      </c>
      <c r="AA88" s="177" t="n">
        <f aca="false">Y88</f>
        <v>0</v>
      </c>
      <c r="AB88" s="94" t="n">
        <f aca="false">VLOOKUP($D88,tblPriorPrice,5)</f>
        <v>0</v>
      </c>
      <c r="AC88" s="162" t="n">
        <f aca="false">AD88-AB88</f>
        <v>0</v>
      </c>
      <c r="AD88" s="176" t="n">
        <f aca="false">L88</f>
        <v>0</v>
      </c>
      <c r="AE88" s="96" t="n">
        <f aca="false">AD88</f>
        <v>0</v>
      </c>
      <c r="AF88" s="97" t="n">
        <f aca="false">AD88</f>
        <v>0</v>
      </c>
      <c r="AG88" s="94" t="n">
        <f aca="false">VLOOKUP($D88,tblPriorPrice,6)</f>
        <v>0</v>
      </c>
      <c r="AH88" s="182"/>
      <c r="AI88" s="189" t="n">
        <f aca="false">AG88+AH88</f>
        <v>0</v>
      </c>
      <c r="AJ88" s="96" t="n">
        <f aca="false">AI88</f>
        <v>0</v>
      </c>
      <c r="AK88" s="97" t="n">
        <f aca="false">AI88</f>
        <v>0</v>
      </c>
      <c r="AL88" s="178" t="n">
        <v>19</v>
      </c>
      <c r="AM88" s="165" t="n">
        <v>0.4</v>
      </c>
      <c r="AN88" s="166" t="n">
        <f aca="false">EnergyCurve!AN88*2</f>
        <v>0.49</v>
      </c>
      <c r="AO88" s="166" t="n">
        <f aca="false">EnergyCurve!AO88</f>
        <v>0.2205</v>
      </c>
      <c r="AP88" s="166" t="n">
        <f aca="false">AN88*1.25</f>
        <v>0.6125</v>
      </c>
      <c r="AQ88" s="166" t="n">
        <f aca="false">EnergyCurve!AQ88*2</f>
        <v>0.49</v>
      </c>
      <c r="AR88" s="166" t="n">
        <f aca="false">EnergyCurve!AR88</f>
        <v>0.196</v>
      </c>
      <c r="AS88" s="166" t="n">
        <f aca="false">EnergyCurve!AS88*1.25</f>
        <v>0.3675</v>
      </c>
      <c r="AT88" s="168" t="n">
        <f aca="false">EnergyCurve!AT88*2*2</f>
        <v>19.7947501140894</v>
      </c>
      <c r="AU88" s="169" t="n">
        <f aca="false">EnergyCurve!AU88</f>
        <v>-1.23717188213058</v>
      </c>
      <c r="AV88" s="169" t="n">
        <f aca="false">AT88*1.25</f>
        <v>24.7434376426117</v>
      </c>
      <c r="AW88" s="168" t="n">
        <f aca="false">EnergyCurve!AW88*2*2</f>
        <v>9.2682</v>
      </c>
      <c r="AX88" s="169" t="n">
        <f aca="false">EnergyCurve!AX88</f>
        <v>-0.5792625</v>
      </c>
      <c r="AY88" s="169" t="n">
        <f aca="false">AW88*1.25</f>
        <v>11.58525</v>
      </c>
      <c r="AZ88" s="167" t="n">
        <v>0</v>
      </c>
      <c r="BA88" s="74"/>
      <c r="BQ88" s="108" t="n">
        <v>36907.7428240741</v>
      </c>
      <c r="BR88" s="109" t="n">
        <v>36907.7434490741</v>
      </c>
      <c r="BS88" s="110" t="n">
        <v>38777</v>
      </c>
      <c r="BT88" s="111" t="n">
        <v>0</v>
      </c>
      <c r="BU88" s="112" t="n">
        <v>0</v>
      </c>
      <c r="BV88" s="112" t="n">
        <v>0</v>
      </c>
      <c r="BW88" s="112" t="n">
        <v>0</v>
      </c>
      <c r="BX88" s="113" t="n">
        <v>0</v>
      </c>
      <c r="BZ88" s="110" t="n">
        <v>38565</v>
      </c>
      <c r="CA88" s="116" t="n">
        <v>77.1839981079102</v>
      </c>
      <c r="CB88" s="116" t="n">
        <v>0</v>
      </c>
      <c r="CC88" s="116" t="n">
        <v>0</v>
      </c>
      <c r="CD88" s="116" t="n">
        <v>0</v>
      </c>
      <c r="CE88" s="117" t="n">
        <v>0</v>
      </c>
      <c r="CG88" s="135" t="n">
        <f aca="false">BB24</f>
        <v>2015</v>
      </c>
      <c r="CH88" s="136" t="n">
        <v>0</v>
      </c>
      <c r="CI88" s="137" t="n">
        <v>0</v>
      </c>
      <c r="CJ88" s="137" t="n">
        <v>0</v>
      </c>
      <c r="CK88" s="137" t="n">
        <v>0</v>
      </c>
      <c r="CL88" s="137" t="n">
        <v>0</v>
      </c>
      <c r="CM88" s="137" t="n">
        <v>0</v>
      </c>
      <c r="CN88" s="137" t="n">
        <v>0</v>
      </c>
      <c r="CO88" s="137" t="n">
        <v>0</v>
      </c>
      <c r="CP88" s="137" t="n">
        <v>0</v>
      </c>
      <c r="CQ88" s="137" t="n">
        <v>0</v>
      </c>
      <c r="CR88" s="137" t="n">
        <v>0</v>
      </c>
      <c r="CS88" s="138" t="n">
        <v>0</v>
      </c>
      <c r="CU88" s="135" t="n">
        <f aca="false">BB24</f>
        <v>2015</v>
      </c>
      <c r="CV88" s="136" t="n">
        <v>0</v>
      </c>
      <c r="CW88" s="137" t="n">
        <v>0</v>
      </c>
      <c r="CX88" s="137" t="n">
        <v>0</v>
      </c>
      <c r="CY88" s="137" t="n">
        <v>0</v>
      </c>
      <c r="CZ88" s="137" t="n">
        <v>0</v>
      </c>
      <c r="DA88" s="137" t="n">
        <v>0</v>
      </c>
      <c r="DB88" s="137" t="n">
        <v>0</v>
      </c>
      <c r="DC88" s="137" t="n">
        <v>0</v>
      </c>
      <c r="DD88" s="137" t="n">
        <v>0</v>
      </c>
      <c r="DE88" s="137" t="n">
        <v>0</v>
      </c>
      <c r="DF88" s="137" t="n">
        <v>0</v>
      </c>
      <c r="DG88" s="138" t="n">
        <v>0</v>
      </c>
      <c r="DI88" s="135" t="n">
        <f aca="false">BB24</f>
        <v>2015</v>
      </c>
      <c r="DJ88" s="136" t="n">
        <v>0</v>
      </c>
      <c r="DK88" s="137" t="n">
        <v>0</v>
      </c>
      <c r="DL88" s="137" t="n">
        <v>0</v>
      </c>
      <c r="DM88" s="137" t="n">
        <v>0</v>
      </c>
      <c r="DN88" s="137" t="n">
        <v>0</v>
      </c>
      <c r="DO88" s="137" t="n">
        <v>0</v>
      </c>
      <c r="DP88" s="137" t="n">
        <v>0</v>
      </c>
      <c r="DQ88" s="137" t="n">
        <v>0</v>
      </c>
      <c r="DR88" s="137" t="n">
        <v>0</v>
      </c>
      <c r="DS88" s="137" t="n">
        <v>0</v>
      </c>
      <c r="DT88" s="137" t="n">
        <v>0</v>
      </c>
      <c r="DU88" s="138" t="n">
        <v>0</v>
      </c>
    </row>
    <row r="89" customFormat="false" ht="12.75" hidden="false" customHeight="false" outlineLevel="0" collapsed="false">
      <c r="A89" s="0" t="n">
        <f aca="true">IF(ISERROR(MATCH(D89,iRefDt,0)),"",MATCH(D89,iRefDt,0))</f>
        <v>80</v>
      </c>
      <c r="B89" s="92" t="n">
        <f aca="false">MATCH(YEAR(D89),iSpreads)</f>
        <v>5</v>
      </c>
      <c r="C89" s="0" t="n">
        <f aca="false">MONTH(D89)</f>
        <v>9</v>
      </c>
      <c r="D89" s="93" t="n">
        <f aca="false">+EnergyCurve!D89</f>
        <v>38596</v>
      </c>
      <c r="E89" s="94" t="n">
        <f aca="false">VLOOKUP($D89,tblPriorPrice,2)</f>
        <v>58.0250015258789</v>
      </c>
      <c r="F89" s="95" t="n">
        <f aca="false">G89-E89</f>
        <v>-1.52587890767109E-006</v>
      </c>
      <c r="G89" s="264" t="n">
        <f aca="false">IF(EnergyCurve!G89&lt;200,0.001*EnergyCurve!G89+1,1.2)*EnergyCurve!G89</f>
        <v>58.025</v>
      </c>
      <c r="H89" s="96" t="n">
        <f aca="false">IF(EnergyCurve!H89&lt;200,0.001*EnergyCurve!H89+1,1.2)*EnergyCurve!H89</f>
        <v>52.5</v>
      </c>
      <c r="I89" s="96" t="n">
        <f aca="false">IF(EnergyCurve!I89&lt;200,0.001*EnergyCurve!I89+1,1.2)*EnergyCurve!I89</f>
        <v>74.9</v>
      </c>
      <c r="J89" s="94" t="n">
        <f aca="false">VLOOKUP($D89,tblPriorPrice,3)</f>
        <v>0</v>
      </c>
      <c r="K89" s="95" t="n">
        <f aca="false">L89-J89</f>
        <v>0</v>
      </c>
      <c r="L89" s="264" t="n">
        <v>0</v>
      </c>
      <c r="M89" s="96" t="n">
        <f aca="false">L89</f>
        <v>0</v>
      </c>
      <c r="N89" s="96" t="n">
        <f aca="false">L89</f>
        <v>0</v>
      </c>
      <c r="O89" s="58" t="n">
        <f aca="true">IF($A89="",0,INDEX(tblPosn,$A89,2))</f>
        <v>0</v>
      </c>
      <c r="P89" s="59" t="n">
        <f aca="true">IF($A89="",0,INDEX(tblPosn,$A89,3))</f>
        <v>0</v>
      </c>
      <c r="Q89" s="59" t="n">
        <f aca="true">IF($A89="",0,INDEX(tblPosn,$A89,4))</f>
        <v>0</v>
      </c>
      <c r="R89" s="59" t="n">
        <f aca="true">IF($A89="",0,INDEX(tblPosn,$A89,5))</f>
        <v>0</v>
      </c>
      <c r="S89" s="59" t="n">
        <f aca="true">IF($A89="",0,INDEX(tblPosn,$A89,6))</f>
        <v>0</v>
      </c>
      <c r="T89" s="98" t="n">
        <f aca="false">O89*F89+P89*K89+R89*AC89+S89*AH89/0.72+Q89*X89</f>
        <v>0</v>
      </c>
      <c r="V89" s="161" t="n">
        <f aca="false">D89</f>
        <v>38596</v>
      </c>
      <c r="W89" s="94" t="n">
        <f aca="false">VLOOKUP($D89,tblPriorPrice,4)</f>
        <v>0</v>
      </c>
      <c r="X89" s="162" t="n">
        <f aca="false">Y89-W89</f>
        <v>0</v>
      </c>
      <c r="Y89" s="176" t="n">
        <f aca="false">L89</f>
        <v>0</v>
      </c>
      <c r="Z89" s="177" t="n">
        <f aca="false">Y89</f>
        <v>0</v>
      </c>
      <c r="AA89" s="177" t="n">
        <f aca="false">Y89</f>
        <v>0</v>
      </c>
      <c r="AB89" s="94" t="n">
        <f aca="false">VLOOKUP($D89,tblPriorPrice,5)</f>
        <v>0</v>
      </c>
      <c r="AC89" s="162" t="n">
        <f aca="false">AD89-AB89</f>
        <v>0</v>
      </c>
      <c r="AD89" s="176" t="n">
        <f aca="false">L89</f>
        <v>0</v>
      </c>
      <c r="AE89" s="96" t="n">
        <f aca="false">AD89</f>
        <v>0</v>
      </c>
      <c r="AF89" s="97" t="n">
        <f aca="false">AD89</f>
        <v>0</v>
      </c>
      <c r="AG89" s="94" t="n">
        <f aca="false">VLOOKUP($D89,tblPriorPrice,6)</f>
        <v>0</v>
      </c>
      <c r="AH89" s="182"/>
      <c r="AI89" s="189" t="n">
        <f aca="false">AG89+AH89</f>
        <v>0</v>
      </c>
      <c r="AJ89" s="96" t="n">
        <f aca="false">AI89</f>
        <v>0</v>
      </c>
      <c r="AK89" s="97" t="n">
        <f aca="false">AI89</f>
        <v>0</v>
      </c>
      <c r="AL89" s="178" t="n">
        <v>19</v>
      </c>
      <c r="AM89" s="165" t="n">
        <v>0.4</v>
      </c>
      <c r="AN89" s="166" t="n">
        <f aca="false">EnergyCurve!AN89*2</f>
        <v>0.49</v>
      </c>
      <c r="AO89" s="166" t="n">
        <f aca="false">EnergyCurve!AO89</f>
        <v>0.2205</v>
      </c>
      <c r="AP89" s="166" t="n">
        <f aca="false">AN89*1.25</f>
        <v>0.6125</v>
      </c>
      <c r="AQ89" s="166" t="n">
        <f aca="false">EnergyCurve!AQ89*2</f>
        <v>0.49</v>
      </c>
      <c r="AR89" s="166" t="n">
        <f aca="false">EnergyCurve!AR89</f>
        <v>0.196</v>
      </c>
      <c r="AS89" s="166" t="n">
        <f aca="false">EnergyCurve!AS89*1.25</f>
        <v>0.3675</v>
      </c>
      <c r="AT89" s="168" t="n">
        <f aca="false">EnergyCurve!AT89*2*2</f>
        <v>13.4877229102044</v>
      </c>
      <c r="AU89" s="169" t="n">
        <f aca="false">EnergyCurve!AU89</f>
        <v>-0.842982681887772</v>
      </c>
      <c r="AV89" s="169" t="n">
        <f aca="false">AT89*1.25</f>
        <v>16.8596536377554</v>
      </c>
      <c r="AW89" s="168" t="n">
        <f aca="false">EnergyCurve!AW89*2*2</f>
        <v>9.8334</v>
      </c>
      <c r="AX89" s="169" t="n">
        <f aca="false">EnergyCurve!AX89</f>
        <v>-0.6145875</v>
      </c>
      <c r="AY89" s="169" t="n">
        <f aca="false">AW89*1.25</f>
        <v>12.29175</v>
      </c>
      <c r="AZ89" s="167" t="n">
        <v>0</v>
      </c>
      <c r="BA89" s="74"/>
      <c r="BC89" s="218" t="s">
        <v>126</v>
      </c>
      <c r="BD89" s="218"/>
      <c r="BF89" s="218" t="s">
        <v>127</v>
      </c>
      <c r="BQ89" s="108" t="n">
        <v>36907.7428240741</v>
      </c>
      <c r="BR89" s="109" t="n">
        <v>36907.7434490741</v>
      </c>
      <c r="BS89" s="110" t="n">
        <v>38808</v>
      </c>
      <c r="BT89" s="111" t="n">
        <v>0</v>
      </c>
      <c r="BU89" s="112" t="n">
        <v>0</v>
      </c>
      <c r="BV89" s="112" t="n">
        <v>0</v>
      </c>
      <c r="BW89" s="112" t="n">
        <v>0</v>
      </c>
      <c r="BX89" s="113" t="n">
        <v>0</v>
      </c>
      <c r="BZ89" s="110" t="n">
        <v>38596</v>
      </c>
      <c r="CA89" s="116" t="n">
        <v>58.0250015258789</v>
      </c>
      <c r="CB89" s="116" t="n">
        <v>0</v>
      </c>
      <c r="CC89" s="116" t="n">
        <v>0</v>
      </c>
      <c r="CD89" s="116" t="n">
        <v>0</v>
      </c>
      <c r="CE89" s="117" t="n">
        <v>0</v>
      </c>
      <c r="CG89" s="135" t="n">
        <f aca="false">BB25</f>
        <v>2016</v>
      </c>
      <c r="CH89" s="136" t="n">
        <v>0</v>
      </c>
      <c r="CI89" s="137" t="n">
        <v>0</v>
      </c>
      <c r="CJ89" s="137" t="n">
        <v>0</v>
      </c>
      <c r="CK89" s="137" t="n">
        <v>0</v>
      </c>
      <c r="CL89" s="137" t="n">
        <v>0</v>
      </c>
      <c r="CM89" s="137" t="n">
        <v>0</v>
      </c>
      <c r="CN89" s="137" t="n">
        <v>0</v>
      </c>
      <c r="CO89" s="137" t="n">
        <v>0</v>
      </c>
      <c r="CP89" s="137" t="n">
        <v>0</v>
      </c>
      <c r="CQ89" s="137" t="n">
        <v>0</v>
      </c>
      <c r="CR89" s="137" t="n">
        <v>0</v>
      </c>
      <c r="CS89" s="138" t="n">
        <v>0</v>
      </c>
      <c r="CU89" s="135" t="n">
        <f aca="false">BB25</f>
        <v>2016</v>
      </c>
      <c r="CV89" s="136" t="n">
        <v>0</v>
      </c>
      <c r="CW89" s="137" t="n">
        <v>0</v>
      </c>
      <c r="CX89" s="137" t="n">
        <v>0</v>
      </c>
      <c r="CY89" s="137" t="n">
        <v>0</v>
      </c>
      <c r="CZ89" s="137" t="n">
        <v>0</v>
      </c>
      <c r="DA89" s="137" t="n">
        <v>0</v>
      </c>
      <c r="DB89" s="137" t="n">
        <v>0</v>
      </c>
      <c r="DC89" s="137" t="n">
        <v>0</v>
      </c>
      <c r="DD89" s="137" t="n">
        <v>0</v>
      </c>
      <c r="DE89" s="137" t="n">
        <v>0</v>
      </c>
      <c r="DF89" s="137" t="n">
        <v>0</v>
      </c>
      <c r="DG89" s="138" t="n">
        <v>0</v>
      </c>
      <c r="DI89" s="135" t="n">
        <f aca="false">BB25</f>
        <v>2016</v>
      </c>
      <c r="DJ89" s="136" t="n">
        <v>0</v>
      </c>
      <c r="DK89" s="137" t="n">
        <v>0</v>
      </c>
      <c r="DL89" s="137" t="n">
        <v>0</v>
      </c>
      <c r="DM89" s="137" t="n">
        <v>0</v>
      </c>
      <c r="DN89" s="137" t="n">
        <v>0</v>
      </c>
      <c r="DO89" s="137" t="n">
        <v>0</v>
      </c>
      <c r="DP89" s="137" t="n">
        <v>0</v>
      </c>
      <c r="DQ89" s="137" t="n">
        <v>0</v>
      </c>
      <c r="DR89" s="137" t="n">
        <v>0</v>
      </c>
      <c r="DS89" s="137" t="n">
        <v>0</v>
      </c>
      <c r="DT89" s="137" t="n">
        <v>0</v>
      </c>
      <c r="DU89" s="138" t="n">
        <v>0</v>
      </c>
    </row>
    <row r="90" customFormat="false" ht="12.75" hidden="false" customHeight="false" outlineLevel="0" collapsed="false">
      <c r="A90" s="0" t="n">
        <f aca="true">IF(ISERROR(MATCH(D90,iRefDt,0)),"",MATCH(D90,iRefDt,0))</f>
        <v>81</v>
      </c>
      <c r="B90" s="92" t="n">
        <f aca="false">MATCH(YEAR(D90),iSpreads)</f>
        <v>5</v>
      </c>
      <c r="C90" s="0" t="n">
        <f aca="false">MONTH(D90)</f>
        <v>10</v>
      </c>
      <c r="D90" s="93" t="n">
        <f aca="false">+EnergyCurve!D90</f>
        <v>38626</v>
      </c>
      <c r="E90" s="94" t="n">
        <f aca="false">VLOOKUP($D90,tblPriorPrice,2)</f>
        <v>39.4440002441406</v>
      </c>
      <c r="F90" s="95" t="n">
        <f aca="false">G90-E90</f>
        <v>-2.44140622385203E-007</v>
      </c>
      <c r="G90" s="264" t="n">
        <f aca="false">IF(EnergyCurve!G90&lt;200,0.001*EnergyCurve!G90+1,1.2)*EnergyCurve!G90</f>
        <v>39.444</v>
      </c>
      <c r="H90" s="96" t="n">
        <f aca="false">IF(EnergyCurve!H90&lt;200,0.001*EnergyCurve!H90+1,1.2)*EnergyCurve!H90</f>
        <v>34.089</v>
      </c>
      <c r="I90" s="96" t="n">
        <f aca="false">IF(EnergyCurve!I90&lt;200,0.001*EnergyCurve!I90+1,1.2)*EnergyCurve!I90</f>
        <v>55.809</v>
      </c>
      <c r="J90" s="94" t="n">
        <f aca="false">VLOOKUP($D90,tblPriorPrice,3)</f>
        <v>0</v>
      </c>
      <c r="K90" s="95" t="n">
        <f aca="false">L90-J90</f>
        <v>0</v>
      </c>
      <c r="L90" s="264" t="n">
        <v>0</v>
      </c>
      <c r="M90" s="96" t="n">
        <f aca="false">L90</f>
        <v>0</v>
      </c>
      <c r="N90" s="96" t="n">
        <f aca="false">L90</f>
        <v>0</v>
      </c>
      <c r="O90" s="58" t="n">
        <f aca="true">IF($A90="",0,INDEX(tblPosn,$A90,2))</f>
        <v>0</v>
      </c>
      <c r="P90" s="59" t="n">
        <f aca="true">IF($A90="",0,INDEX(tblPosn,$A90,3))</f>
        <v>0</v>
      </c>
      <c r="Q90" s="59" t="n">
        <f aca="true">IF($A90="",0,INDEX(tblPosn,$A90,4))</f>
        <v>0</v>
      </c>
      <c r="R90" s="59" t="n">
        <f aca="true">IF($A90="",0,INDEX(tblPosn,$A90,5))</f>
        <v>0</v>
      </c>
      <c r="S90" s="59" t="n">
        <f aca="true">IF($A90="",0,INDEX(tblPosn,$A90,6))</f>
        <v>0</v>
      </c>
      <c r="T90" s="98" t="n">
        <f aca="false">O90*F90+P90*K90+R90*AC90+S90*AH90/0.72+Q90*X90</f>
        <v>0</v>
      </c>
      <c r="V90" s="161" t="n">
        <f aca="false">D90</f>
        <v>38626</v>
      </c>
      <c r="W90" s="94" t="n">
        <f aca="false">VLOOKUP($D90,tblPriorPrice,4)</f>
        <v>0</v>
      </c>
      <c r="X90" s="162" t="n">
        <f aca="false">Y90-W90</f>
        <v>0</v>
      </c>
      <c r="Y90" s="176" t="n">
        <f aca="false">L90</f>
        <v>0</v>
      </c>
      <c r="Z90" s="177" t="n">
        <f aca="false">Y90</f>
        <v>0</v>
      </c>
      <c r="AA90" s="177" t="n">
        <f aca="false">Y90</f>
        <v>0</v>
      </c>
      <c r="AB90" s="94" t="n">
        <f aca="false">VLOOKUP($D90,tblPriorPrice,5)</f>
        <v>0</v>
      </c>
      <c r="AC90" s="162" t="n">
        <f aca="false">AD90-AB90</f>
        <v>0</v>
      </c>
      <c r="AD90" s="176" t="n">
        <f aca="false">L90</f>
        <v>0</v>
      </c>
      <c r="AE90" s="96" t="n">
        <f aca="false">AD90</f>
        <v>0</v>
      </c>
      <c r="AF90" s="97" t="n">
        <f aca="false">AD90</f>
        <v>0</v>
      </c>
      <c r="AG90" s="94" t="n">
        <f aca="false">VLOOKUP($D90,tblPriorPrice,6)</f>
        <v>0</v>
      </c>
      <c r="AH90" s="182"/>
      <c r="AI90" s="189" t="n">
        <f aca="false">AG90+AH90</f>
        <v>0</v>
      </c>
      <c r="AJ90" s="96" t="n">
        <f aca="false">AI90</f>
        <v>0</v>
      </c>
      <c r="AK90" s="97" t="n">
        <f aca="false">AI90</f>
        <v>0</v>
      </c>
      <c r="AL90" s="178" t="n">
        <v>20</v>
      </c>
      <c r="AM90" s="165" t="n">
        <v>0.4</v>
      </c>
      <c r="AN90" s="166" t="n">
        <f aca="false">EnergyCurve!AN90*2</f>
        <v>0.49</v>
      </c>
      <c r="AO90" s="166" t="n">
        <f aca="false">EnergyCurve!AO90</f>
        <v>0.2205</v>
      </c>
      <c r="AP90" s="166" t="n">
        <f aca="false">AN90*1.25</f>
        <v>0.6125</v>
      </c>
      <c r="AQ90" s="166" t="n">
        <f aca="false">EnergyCurve!AQ90*2</f>
        <v>0.49</v>
      </c>
      <c r="AR90" s="166" t="n">
        <f aca="false">EnergyCurve!AR90</f>
        <v>0.196</v>
      </c>
      <c r="AS90" s="166" t="n">
        <f aca="false">EnergyCurve!AS90*1.25</f>
        <v>0.3675</v>
      </c>
      <c r="AT90" s="168" t="n">
        <f aca="false">EnergyCurve!AT90*2*2</f>
        <v>8.00869790580275</v>
      </c>
      <c r="AU90" s="169" t="n">
        <f aca="false">EnergyCurve!AU90</f>
        <v>-0.500543619112672</v>
      </c>
      <c r="AV90" s="169" t="n">
        <f aca="false">AT90*1.25</f>
        <v>10.0108723822534</v>
      </c>
      <c r="AW90" s="168" t="n">
        <f aca="false">EnergyCurve!AW90*2*2</f>
        <v>9.645</v>
      </c>
      <c r="AX90" s="169" t="n">
        <f aca="false">EnergyCurve!AX90</f>
        <v>-0.6028125</v>
      </c>
      <c r="AY90" s="169" t="n">
        <f aca="false">AW90*1.25</f>
        <v>12.05625</v>
      </c>
      <c r="AZ90" s="167" t="n">
        <v>0</v>
      </c>
      <c r="BA90" s="74"/>
      <c r="BC90" s="219" t="n">
        <v>-5</v>
      </c>
      <c r="BD90" s="220" t="n">
        <v>0.015</v>
      </c>
      <c r="BF90" s="221" t="n">
        <v>1</v>
      </c>
      <c r="BQ90" s="108" t="n">
        <v>36907.7428240741</v>
      </c>
      <c r="BR90" s="109" t="n">
        <v>36907.7434490741</v>
      </c>
      <c r="BS90" s="110" t="n">
        <v>38838</v>
      </c>
      <c r="BT90" s="111" t="n">
        <v>0</v>
      </c>
      <c r="BU90" s="112" t="n">
        <v>0</v>
      </c>
      <c r="BV90" s="112" t="n">
        <v>0</v>
      </c>
      <c r="BW90" s="112" t="n">
        <v>0</v>
      </c>
      <c r="BX90" s="113" t="n">
        <v>0</v>
      </c>
      <c r="BZ90" s="110" t="n">
        <v>38626</v>
      </c>
      <c r="CA90" s="116" t="n">
        <v>39.4440002441406</v>
      </c>
      <c r="CB90" s="116" t="n">
        <v>0</v>
      </c>
      <c r="CC90" s="116" t="n">
        <v>0</v>
      </c>
      <c r="CD90" s="116" t="n">
        <v>0</v>
      </c>
      <c r="CE90" s="117" t="n">
        <v>0</v>
      </c>
      <c r="CG90" s="135" t="n">
        <f aca="false">BB26</f>
        <v>2017</v>
      </c>
      <c r="CH90" s="136" t="n">
        <v>0</v>
      </c>
      <c r="CI90" s="137" t="n">
        <v>0</v>
      </c>
      <c r="CJ90" s="137" t="n">
        <v>0</v>
      </c>
      <c r="CK90" s="137" t="n">
        <v>0</v>
      </c>
      <c r="CL90" s="137" t="n">
        <v>0</v>
      </c>
      <c r="CM90" s="137" t="n">
        <v>0</v>
      </c>
      <c r="CN90" s="137" t="n">
        <v>0</v>
      </c>
      <c r="CO90" s="137" t="n">
        <v>0</v>
      </c>
      <c r="CP90" s="137" t="n">
        <v>0</v>
      </c>
      <c r="CQ90" s="137" t="n">
        <v>0</v>
      </c>
      <c r="CR90" s="137" t="n">
        <v>0</v>
      </c>
      <c r="CS90" s="138" t="n">
        <v>0</v>
      </c>
      <c r="CU90" s="135" t="n">
        <f aca="false">BB26</f>
        <v>2017</v>
      </c>
      <c r="CV90" s="136" t="n">
        <v>0</v>
      </c>
      <c r="CW90" s="137" t="n">
        <v>0</v>
      </c>
      <c r="CX90" s="137" t="n">
        <v>0</v>
      </c>
      <c r="CY90" s="137" t="n">
        <v>0</v>
      </c>
      <c r="CZ90" s="137" t="n">
        <v>0</v>
      </c>
      <c r="DA90" s="137" t="n">
        <v>0</v>
      </c>
      <c r="DB90" s="137" t="n">
        <v>0</v>
      </c>
      <c r="DC90" s="137" t="n">
        <v>0</v>
      </c>
      <c r="DD90" s="137" t="n">
        <v>0</v>
      </c>
      <c r="DE90" s="137" t="n">
        <v>0</v>
      </c>
      <c r="DF90" s="137" t="n">
        <v>0</v>
      </c>
      <c r="DG90" s="138" t="n">
        <v>0</v>
      </c>
      <c r="DI90" s="135" t="n">
        <f aca="false">BB26</f>
        <v>2017</v>
      </c>
      <c r="DJ90" s="136" t="n">
        <v>0</v>
      </c>
      <c r="DK90" s="137" t="n">
        <v>0</v>
      </c>
      <c r="DL90" s="137" t="n">
        <v>0</v>
      </c>
      <c r="DM90" s="137" t="n">
        <v>0</v>
      </c>
      <c r="DN90" s="137" t="n">
        <v>0</v>
      </c>
      <c r="DO90" s="137" t="n">
        <v>0</v>
      </c>
      <c r="DP90" s="137" t="n">
        <v>0</v>
      </c>
      <c r="DQ90" s="137" t="n">
        <v>0</v>
      </c>
      <c r="DR90" s="137" t="n">
        <v>0</v>
      </c>
      <c r="DS90" s="137" t="n">
        <v>0</v>
      </c>
      <c r="DT90" s="137" t="n">
        <v>0</v>
      </c>
      <c r="DU90" s="138" t="n">
        <v>0</v>
      </c>
    </row>
    <row r="91" customFormat="false" ht="12.75" hidden="false" customHeight="false" outlineLevel="0" collapsed="false">
      <c r="A91" s="0" t="n">
        <f aca="true">IF(ISERROR(MATCH(D91,iRefDt,0)),"",MATCH(D91,iRefDt,0))</f>
        <v>82</v>
      </c>
      <c r="B91" s="92" t="n">
        <f aca="false">MATCH(YEAR(D91),iSpreads)</f>
        <v>5</v>
      </c>
      <c r="C91" s="0" t="n">
        <f aca="false">MONTH(D91)</f>
        <v>11</v>
      </c>
      <c r="D91" s="93" t="n">
        <f aca="false">+EnergyCurve!D91</f>
        <v>38657</v>
      </c>
      <c r="E91" s="94" t="n">
        <f aca="false">VLOOKUP($D91,tblPriorPrice,2)</f>
        <v>41.5999984741211</v>
      </c>
      <c r="F91" s="95" t="n">
        <f aca="false">G91-E91</f>
        <v>1.52587890767109E-006</v>
      </c>
      <c r="G91" s="264" t="n">
        <f aca="false">IF(EnergyCurve!G91&lt;200,0.001*EnergyCurve!G91+1,1.2)*EnergyCurve!G91</f>
        <v>41.6</v>
      </c>
      <c r="H91" s="96" t="n">
        <f aca="false">IF(EnergyCurve!H91&lt;200,0.001*EnergyCurve!H91+1,1.2)*EnergyCurve!H91</f>
        <v>36.225</v>
      </c>
      <c r="I91" s="96" t="n">
        <f aca="false">IF(EnergyCurve!I91&lt;200,0.001*EnergyCurve!I91+1,1.2)*EnergyCurve!I91</f>
        <v>58.025</v>
      </c>
      <c r="J91" s="94" t="n">
        <f aca="false">VLOOKUP($D91,tblPriorPrice,3)</f>
        <v>0</v>
      </c>
      <c r="K91" s="95" t="n">
        <f aca="false">L91-J91</f>
        <v>0</v>
      </c>
      <c r="L91" s="264" t="n">
        <v>0</v>
      </c>
      <c r="M91" s="96" t="n">
        <f aca="false">L91</f>
        <v>0</v>
      </c>
      <c r="N91" s="96" t="n">
        <f aca="false">L91</f>
        <v>0</v>
      </c>
      <c r="O91" s="58" t="n">
        <f aca="true">IF($A91="",0,INDEX(tblPosn,$A91,2))</f>
        <v>0</v>
      </c>
      <c r="P91" s="59" t="n">
        <f aca="true">IF($A91="",0,INDEX(tblPosn,$A91,3))</f>
        <v>0</v>
      </c>
      <c r="Q91" s="59" t="n">
        <f aca="true">IF($A91="",0,INDEX(tblPosn,$A91,4))</f>
        <v>0</v>
      </c>
      <c r="R91" s="59" t="n">
        <f aca="true">IF($A91="",0,INDEX(tblPosn,$A91,5))</f>
        <v>0</v>
      </c>
      <c r="S91" s="59" t="n">
        <f aca="true">IF($A91="",0,INDEX(tblPosn,$A91,6))</f>
        <v>0</v>
      </c>
      <c r="T91" s="98" t="n">
        <f aca="false">O91*F91+P91*K91+R91*AC91+S91*AH91/0.72+Q91*X91</f>
        <v>0</v>
      </c>
      <c r="V91" s="161" t="n">
        <f aca="false">D91</f>
        <v>38657</v>
      </c>
      <c r="W91" s="94" t="n">
        <f aca="false">VLOOKUP($D91,tblPriorPrice,4)</f>
        <v>0</v>
      </c>
      <c r="X91" s="162" t="n">
        <f aca="false">Y91-W91</f>
        <v>0</v>
      </c>
      <c r="Y91" s="176" t="n">
        <f aca="false">L91</f>
        <v>0</v>
      </c>
      <c r="Z91" s="177" t="n">
        <f aca="false">Y91</f>
        <v>0</v>
      </c>
      <c r="AA91" s="177" t="n">
        <f aca="false">Y91</f>
        <v>0</v>
      </c>
      <c r="AB91" s="94" t="n">
        <f aca="false">VLOOKUP($D91,tblPriorPrice,5)</f>
        <v>0</v>
      </c>
      <c r="AC91" s="162" t="n">
        <f aca="false">AD91-AB91</f>
        <v>0</v>
      </c>
      <c r="AD91" s="176" t="n">
        <f aca="false">L91</f>
        <v>0</v>
      </c>
      <c r="AE91" s="96" t="n">
        <f aca="false">AD91</f>
        <v>0</v>
      </c>
      <c r="AF91" s="97" t="n">
        <f aca="false">AD91</f>
        <v>0</v>
      </c>
      <c r="AG91" s="94" t="n">
        <f aca="false">VLOOKUP($D91,tblPriorPrice,6)</f>
        <v>0</v>
      </c>
      <c r="AH91" s="182"/>
      <c r="AI91" s="189" t="n">
        <f aca="false">AG91+AH91</f>
        <v>0</v>
      </c>
      <c r="AJ91" s="96" t="n">
        <f aca="false">AI91</f>
        <v>0</v>
      </c>
      <c r="AK91" s="97" t="n">
        <f aca="false">AI91</f>
        <v>0</v>
      </c>
      <c r="AL91" s="178" t="n">
        <v>20</v>
      </c>
      <c r="AM91" s="165" t="n">
        <v>0.4</v>
      </c>
      <c r="AN91" s="166" t="n">
        <f aca="false">EnergyCurve!AN91*2</f>
        <v>0.49</v>
      </c>
      <c r="AO91" s="166" t="n">
        <f aca="false">EnergyCurve!AO91</f>
        <v>0.2205</v>
      </c>
      <c r="AP91" s="166" t="n">
        <f aca="false">AN91*1.25</f>
        <v>0.6125</v>
      </c>
      <c r="AQ91" s="166" t="n">
        <f aca="false">EnergyCurve!AQ91*2</f>
        <v>0.49</v>
      </c>
      <c r="AR91" s="166" t="n">
        <f aca="false">EnergyCurve!AR91</f>
        <v>0.196</v>
      </c>
      <c r="AS91" s="166" t="n">
        <f aca="false">EnergyCurve!AS91*1.25</f>
        <v>0.3675</v>
      </c>
      <c r="AT91" s="168" t="n">
        <f aca="false">EnergyCurve!AT91*2*2</f>
        <v>8.54899422815716</v>
      </c>
      <c r="AU91" s="169" t="n">
        <f aca="false">EnergyCurve!AU91</f>
        <v>-0.534312139259822</v>
      </c>
      <c r="AV91" s="169" t="n">
        <f aca="false">AT91*1.25</f>
        <v>10.6862427851964</v>
      </c>
      <c r="AW91" s="168" t="n">
        <f aca="false">EnergyCurve!AW91*2*2</f>
        <v>10.0218</v>
      </c>
      <c r="AX91" s="169" t="n">
        <f aca="false">EnergyCurve!AX91</f>
        <v>-0.6263625</v>
      </c>
      <c r="AY91" s="169" t="n">
        <f aca="false">AW91*1.25</f>
        <v>12.52725</v>
      </c>
      <c r="AZ91" s="167" t="n">
        <v>0</v>
      </c>
      <c r="BA91" s="74"/>
      <c r="BC91" s="222" t="n">
        <v>-4.5</v>
      </c>
      <c r="BD91" s="223" t="n">
        <v>0.015</v>
      </c>
      <c r="BF91" s="224" t="n">
        <v>2</v>
      </c>
      <c r="BQ91" s="108" t="n">
        <v>36907.7428240741</v>
      </c>
      <c r="BR91" s="109" t="n">
        <v>36907.7434490741</v>
      </c>
      <c r="BS91" s="110" t="n">
        <v>38869</v>
      </c>
      <c r="BT91" s="111" t="n">
        <v>0</v>
      </c>
      <c r="BU91" s="112" t="n">
        <v>0</v>
      </c>
      <c r="BV91" s="112" t="n">
        <v>0</v>
      </c>
      <c r="BW91" s="112" t="n">
        <v>0</v>
      </c>
      <c r="BX91" s="113" t="n">
        <v>0</v>
      </c>
      <c r="BZ91" s="110" t="n">
        <v>38657</v>
      </c>
      <c r="CA91" s="116" t="n">
        <v>41.5999984741211</v>
      </c>
      <c r="CB91" s="116" t="n">
        <v>0</v>
      </c>
      <c r="CC91" s="116" t="n">
        <v>0</v>
      </c>
      <c r="CD91" s="116" t="n">
        <v>0</v>
      </c>
      <c r="CE91" s="117" t="n">
        <v>0</v>
      </c>
      <c r="CG91" s="135" t="n">
        <f aca="false">BB27</f>
        <v>2018</v>
      </c>
      <c r="CH91" s="136" t="n">
        <v>0</v>
      </c>
      <c r="CI91" s="137" t="n">
        <v>0</v>
      </c>
      <c r="CJ91" s="137" t="n">
        <v>0</v>
      </c>
      <c r="CK91" s="137" t="n">
        <v>0</v>
      </c>
      <c r="CL91" s="137" t="n">
        <v>0</v>
      </c>
      <c r="CM91" s="137" t="n">
        <v>0</v>
      </c>
      <c r="CN91" s="137" t="n">
        <v>0</v>
      </c>
      <c r="CO91" s="137" t="n">
        <v>0</v>
      </c>
      <c r="CP91" s="137" t="n">
        <v>0</v>
      </c>
      <c r="CQ91" s="137" t="n">
        <v>0</v>
      </c>
      <c r="CR91" s="137" t="n">
        <v>0</v>
      </c>
      <c r="CS91" s="138" t="n">
        <v>0</v>
      </c>
      <c r="CU91" s="135" t="n">
        <f aca="false">BB27</f>
        <v>2018</v>
      </c>
      <c r="CV91" s="136" t="n">
        <v>0</v>
      </c>
      <c r="CW91" s="137" t="n">
        <v>0</v>
      </c>
      <c r="CX91" s="137" t="n">
        <v>0</v>
      </c>
      <c r="CY91" s="137" t="n">
        <v>0</v>
      </c>
      <c r="CZ91" s="137" t="n">
        <v>0</v>
      </c>
      <c r="DA91" s="137" t="n">
        <v>0</v>
      </c>
      <c r="DB91" s="137" t="n">
        <v>0</v>
      </c>
      <c r="DC91" s="137" t="n">
        <v>0</v>
      </c>
      <c r="DD91" s="137" t="n">
        <v>0</v>
      </c>
      <c r="DE91" s="137" t="n">
        <v>0</v>
      </c>
      <c r="DF91" s="137" t="n">
        <v>0</v>
      </c>
      <c r="DG91" s="138" t="n">
        <v>0</v>
      </c>
      <c r="DI91" s="135" t="n">
        <f aca="false">BB27</f>
        <v>2018</v>
      </c>
      <c r="DJ91" s="136" t="n">
        <v>0</v>
      </c>
      <c r="DK91" s="137" t="n">
        <v>0</v>
      </c>
      <c r="DL91" s="137" t="n">
        <v>0</v>
      </c>
      <c r="DM91" s="137" t="n">
        <v>0</v>
      </c>
      <c r="DN91" s="137" t="n">
        <v>0</v>
      </c>
      <c r="DO91" s="137" t="n">
        <v>0</v>
      </c>
      <c r="DP91" s="137" t="n">
        <v>0</v>
      </c>
      <c r="DQ91" s="137" t="n">
        <v>0</v>
      </c>
      <c r="DR91" s="137" t="n">
        <v>0</v>
      </c>
      <c r="DS91" s="137" t="n">
        <v>0</v>
      </c>
      <c r="DT91" s="137" t="n">
        <v>0</v>
      </c>
      <c r="DU91" s="138" t="n">
        <v>0</v>
      </c>
    </row>
    <row r="92" customFormat="false" ht="12.75" hidden="false" customHeight="false" outlineLevel="0" collapsed="false">
      <c r="A92" s="0" t="n">
        <f aca="true">IF(ISERROR(MATCH(D92,iRefDt,0)),"",MATCH(D92,iRefDt,0))</f>
        <v>83</v>
      </c>
      <c r="B92" s="92" t="n">
        <f aca="false">MATCH(YEAR(D92),iSpreads)</f>
        <v>5</v>
      </c>
      <c r="C92" s="0" t="n">
        <f aca="false">MONTH(D92)</f>
        <v>12</v>
      </c>
      <c r="D92" s="93" t="n">
        <f aca="false">+EnergyCurve!D92</f>
        <v>38687</v>
      </c>
      <c r="E92" s="94" t="n">
        <f aca="false">VLOOKUP($D92,tblPriorPrice,2)</f>
        <v>59.1360015869141</v>
      </c>
      <c r="F92" s="95" t="n">
        <f aca="false">G92-E92</f>
        <v>-1.58691405971467E-006</v>
      </c>
      <c r="G92" s="264" t="n">
        <f aca="false">IF(EnergyCurve!G92&lt;200,0.001*EnergyCurve!G92+1,1.2)*EnergyCurve!G92</f>
        <v>59.136</v>
      </c>
      <c r="H92" s="96" t="n">
        <f aca="false">IF(EnergyCurve!H92&lt;200,0.001*EnergyCurve!H92+1,1.2)*EnergyCurve!H92</f>
        <v>53.601</v>
      </c>
      <c r="I92" s="96" t="n">
        <f aca="false">IF(EnergyCurve!I92&lt;200,0.001*EnergyCurve!I92+1,1.2)*EnergyCurve!I92</f>
        <v>76.041</v>
      </c>
      <c r="J92" s="94" t="n">
        <f aca="false">VLOOKUP($D92,tblPriorPrice,3)</f>
        <v>0</v>
      </c>
      <c r="K92" s="95" t="n">
        <f aca="false">L92-J92</f>
        <v>0</v>
      </c>
      <c r="L92" s="264" t="n">
        <v>0</v>
      </c>
      <c r="M92" s="96" t="n">
        <f aca="false">L92</f>
        <v>0</v>
      </c>
      <c r="N92" s="96" t="n">
        <f aca="false">L92</f>
        <v>0</v>
      </c>
      <c r="O92" s="58" t="n">
        <f aca="true">IF($A92="",0,INDEX(tblPosn,$A92,2))</f>
        <v>0</v>
      </c>
      <c r="P92" s="59" t="n">
        <f aca="true">IF($A92="",0,INDEX(tblPosn,$A92,3))</f>
        <v>0</v>
      </c>
      <c r="Q92" s="59" t="n">
        <f aca="true">IF($A92="",0,INDEX(tblPosn,$A92,4))</f>
        <v>0</v>
      </c>
      <c r="R92" s="59" t="n">
        <f aca="true">IF($A92="",0,INDEX(tblPosn,$A92,5))</f>
        <v>0</v>
      </c>
      <c r="S92" s="59" t="n">
        <f aca="true">IF($A92="",0,INDEX(tblPosn,$A92,6))</f>
        <v>0</v>
      </c>
      <c r="T92" s="98" t="n">
        <f aca="false">O92*F92+P92*K92+R92*AC92+S92*AH92/0.72+Q92*X92</f>
        <v>0</v>
      </c>
      <c r="V92" s="161" t="n">
        <f aca="false">D92</f>
        <v>38687</v>
      </c>
      <c r="W92" s="94" t="n">
        <f aca="false">VLOOKUP($D92,tblPriorPrice,4)</f>
        <v>0</v>
      </c>
      <c r="X92" s="162" t="n">
        <f aca="false">Y92-W92</f>
        <v>0</v>
      </c>
      <c r="Y92" s="176" t="n">
        <f aca="false">L92</f>
        <v>0</v>
      </c>
      <c r="Z92" s="177" t="n">
        <f aca="false">Y92</f>
        <v>0</v>
      </c>
      <c r="AA92" s="177" t="n">
        <f aca="false">Y92</f>
        <v>0</v>
      </c>
      <c r="AB92" s="94" t="n">
        <f aca="false">VLOOKUP($D92,tblPriorPrice,5)</f>
        <v>0</v>
      </c>
      <c r="AC92" s="162" t="n">
        <f aca="false">AD92-AB92</f>
        <v>0</v>
      </c>
      <c r="AD92" s="176" t="n">
        <f aca="false">L92</f>
        <v>0</v>
      </c>
      <c r="AE92" s="96" t="n">
        <f aca="false">AD92</f>
        <v>0</v>
      </c>
      <c r="AF92" s="97" t="n">
        <f aca="false">AD92</f>
        <v>0</v>
      </c>
      <c r="AG92" s="94" t="n">
        <f aca="false">VLOOKUP($D92,tblPriorPrice,6)</f>
        <v>0</v>
      </c>
      <c r="AH92" s="182"/>
      <c r="AI92" s="189" t="n">
        <f aca="false">AG92+AH92</f>
        <v>0</v>
      </c>
      <c r="AJ92" s="96" t="n">
        <f aca="false">AI92</f>
        <v>0</v>
      </c>
      <c r="AK92" s="97" t="n">
        <f aca="false">AI92</f>
        <v>0</v>
      </c>
      <c r="AL92" s="178" t="n">
        <v>20</v>
      </c>
      <c r="AM92" s="165" t="n">
        <v>0.4</v>
      </c>
      <c r="AN92" s="166" t="n">
        <f aca="false">EnergyCurve!AN92*2</f>
        <v>0.495</v>
      </c>
      <c r="AO92" s="166" t="n">
        <f aca="false">EnergyCurve!AO92</f>
        <v>0.22275</v>
      </c>
      <c r="AP92" s="166" t="n">
        <f aca="false">AN92*1.25</f>
        <v>0.61875</v>
      </c>
      <c r="AQ92" s="166" t="n">
        <f aca="false">EnergyCurve!AQ92*2</f>
        <v>0.495</v>
      </c>
      <c r="AR92" s="166" t="n">
        <f aca="false">EnergyCurve!AR92</f>
        <v>0.198</v>
      </c>
      <c r="AS92" s="166" t="n">
        <f aca="false">EnergyCurve!AS92*1.25</f>
        <v>0.37125</v>
      </c>
      <c r="AT92" s="168" t="n">
        <f aca="false">EnergyCurve!AT92*2*2</f>
        <v>13.8487370942607</v>
      </c>
      <c r="AU92" s="169" t="n">
        <f aca="false">EnergyCurve!AU92</f>
        <v>-0.865546068391296</v>
      </c>
      <c r="AV92" s="169" t="n">
        <f aca="false">AT92*1.25</f>
        <v>17.3109213678259</v>
      </c>
      <c r="AW92" s="168" t="n">
        <f aca="false">EnergyCurve!AW92*2*2</f>
        <v>10.116</v>
      </c>
      <c r="AX92" s="169" t="n">
        <f aca="false">EnergyCurve!AX92</f>
        <v>-0.63225</v>
      </c>
      <c r="AY92" s="169" t="n">
        <f aca="false">AW92*1.25</f>
        <v>12.645</v>
      </c>
      <c r="AZ92" s="167" t="n">
        <v>0</v>
      </c>
      <c r="BA92" s="74"/>
      <c r="BC92" s="222" t="n">
        <v>-4</v>
      </c>
      <c r="BD92" s="223" t="n">
        <v>0.0125</v>
      </c>
      <c r="BF92" s="224" t="n">
        <v>3</v>
      </c>
      <c r="BQ92" s="108" t="n">
        <v>36907.7428240741</v>
      </c>
      <c r="BR92" s="109" t="n">
        <v>36907.7434490741</v>
      </c>
      <c r="BS92" s="110" t="n">
        <v>38899</v>
      </c>
      <c r="BT92" s="111" t="n">
        <v>0</v>
      </c>
      <c r="BU92" s="112" t="n">
        <v>0</v>
      </c>
      <c r="BV92" s="112" t="n">
        <v>0</v>
      </c>
      <c r="BW92" s="112" t="n">
        <v>0</v>
      </c>
      <c r="BX92" s="113" t="n">
        <v>0</v>
      </c>
      <c r="BZ92" s="110" t="n">
        <v>38687</v>
      </c>
      <c r="CA92" s="116" t="n">
        <v>59.1360015869141</v>
      </c>
      <c r="CB92" s="116" t="n">
        <v>0</v>
      </c>
      <c r="CC92" s="116" t="n">
        <v>0</v>
      </c>
      <c r="CD92" s="116" t="n">
        <v>0</v>
      </c>
      <c r="CE92" s="117" t="n">
        <v>0</v>
      </c>
      <c r="CG92" s="135" t="n">
        <f aca="false">BB28</f>
        <v>2019</v>
      </c>
      <c r="CH92" s="136" t="n">
        <v>0</v>
      </c>
      <c r="CI92" s="137" t="n">
        <v>0</v>
      </c>
      <c r="CJ92" s="137" t="n">
        <v>0</v>
      </c>
      <c r="CK92" s="137" t="n">
        <v>0</v>
      </c>
      <c r="CL92" s="137" t="n">
        <v>0</v>
      </c>
      <c r="CM92" s="137" t="n">
        <v>0</v>
      </c>
      <c r="CN92" s="137" t="n">
        <v>0</v>
      </c>
      <c r="CO92" s="137" t="n">
        <v>0</v>
      </c>
      <c r="CP92" s="137" t="n">
        <v>0</v>
      </c>
      <c r="CQ92" s="137" t="n">
        <v>0</v>
      </c>
      <c r="CR92" s="137" t="n">
        <v>0</v>
      </c>
      <c r="CS92" s="138" t="n">
        <v>0</v>
      </c>
      <c r="CU92" s="135" t="n">
        <f aca="false">BB28</f>
        <v>2019</v>
      </c>
      <c r="CV92" s="136" t="n">
        <v>0</v>
      </c>
      <c r="CW92" s="137" t="n">
        <v>0</v>
      </c>
      <c r="CX92" s="137" t="n">
        <v>0</v>
      </c>
      <c r="CY92" s="137" t="n">
        <v>0</v>
      </c>
      <c r="CZ92" s="137" t="n">
        <v>0</v>
      </c>
      <c r="DA92" s="137" t="n">
        <v>0</v>
      </c>
      <c r="DB92" s="137" t="n">
        <v>0</v>
      </c>
      <c r="DC92" s="137" t="n">
        <v>0</v>
      </c>
      <c r="DD92" s="137" t="n">
        <v>0</v>
      </c>
      <c r="DE92" s="137" t="n">
        <v>0</v>
      </c>
      <c r="DF92" s="137" t="n">
        <v>0</v>
      </c>
      <c r="DG92" s="138" t="n">
        <v>0</v>
      </c>
      <c r="DI92" s="135" t="n">
        <f aca="false">BB28</f>
        <v>2019</v>
      </c>
      <c r="DJ92" s="136" t="n">
        <v>0</v>
      </c>
      <c r="DK92" s="137" t="n">
        <v>0</v>
      </c>
      <c r="DL92" s="137" t="n">
        <v>0</v>
      </c>
      <c r="DM92" s="137" t="n">
        <v>0</v>
      </c>
      <c r="DN92" s="137" t="n">
        <v>0</v>
      </c>
      <c r="DO92" s="137" t="n">
        <v>0</v>
      </c>
      <c r="DP92" s="137" t="n">
        <v>0</v>
      </c>
      <c r="DQ92" s="137" t="n">
        <v>0</v>
      </c>
      <c r="DR92" s="137" t="n">
        <v>0</v>
      </c>
      <c r="DS92" s="137" t="n">
        <v>0</v>
      </c>
      <c r="DT92" s="137" t="n">
        <v>0</v>
      </c>
      <c r="DU92" s="138" t="n">
        <v>0</v>
      </c>
    </row>
    <row r="93" customFormat="false" ht="12.75" hidden="false" customHeight="false" outlineLevel="0" collapsed="false">
      <c r="A93" s="0" t="n">
        <f aca="true">IF(ISERROR(MATCH(D93,iRefDt,0)),"",MATCH(D93,iRefDt,0))</f>
        <v>84</v>
      </c>
      <c r="B93" s="92" t="n">
        <f aca="false">MATCH(YEAR(D93),iSpreads)</f>
        <v>6</v>
      </c>
      <c r="C93" s="0" t="n">
        <f aca="false">MONTH(D93)</f>
        <v>1</v>
      </c>
      <c r="D93" s="93" t="n">
        <f aca="false">+EnergyCurve!D93</f>
        <v>38718</v>
      </c>
      <c r="E93" s="94" t="n">
        <f aca="false">VLOOKUP($D93,tblPriorPrice,2)</f>
        <v>37.2960014343262</v>
      </c>
      <c r="F93" s="95" t="n">
        <f aca="false">G93-E93</f>
        <v>-1.43432617250028E-006</v>
      </c>
      <c r="G93" s="264" t="n">
        <f aca="false">IF(EnergyCurve!G93&lt;200,0.001*EnergyCurve!G93+1,1.2)*EnergyCurve!G93</f>
        <v>37.296</v>
      </c>
      <c r="H93" s="96" t="n">
        <f aca="false">IF(EnergyCurve!H93&lt;200,0.001*EnergyCurve!H93+1,1.2)*EnergyCurve!H93</f>
        <v>31.961</v>
      </c>
      <c r="I93" s="96" t="n">
        <f aca="false">IF(EnergyCurve!I93&lt;200,0.001*EnergyCurve!I93+1,1.2)*EnergyCurve!I93</f>
        <v>59.136</v>
      </c>
      <c r="J93" s="94" t="n">
        <f aca="false">VLOOKUP($D93,tblPriorPrice,3)</f>
        <v>0</v>
      </c>
      <c r="K93" s="95" t="n">
        <f aca="false">L93-J93</f>
        <v>0</v>
      </c>
      <c r="L93" s="264" t="n">
        <v>0</v>
      </c>
      <c r="M93" s="96" t="n">
        <f aca="false">L93</f>
        <v>0</v>
      </c>
      <c r="N93" s="96" t="n">
        <f aca="false">L93</f>
        <v>0</v>
      </c>
      <c r="O93" s="58" t="n">
        <f aca="true">IF($A93="",0,INDEX(tblPosn,$A93,2))</f>
        <v>0</v>
      </c>
      <c r="P93" s="59" t="n">
        <f aca="true">IF($A93="",0,INDEX(tblPosn,$A93,3))</f>
        <v>0</v>
      </c>
      <c r="Q93" s="59" t="n">
        <f aca="true">IF($A93="",0,INDEX(tblPosn,$A93,4))</f>
        <v>0</v>
      </c>
      <c r="R93" s="59" t="n">
        <f aca="true">IF($A93="",0,INDEX(tblPosn,$A93,5))</f>
        <v>0</v>
      </c>
      <c r="S93" s="59" t="n">
        <f aca="true">IF($A93="",0,INDEX(tblPosn,$A93,6))</f>
        <v>0</v>
      </c>
      <c r="T93" s="98" t="n">
        <f aca="false">O93*F93+P93*K93+R93*AC93+S93*AH93/0.72+Q93*X93</f>
        <v>0</v>
      </c>
      <c r="V93" s="161" t="n">
        <f aca="false">D93</f>
        <v>38718</v>
      </c>
      <c r="W93" s="94" t="n">
        <f aca="false">VLOOKUP($D93,tblPriorPrice,4)</f>
        <v>0</v>
      </c>
      <c r="X93" s="162" t="n">
        <f aca="false">Y93-W93</f>
        <v>0</v>
      </c>
      <c r="Y93" s="176" t="n">
        <f aca="false">L93</f>
        <v>0</v>
      </c>
      <c r="Z93" s="177" t="n">
        <f aca="false">Y93</f>
        <v>0</v>
      </c>
      <c r="AA93" s="177" t="n">
        <f aca="false">Y93</f>
        <v>0</v>
      </c>
      <c r="AB93" s="94" t="n">
        <f aca="false">VLOOKUP($D93,tblPriorPrice,5)</f>
        <v>0</v>
      </c>
      <c r="AC93" s="162" t="n">
        <f aca="false">AD93-AB93</f>
        <v>0</v>
      </c>
      <c r="AD93" s="176" t="n">
        <f aca="false">L93</f>
        <v>0</v>
      </c>
      <c r="AE93" s="96" t="n">
        <f aca="false">AD93</f>
        <v>0</v>
      </c>
      <c r="AF93" s="97" t="n">
        <f aca="false">AD93</f>
        <v>0</v>
      </c>
      <c r="AG93" s="94" t="n">
        <f aca="false">VLOOKUP($D93,tblPriorPrice,6)</f>
        <v>0</v>
      </c>
      <c r="AH93" s="182"/>
      <c r="AI93" s="189" t="n">
        <f aca="false">AG93+AH93</f>
        <v>0</v>
      </c>
      <c r="AJ93" s="96" t="n">
        <f aca="false">AI93</f>
        <v>0</v>
      </c>
      <c r="AK93" s="97" t="n">
        <f aca="false">AI93</f>
        <v>0</v>
      </c>
      <c r="AL93" s="178" t="n">
        <v>21</v>
      </c>
      <c r="AM93" s="165" t="n">
        <v>0.4</v>
      </c>
      <c r="AN93" s="166" t="n">
        <f aca="false">EnergyCurve!AN93*2</f>
        <v>0.495</v>
      </c>
      <c r="AO93" s="166" t="n">
        <f aca="false">EnergyCurve!AO93</f>
        <v>0.22275</v>
      </c>
      <c r="AP93" s="166" t="n">
        <f aca="false">AN93*1.25</f>
        <v>0.61875</v>
      </c>
      <c r="AQ93" s="166" t="n">
        <f aca="false">EnergyCurve!AQ93*2</f>
        <v>0.495</v>
      </c>
      <c r="AR93" s="166" t="n">
        <f aca="false">EnergyCurve!AR93</f>
        <v>0.198</v>
      </c>
      <c r="AS93" s="166" t="n">
        <f aca="false">EnergyCurve!AS93*1.25</f>
        <v>0.37125</v>
      </c>
      <c r="AT93" s="168" t="n">
        <f aca="false">EnergyCurve!AT93*2*2</f>
        <v>7.51583037003162</v>
      </c>
      <c r="AU93" s="169" t="n">
        <f aca="false">EnergyCurve!AU93</f>
        <v>-0.469739398126976</v>
      </c>
      <c r="AV93" s="169" t="n">
        <f aca="false">AT93*1.25</f>
        <v>9.39478796253952</v>
      </c>
      <c r="AW93" s="168" t="n">
        <f aca="false">EnergyCurve!AW93*2*2</f>
        <v>10.3044</v>
      </c>
      <c r="AX93" s="169" t="n">
        <f aca="false">EnergyCurve!AX93</f>
        <v>-0.644025</v>
      </c>
      <c r="AY93" s="169" t="n">
        <f aca="false">AW93*1.25</f>
        <v>12.8805</v>
      </c>
      <c r="AZ93" s="167" t="n">
        <v>0</v>
      </c>
      <c r="BA93" s="74"/>
      <c r="BC93" s="222" t="n">
        <v>-3.5</v>
      </c>
      <c r="BD93" s="223" t="n">
        <v>0.0125</v>
      </c>
      <c r="BF93" s="224" t="n">
        <v>4</v>
      </c>
      <c r="BQ93" s="108" t="n">
        <v>36907.7428240741</v>
      </c>
      <c r="BR93" s="109" t="n">
        <v>36907.7434490741</v>
      </c>
      <c r="BS93" s="110" t="n">
        <v>38930</v>
      </c>
      <c r="BT93" s="111" t="n">
        <v>0</v>
      </c>
      <c r="BU93" s="112" t="n">
        <v>0</v>
      </c>
      <c r="BV93" s="112" t="n">
        <v>0</v>
      </c>
      <c r="BW93" s="112" t="n">
        <v>0</v>
      </c>
      <c r="BX93" s="113" t="n">
        <v>0</v>
      </c>
      <c r="BZ93" s="110" t="n">
        <v>38718</v>
      </c>
      <c r="CA93" s="116" t="n">
        <v>37.2960014343262</v>
      </c>
      <c r="CB93" s="116" t="n">
        <v>0</v>
      </c>
      <c r="CC93" s="116" t="n">
        <v>0</v>
      </c>
      <c r="CD93" s="116" t="n">
        <v>0</v>
      </c>
      <c r="CE93" s="117" t="n">
        <v>0</v>
      </c>
      <c r="CG93" s="152" t="n">
        <f aca="false">BB29</f>
        <v>2020</v>
      </c>
      <c r="CH93" s="136" t="n">
        <v>0</v>
      </c>
      <c r="CI93" s="137" t="n">
        <v>0</v>
      </c>
      <c r="CJ93" s="137" t="n">
        <v>0</v>
      </c>
      <c r="CK93" s="137" t="n">
        <v>0</v>
      </c>
      <c r="CL93" s="137" t="n">
        <v>0</v>
      </c>
      <c r="CM93" s="137" t="n">
        <v>0</v>
      </c>
      <c r="CN93" s="137" t="n">
        <v>0</v>
      </c>
      <c r="CO93" s="137" t="n">
        <v>0</v>
      </c>
      <c r="CP93" s="137" t="n">
        <v>0</v>
      </c>
      <c r="CQ93" s="137" t="n">
        <v>0</v>
      </c>
      <c r="CR93" s="137" t="n">
        <v>0</v>
      </c>
      <c r="CS93" s="138" t="n">
        <v>0</v>
      </c>
      <c r="CU93" s="152" t="n">
        <f aca="false">BB29</f>
        <v>2020</v>
      </c>
      <c r="CV93" s="136" t="n">
        <v>0</v>
      </c>
      <c r="CW93" s="137" t="n">
        <v>0</v>
      </c>
      <c r="CX93" s="137" t="n">
        <v>0</v>
      </c>
      <c r="CY93" s="137" t="n">
        <v>0</v>
      </c>
      <c r="CZ93" s="137" t="n">
        <v>0</v>
      </c>
      <c r="DA93" s="137" t="n">
        <v>0</v>
      </c>
      <c r="DB93" s="137" t="n">
        <v>0</v>
      </c>
      <c r="DC93" s="137" t="n">
        <v>0</v>
      </c>
      <c r="DD93" s="137" t="n">
        <v>0</v>
      </c>
      <c r="DE93" s="137" t="n">
        <v>0</v>
      </c>
      <c r="DF93" s="137" t="n">
        <v>0</v>
      </c>
      <c r="DG93" s="138" t="n">
        <v>0</v>
      </c>
      <c r="DI93" s="152" t="n">
        <f aca="false">BB29</f>
        <v>2020</v>
      </c>
      <c r="DJ93" s="136" t="n">
        <v>0</v>
      </c>
      <c r="DK93" s="137" t="n">
        <v>0</v>
      </c>
      <c r="DL93" s="137" t="n">
        <v>0</v>
      </c>
      <c r="DM93" s="137" t="n">
        <v>0</v>
      </c>
      <c r="DN93" s="137" t="n">
        <v>0</v>
      </c>
      <c r="DO93" s="137" t="n">
        <v>0</v>
      </c>
      <c r="DP93" s="137" t="n">
        <v>0</v>
      </c>
      <c r="DQ93" s="137" t="n">
        <v>0</v>
      </c>
      <c r="DR93" s="137" t="n">
        <v>0</v>
      </c>
      <c r="DS93" s="137" t="n">
        <v>0</v>
      </c>
      <c r="DT93" s="137" t="n">
        <v>0</v>
      </c>
      <c r="DU93" s="138" t="n">
        <v>0</v>
      </c>
    </row>
    <row r="94" customFormat="false" ht="12.75" hidden="false" customHeight="false" outlineLevel="0" collapsed="false">
      <c r="A94" s="0" t="n">
        <f aca="true">IF(ISERROR(MATCH(D94,iRefDt,0)),"",MATCH(D94,iRefDt,0))</f>
        <v>85</v>
      </c>
      <c r="B94" s="92" t="n">
        <f aca="false">MATCH(YEAR(D94),iSpreads)</f>
        <v>6</v>
      </c>
      <c r="C94" s="0" t="n">
        <f aca="false">MONTH(D94)</f>
        <v>2</v>
      </c>
      <c r="D94" s="93" t="n">
        <f aca="false">+EnergyCurve!D94</f>
        <v>38749</v>
      </c>
      <c r="E94" s="94" t="n">
        <f aca="false">VLOOKUP($D94,tblPriorPrice,2)</f>
        <v>33.0239982604981</v>
      </c>
      <c r="F94" s="95" t="n">
        <f aca="false">G94-E94</f>
        <v>1.73950195403449E-006</v>
      </c>
      <c r="G94" s="264" t="n">
        <f aca="false">IF(EnergyCurve!G94&lt;200,0.001*EnergyCurve!G94+1,1.2)*EnergyCurve!G94</f>
        <v>33.024</v>
      </c>
      <c r="H94" s="96" t="n">
        <f aca="false">IF(EnergyCurve!H94&lt;200,0.001*EnergyCurve!H94+1,1.2)*EnergyCurve!H94</f>
        <v>27.729</v>
      </c>
      <c r="I94" s="96" t="n">
        <f aca="false">IF(EnergyCurve!I94&lt;200,0.001*EnergyCurve!I94+1,1.2)*EnergyCurve!I94</f>
        <v>54.704</v>
      </c>
      <c r="J94" s="94" t="n">
        <f aca="false">VLOOKUP($D94,tblPriorPrice,3)</f>
        <v>0</v>
      </c>
      <c r="K94" s="95" t="n">
        <f aca="false">L94-J94</f>
        <v>0</v>
      </c>
      <c r="L94" s="264" t="n">
        <v>0</v>
      </c>
      <c r="M94" s="96" t="n">
        <f aca="false">L94</f>
        <v>0</v>
      </c>
      <c r="N94" s="96" t="n">
        <f aca="false">L94</f>
        <v>0</v>
      </c>
      <c r="O94" s="58" t="n">
        <f aca="true">IF($A94="",0,INDEX(tblPosn,$A94,2))</f>
        <v>0</v>
      </c>
      <c r="P94" s="59" t="n">
        <f aca="true">IF($A94="",0,INDEX(tblPosn,$A94,3))</f>
        <v>0</v>
      </c>
      <c r="Q94" s="59" t="n">
        <f aca="true">IF($A94="",0,INDEX(tblPosn,$A94,4))</f>
        <v>0</v>
      </c>
      <c r="R94" s="59" t="n">
        <f aca="true">IF($A94="",0,INDEX(tblPosn,$A94,5))</f>
        <v>0</v>
      </c>
      <c r="S94" s="59" t="n">
        <f aca="true">IF($A94="",0,INDEX(tblPosn,$A94,6))</f>
        <v>0</v>
      </c>
      <c r="T94" s="98" t="n">
        <f aca="false">O94*F94+P94*K94+R94*AC94+S94*AH94/0.72+Q94*X94</f>
        <v>0</v>
      </c>
      <c r="V94" s="161" t="n">
        <f aca="false">D94</f>
        <v>38749</v>
      </c>
      <c r="W94" s="94" t="n">
        <f aca="false">VLOOKUP($D94,tblPriorPrice,4)</f>
        <v>0</v>
      </c>
      <c r="X94" s="162" t="n">
        <f aca="false">Y94-W94</f>
        <v>0</v>
      </c>
      <c r="Y94" s="176" t="n">
        <f aca="false">L94</f>
        <v>0</v>
      </c>
      <c r="Z94" s="177" t="n">
        <f aca="false">Y94</f>
        <v>0</v>
      </c>
      <c r="AA94" s="177" t="n">
        <f aca="false">Y94</f>
        <v>0</v>
      </c>
      <c r="AB94" s="94" t="n">
        <f aca="false">VLOOKUP($D94,tblPriorPrice,5)</f>
        <v>0</v>
      </c>
      <c r="AC94" s="162" t="n">
        <f aca="false">AD94-AB94</f>
        <v>0</v>
      </c>
      <c r="AD94" s="176" t="n">
        <f aca="false">L94</f>
        <v>0</v>
      </c>
      <c r="AE94" s="96" t="n">
        <f aca="false">AD94</f>
        <v>0</v>
      </c>
      <c r="AF94" s="97" t="n">
        <f aca="false">AD94</f>
        <v>0</v>
      </c>
      <c r="AG94" s="94" t="n">
        <f aca="false">VLOOKUP($D94,tblPriorPrice,6)</f>
        <v>0</v>
      </c>
      <c r="AH94" s="182"/>
      <c r="AI94" s="189" t="n">
        <f aca="false">AG94+AH94</f>
        <v>0</v>
      </c>
      <c r="AJ94" s="96" t="n">
        <f aca="false">AI94</f>
        <v>0</v>
      </c>
      <c r="AK94" s="97" t="n">
        <f aca="false">AI94</f>
        <v>0</v>
      </c>
      <c r="AL94" s="178" t="n">
        <v>21</v>
      </c>
      <c r="AM94" s="165" t="n">
        <v>0.4</v>
      </c>
      <c r="AN94" s="166" t="n">
        <f aca="false">EnergyCurve!AN94*2</f>
        <v>0.49</v>
      </c>
      <c r="AO94" s="166" t="n">
        <f aca="false">EnergyCurve!AO94</f>
        <v>0.2205</v>
      </c>
      <c r="AP94" s="166" t="n">
        <f aca="false">AN94*1.25</f>
        <v>0.6125</v>
      </c>
      <c r="AQ94" s="166" t="n">
        <f aca="false">EnergyCurve!AQ94*2</f>
        <v>0.49</v>
      </c>
      <c r="AR94" s="166" t="n">
        <f aca="false">EnergyCurve!AR94</f>
        <v>0.196</v>
      </c>
      <c r="AS94" s="166" t="n">
        <f aca="false">EnergyCurve!AS94*1.25</f>
        <v>0.3675</v>
      </c>
      <c r="AT94" s="168" t="n">
        <f aca="false">EnergyCurve!AT94*2*2</f>
        <v>6.71448638739126</v>
      </c>
      <c r="AU94" s="169" t="n">
        <f aca="false">EnergyCurve!AU94</f>
        <v>-0.419655399211954</v>
      </c>
      <c r="AV94" s="169" t="n">
        <f aca="false">AT94*1.25</f>
        <v>8.39310798423907</v>
      </c>
      <c r="AW94" s="168" t="n">
        <f aca="false">EnergyCurve!AW94*2*2</f>
        <v>10.3986</v>
      </c>
      <c r="AX94" s="169" t="n">
        <f aca="false">EnergyCurve!AX94</f>
        <v>-0.6499125</v>
      </c>
      <c r="AY94" s="169" t="n">
        <f aca="false">AW94*1.25</f>
        <v>12.99825</v>
      </c>
      <c r="AZ94" s="167" t="n">
        <v>0</v>
      </c>
      <c r="BA94" s="74"/>
      <c r="BC94" s="222" t="n">
        <v>-3</v>
      </c>
      <c r="BD94" s="223" t="n">
        <v>0.01</v>
      </c>
      <c r="BF94" s="224" t="n">
        <v>10</v>
      </c>
      <c r="BQ94" s="108" t="n">
        <v>36907.7428240741</v>
      </c>
      <c r="BR94" s="109" t="n">
        <v>36907.7434490741</v>
      </c>
      <c r="BS94" s="110" t="n">
        <v>38961</v>
      </c>
      <c r="BT94" s="111" t="n">
        <v>0</v>
      </c>
      <c r="BU94" s="112" t="n">
        <v>0</v>
      </c>
      <c r="BV94" s="112" t="n">
        <v>0</v>
      </c>
      <c r="BW94" s="112" t="n">
        <v>0</v>
      </c>
      <c r="BX94" s="113" t="n">
        <v>0</v>
      </c>
      <c r="BZ94" s="110" t="n">
        <v>38749</v>
      </c>
      <c r="CA94" s="116" t="n">
        <v>33.0239982604981</v>
      </c>
      <c r="CB94" s="116" t="n">
        <v>0</v>
      </c>
      <c r="CC94" s="116" t="n">
        <v>0</v>
      </c>
      <c r="CD94" s="116" t="n">
        <v>0</v>
      </c>
      <c r="CE94" s="117" t="n">
        <v>0</v>
      </c>
    </row>
    <row r="95" customFormat="false" ht="12.75" hidden="false" customHeight="false" outlineLevel="0" collapsed="false">
      <c r="A95" s="0" t="n">
        <f aca="true">IF(ISERROR(MATCH(D95,iRefDt,0)),"",MATCH(D95,iRefDt,0))</f>
        <v>86</v>
      </c>
      <c r="B95" s="92" t="n">
        <f aca="false">MATCH(YEAR(D95),iSpreads)</f>
        <v>6</v>
      </c>
      <c r="C95" s="0" t="n">
        <f aca="false">MONTH(D95)</f>
        <v>3</v>
      </c>
      <c r="D95" s="93" t="n">
        <f aca="false">+EnergyCurve!D95</f>
        <v>38777</v>
      </c>
      <c r="E95" s="94" t="n">
        <f aca="false">VLOOKUP($D95,tblPriorPrice,2)</f>
        <v>31.9610004425049</v>
      </c>
      <c r="F95" s="95" t="n">
        <f aca="false">G95-E95</f>
        <v>-4.42504884290429E-007</v>
      </c>
      <c r="G95" s="264" t="n">
        <f aca="false">IF(EnergyCurve!G95&lt;200,0.001*EnergyCurve!G95+1,1.2)*EnergyCurve!G95</f>
        <v>31.961</v>
      </c>
      <c r="H95" s="96" t="n">
        <f aca="false">IF(EnergyCurve!H95&lt;200,0.001*EnergyCurve!H95+1,1.2)*EnergyCurve!H95</f>
        <v>26.676</v>
      </c>
      <c r="I95" s="96" t="n">
        <f aca="false">IF(EnergyCurve!I95&lt;200,0.001*EnergyCurve!I95+1,1.2)*EnergyCurve!I95</f>
        <v>53.601</v>
      </c>
      <c r="J95" s="94" t="n">
        <f aca="false">VLOOKUP($D95,tblPriorPrice,3)</f>
        <v>0</v>
      </c>
      <c r="K95" s="95" t="n">
        <f aca="false">L95-J95</f>
        <v>0</v>
      </c>
      <c r="L95" s="264" t="n">
        <v>0</v>
      </c>
      <c r="M95" s="96" t="n">
        <f aca="false">L95</f>
        <v>0</v>
      </c>
      <c r="N95" s="96" t="n">
        <f aca="false">L95</f>
        <v>0</v>
      </c>
      <c r="O95" s="58" t="n">
        <f aca="true">IF($A95="",0,INDEX(tblPosn,$A95,2))</f>
        <v>0</v>
      </c>
      <c r="P95" s="59" t="n">
        <f aca="true">IF($A95="",0,INDEX(tblPosn,$A95,3))</f>
        <v>0</v>
      </c>
      <c r="Q95" s="59" t="n">
        <f aca="true">IF($A95="",0,INDEX(tblPosn,$A95,4))</f>
        <v>0</v>
      </c>
      <c r="R95" s="59" t="n">
        <f aca="true">IF($A95="",0,INDEX(tblPosn,$A95,5))</f>
        <v>0</v>
      </c>
      <c r="S95" s="59" t="n">
        <f aca="true">IF($A95="",0,INDEX(tblPosn,$A95,6))</f>
        <v>0</v>
      </c>
      <c r="T95" s="98" t="n">
        <f aca="false">O95*F95+P95*K95+R95*AC95+S95*AH95/0.72+Q95*X95</f>
        <v>0</v>
      </c>
      <c r="V95" s="161" t="n">
        <f aca="false">D95</f>
        <v>38777</v>
      </c>
      <c r="W95" s="94" t="n">
        <f aca="false">VLOOKUP($D95,tblPriorPrice,4)</f>
        <v>0</v>
      </c>
      <c r="X95" s="162" t="n">
        <f aca="false">Y95-W95</f>
        <v>0</v>
      </c>
      <c r="Y95" s="176" t="n">
        <f aca="false">L95</f>
        <v>0</v>
      </c>
      <c r="Z95" s="177" t="n">
        <f aca="false">Y95</f>
        <v>0</v>
      </c>
      <c r="AA95" s="177" t="n">
        <f aca="false">Y95</f>
        <v>0</v>
      </c>
      <c r="AB95" s="94" t="n">
        <f aca="false">VLOOKUP($D95,tblPriorPrice,5)</f>
        <v>0</v>
      </c>
      <c r="AC95" s="162" t="n">
        <f aca="false">AD95-AB95</f>
        <v>0</v>
      </c>
      <c r="AD95" s="176" t="n">
        <f aca="false">L95</f>
        <v>0</v>
      </c>
      <c r="AE95" s="96" t="n">
        <f aca="false">AD95</f>
        <v>0</v>
      </c>
      <c r="AF95" s="97" t="n">
        <f aca="false">AD95</f>
        <v>0</v>
      </c>
      <c r="AG95" s="94" t="n">
        <f aca="false">VLOOKUP($D95,tblPriorPrice,6)</f>
        <v>0</v>
      </c>
      <c r="AH95" s="182"/>
      <c r="AI95" s="189" t="n">
        <f aca="false">AG95+AH95</f>
        <v>0</v>
      </c>
      <c r="AJ95" s="96" t="n">
        <f aca="false">AI95</f>
        <v>0</v>
      </c>
      <c r="AK95" s="97" t="n">
        <f aca="false">AI95</f>
        <v>0</v>
      </c>
      <c r="AL95" s="178" t="n">
        <v>21</v>
      </c>
      <c r="AM95" s="165" t="n">
        <v>0.4</v>
      </c>
      <c r="AN95" s="166" t="n">
        <f aca="false">EnergyCurve!AN95*2</f>
        <v>0.475</v>
      </c>
      <c r="AO95" s="166" t="n">
        <f aca="false">EnergyCurve!AO95</f>
        <v>0.21375</v>
      </c>
      <c r="AP95" s="166" t="n">
        <f aca="false">AN95*1.25</f>
        <v>0.59375</v>
      </c>
      <c r="AQ95" s="166" t="n">
        <f aca="false">EnergyCurve!AQ95*2</f>
        <v>0.475</v>
      </c>
      <c r="AR95" s="166" t="n">
        <f aca="false">EnergyCurve!AR95</f>
        <v>0.19</v>
      </c>
      <c r="AS95" s="166" t="n">
        <f aca="false">EnergyCurve!AS95*1.25</f>
        <v>0.35625</v>
      </c>
      <c r="AT95" s="168" t="n">
        <f aca="false">EnergyCurve!AT95*2*2</f>
        <v>6.56235962744143</v>
      </c>
      <c r="AU95" s="169" t="n">
        <f aca="false">EnergyCurve!AU95</f>
        <v>-0.410147476715089</v>
      </c>
      <c r="AV95" s="169" t="n">
        <f aca="false">AT95*1.25</f>
        <v>8.20294953430178</v>
      </c>
      <c r="AW95" s="168" t="n">
        <f aca="false">EnergyCurve!AW95*2*2</f>
        <v>10.4928</v>
      </c>
      <c r="AX95" s="169" t="n">
        <f aca="false">EnergyCurve!AX95</f>
        <v>-0.6558</v>
      </c>
      <c r="AY95" s="169" t="n">
        <f aca="false">AW95*1.25</f>
        <v>13.116</v>
      </c>
      <c r="AZ95" s="167" t="n">
        <v>0</v>
      </c>
      <c r="BA95" s="74"/>
      <c r="BC95" s="222" t="n">
        <v>-2.5</v>
      </c>
      <c r="BD95" s="223" t="n">
        <v>0.005</v>
      </c>
      <c r="BF95" s="224"/>
      <c r="BQ95" s="108" t="n">
        <v>36907.7428240741</v>
      </c>
      <c r="BR95" s="109" t="n">
        <v>36907.7434490741</v>
      </c>
      <c r="BS95" s="110" t="n">
        <v>38991</v>
      </c>
      <c r="BT95" s="111" t="n">
        <v>0</v>
      </c>
      <c r="BU95" s="112" t="n">
        <v>0</v>
      </c>
      <c r="BV95" s="112" t="n">
        <v>0</v>
      </c>
      <c r="BW95" s="112" t="n">
        <v>0</v>
      </c>
      <c r="BX95" s="113" t="n">
        <v>0</v>
      </c>
      <c r="BZ95" s="110" t="n">
        <v>38777</v>
      </c>
      <c r="CA95" s="116" t="n">
        <v>31.9610004425049</v>
      </c>
      <c r="CB95" s="116" t="n">
        <v>0</v>
      </c>
      <c r="CC95" s="116" t="n">
        <v>0</v>
      </c>
      <c r="CD95" s="116" t="n">
        <v>0</v>
      </c>
      <c r="CE95" s="117" t="n">
        <v>0</v>
      </c>
      <c r="CG95" s="105" t="s">
        <v>85</v>
      </c>
      <c r="CH95" s="118"/>
      <c r="CI95" s="118"/>
      <c r="CJ95" s="119"/>
      <c r="CU95" s="105" t="s">
        <v>85</v>
      </c>
      <c r="CV95" s="118"/>
      <c r="CW95" s="118"/>
      <c r="CX95" s="119"/>
      <c r="DI95" s="105" t="s">
        <v>85</v>
      </c>
      <c r="DJ95" s="118"/>
      <c r="DK95" s="118"/>
      <c r="DL95" s="119"/>
    </row>
    <row r="96" customFormat="false" ht="12.75" hidden="false" customHeight="false" outlineLevel="0" collapsed="false">
      <c r="A96" s="0" t="n">
        <f aca="true">IF(ISERROR(MATCH(D96,iRefDt,0)),"",MATCH(D96,iRefDt,0))</f>
        <v>87</v>
      </c>
      <c r="B96" s="92" t="n">
        <f aca="false">MATCH(YEAR(D96),iSpreads)</f>
        <v>6</v>
      </c>
      <c r="C96" s="0" t="n">
        <f aca="false">MONTH(D96)</f>
        <v>4</v>
      </c>
      <c r="D96" s="93" t="n">
        <f aca="false">+EnergyCurve!D96</f>
        <v>38808</v>
      </c>
      <c r="E96" s="94" t="n">
        <f aca="false">VLOOKUP($D96,tblPriorPrice,2)</f>
        <v>30.8999996185303</v>
      </c>
      <c r="F96" s="95" t="n">
        <f aca="false">G96-E96</f>
        <v>3.81469728694128E-007</v>
      </c>
      <c r="G96" s="264" t="n">
        <f aca="false">IF(EnergyCurve!G96&lt;200,0.001*EnergyCurve!G96+1,1.2)*EnergyCurve!G96</f>
        <v>30.9</v>
      </c>
      <c r="H96" s="96" t="n">
        <f aca="false">IF(EnergyCurve!H96&lt;200,0.001*EnergyCurve!H96+1,1.2)*EnergyCurve!H96</f>
        <v>25.625</v>
      </c>
      <c r="I96" s="96" t="n">
        <f aca="false">IF(EnergyCurve!I96&lt;200,0.001*EnergyCurve!I96+1,1.2)*EnergyCurve!I96</f>
        <v>52.5</v>
      </c>
      <c r="J96" s="94" t="n">
        <f aca="false">VLOOKUP($D96,tblPriorPrice,3)</f>
        <v>0</v>
      </c>
      <c r="K96" s="95" t="n">
        <f aca="false">L96-J96</f>
        <v>0</v>
      </c>
      <c r="L96" s="264" t="n">
        <v>0</v>
      </c>
      <c r="M96" s="96" t="n">
        <f aca="false">L96</f>
        <v>0</v>
      </c>
      <c r="N96" s="96" t="n">
        <f aca="false">L96</f>
        <v>0</v>
      </c>
      <c r="O96" s="58" t="n">
        <f aca="true">IF($A96="",0,INDEX(tblPosn,$A96,2))</f>
        <v>0</v>
      </c>
      <c r="P96" s="59" t="n">
        <f aca="true">IF($A96="",0,INDEX(tblPosn,$A96,3))</f>
        <v>0</v>
      </c>
      <c r="Q96" s="59" t="n">
        <f aca="true">IF($A96="",0,INDEX(tblPosn,$A96,4))</f>
        <v>0</v>
      </c>
      <c r="R96" s="59" t="n">
        <f aca="true">IF($A96="",0,INDEX(tblPosn,$A96,5))</f>
        <v>0</v>
      </c>
      <c r="S96" s="59" t="n">
        <f aca="true">IF($A96="",0,INDEX(tblPosn,$A96,6))</f>
        <v>0</v>
      </c>
      <c r="T96" s="98" t="n">
        <f aca="false">O96*F96+P96*K96+R96*AC96+S96*AH96/0.72+Q96*X96</f>
        <v>0</v>
      </c>
      <c r="V96" s="161" t="n">
        <f aca="false">D96</f>
        <v>38808</v>
      </c>
      <c r="W96" s="94" t="n">
        <f aca="false">VLOOKUP($D96,tblPriorPrice,4)</f>
        <v>0</v>
      </c>
      <c r="X96" s="162" t="n">
        <f aca="false">Y96-W96</f>
        <v>0</v>
      </c>
      <c r="Y96" s="176" t="n">
        <f aca="false">L96</f>
        <v>0</v>
      </c>
      <c r="Z96" s="177" t="n">
        <f aca="false">Y96</f>
        <v>0</v>
      </c>
      <c r="AA96" s="177" t="n">
        <f aca="false">Y96</f>
        <v>0</v>
      </c>
      <c r="AB96" s="94" t="n">
        <f aca="false">VLOOKUP($D96,tblPriorPrice,5)</f>
        <v>0</v>
      </c>
      <c r="AC96" s="162" t="n">
        <f aca="false">AD96-AB96</f>
        <v>0</v>
      </c>
      <c r="AD96" s="176" t="n">
        <f aca="false">L96</f>
        <v>0</v>
      </c>
      <c r="AE96" s="96" t="n">
        <f aca="false">AD96</f>
        <v>0</v>
      </c>
      <c r="AF96" s="97" t="n">
        <f aca="false">AD96</f>
        <v>0</v>
      </c>
      <c r="AG96" s="94" t="n">
        <f aca="false">VLOOKUP($D96,tblPriorPrice,6)</f>
        <v>0</v>
      </c>
      <c r="AH96" s="182"/>
      <c r="AI96" s="189" t="n">
        <f aca="false">AG96+AH96</f>
        <v>0</v>
      </c>
      <c r="AJ96" s="96" t="n">
        <f aca="false">AI96</f>
        <v>0</v>
      </c>
      <c r="AK96" s="97" t="n">
        <f aca="false">AI96</f>
        <v>0</v>
      </c>
      <c r="AL96" s="178" t="n">
        <v>22</v>
      </c>
      <c r="AM96" s="165" t="n">
        <v>0.4</v>
      </c>
      <c r="AN96" s="166" t="n">
        <f aca="false">EnergyCurve!AN96*2</f>
        <v>0.475</v>
      </c>
      <c r="AO96" s="166" t="n">
        <f aca="false">EnergyCurve!AO96</f>
        <v>0.21375</v>
      </c>
      <c r="AP96" s="166" t="n">
        <f aca="false">AN96*1.25</f>
        <v>0.59375</v>
      </c>
      <c r="AQ96" s="166" t="n">
        <f aca="false">EnergyCurve!AQ96*2</f>
        <v>0.475</v>
      </c>
      <c r="AR96" s="166" t="n">
        <f aca="false">EnergyCurve!AR96</f>
        <v>0.19</v>
      </c>
      <c r="AS96" s="166" t="n">
        <f aca="false">EnergyCurve!AS96*1.25</f>
        <v>0.35625</v>
      </c>
      <c r="AT96" s="168" t="n">
        <f aca="false">EnergyCurve!AT96*2*2</f>
        <v>6.43371807382396</v>
      </c>
      <c r="AU96" s="169" t="n">
        <f aca="false">EnergyCurve!AU96</f>
        <v>-0.402107379613998</v>
      </c>
      <c r="AV96" s="169" t="n">
        <f aca="false">AT96*1.25</f>
        <v>8.04214759227995</v>
      </c>
      <c r="AW96" s="168" t="n">
        <f aca="false">EnergyCurve!AW96*2*2</f>
        <v>10.587</v>
      </c>
      <c r="AX96" s="169" t="n">
        <f aca="false">EnergyCurve!AX96</f>
        <v>-0.6616875</v>
      </c>
      <c r="AY96" s="169" t="n">
        <f aca="false">AW96*1.25</f>
        <v>13.23375</v>
      </c>
      <c r="AZ96" s="167" t="n">
        <v>0</v>
      </c>
      <c r="BA96" s="74"/>
      <c r="BC96" s="222" t="n">
        <v>-2</v>
      </c>
      <c r="BD96" s="223" t="n">
        <v>0.0025</v>
      </c>
      <c r="BF96" s="224"/>
      <c r="BQ96" s="108" t="n">
        <v>36907.7428240741</v>
      </c>
      <c r="BR96" s="109" t="n">
        <v>36907.7434490741</v>
      </c>
      <c r="BS96" s="110" t="n">
        <v>39022</v>
      </c>
      <c r="BT96" s="111" t="n">
        <v>0</v>
      </c>
      <c r="BU96" s="112" t="n">
        <v>0</v>
      </c>
      <c r="BV96" s="112" t="n">
        <v>0</v>
      </c>
      <c r="BW96" s="112" t="n">
        <v>0</v>
      </c>
      <c r="BX96" s="113" t="n">
        <v>0</v>
      </c>
      <c r="BZ96" s="110" t="n">
        <v>38808</v>
      </c>
      <c r="CA96" s="116" t="n">
        <v>30.8999996185303</v>
      </c>
      <c r="CB96" s="116" t="n">
        <v>0</v>
      </c>
      <c r="CC96" s="116" t="n">
        <v>0</v>
      </c>
      <c r="CD96" s="116" t="n">
        <v>0</v>
      </c>
      <c r="CE96" s="117" t="n">
        <v>0</v>
      </c>
      <c r="CG96" s="125" t="s">
        <v>99</v>
      </c>
      <c r="CH96" s="126" t="s">
        <v>100</v>
      </c>
      <c r="CI96" s="126" t="s">
        <v>101</v>
      </c>
      <c r="CJ96" s="126" t="s">
        <v>102</v>
      </c>
      <c r="CK96" s="126" t="s">
        <v>103</v>
      </c>
      <c r="CL96" s="126" t="s">
        <v>104</v>
      </c>
      <c r="CM96" s="126" t="s">
        <v>105</v>
      </c>
      <c r="CN96" s="126" t="s">
        <v>106</v>
      </c>
      <c r="CO96" s="126" t="s">
        <v>107</v>
      </c>
      <c r="CP96" s="126" t="s">
        <v>108</v>
      </c>
      <c r="CQ96" s="126" t="s">
        <v>109</v>
      </c>
      <c r="CR96" s="126" t="s">
        <v>110</v>
      </c>
      <c r="CS96" s="126" t="s">
        <v>111</v>
      </c>
      <c r="CU96" s="125" t="s">
        <v>99</v>
      </c>
      <c r="CV96" s="126" t="s">
        <v>100</v>
      </c>
      <c r="CW96" s="126" t="s">
        <v>101</v>
      </c>
      <c r="CX96" s="126" t="s">
        <v>102</v>
      </c>
      <c r="CY96" s="126" t="s">
        <v>103</v>
      </c>
      <c r="CZ96" s="126" t="s">
        <v>104</v>
      </c>
      <c r="DA96" s="126" t="s">
        <v>105</v>
      </c>
      <c r="DB96" s="126" t="s">
        <v>106</v>
      </c>
      <c r="DC96" s="126" t="s">
        <v>107</v>
      </c>
      <c r="DD96" s="126" t="s">
        <v>108</v>
      </c>
      <c r="DE96" s="126" t="s">
        <v>109</v>
      </c>
      <c r="DF96" s="126" t="s">
        <v>110</v>
      </c>
      <c r="DG96" s="126" t="s">
        <v>111</v>
      </c>
      <c r="DI96" s="125" t="s">
        <v>99</v>
      </c>
      <c r="DJ96" s="126" t="s">
        <v>100</v>
      </c>
      <c r="DK96" s="126" t="s">
        <v>101</v>
      </c>
      <c r="DL96" s="126" t="s">
        <v>102</v>
      </c>
      <c r="DM96" s="126" t="s">
        <v>103</v>
      </c>
      <c r="DN96" s="126" t="s">
        <v>104</v>
      </c>
      <c r="DO96" s="126" t="s">
        <v>105</v>
      </c>
      <c r="DP96" s="126" t="s">
        <v>106</v>
      </c>
      <c r="DQ96" s="126" t="s">
        <v>107</v>
      </c>
      <c r="DR96" s="126" t="s">
        <v>108</v>
      </c>
      <c r="DS96" s="126" t="s">
        <v>109</v>
      </c>
      <c r="DT96" s="126" t="s">
        <v>110</v>
      </c>
      <c r="DU96" s="126" t="s">
        <v>111</v>
      </c>
    </row>
    <row r="97" customFormat="false" ht="12.75" hidden="false" customHeight="false" outlineLevel="0" collapsed="false">
      <c r="A97" s="0" t="n">
        <f aca="true">IF(ISERROR(MATCH(D97,iRefDt,0)),"",MATCH(D97,iRefDt,0))</f>
        <v>88</v>
      </c>
      <c r="B97" s="92" t="n">
        <f aca="false">MATCH(YEAR(D97),iSpreads)</f>
        <v>6</v>
      </c>
      <c r="C97" s="0" t="n">
        <f aca="false">MONTH(D97)</f>
        <v>5</v>
      </c>
      <c r="D97" s="93" t="n">
        <f aca="false">+EnergyCurve!D97</f>
        <v>38838</v>
      </c>
      <c r="E97" s="94" t="n">
        <f aca="false">VLOOKUP($D97,tblPriorPrice,2)</f>
        <v>34.0890007019043</v>
      </c>
      <c r="F97" s="95" t="n">
        <f aca="false">G97-E97</f>
        <v>-7.01904298239242E-007</v>
      </c>
      <c r="G97" s="264" t="n">
        <f aca="false">IF(EnergyCurve!G97&lt;200,0.001*EnergyCurve!G97+1,1.2)*EnergyCurve!G97</f>
        <v>34.089</v>
      </c>
      <c r="H97" s="96" t="n">
        <f aca="false">IF(EnergyCurve!H97&lt;200,0.001*EnergyCurve!H97+1,1.2)*EnergyCurve!H97</f>
        <v>28.784</v>
      </c>
      <c r="I97" s="96" t="n">
        <f aca="false">IF(EnergyCurve!I97&lt;200,0.001*EnergyCurve!I97+1,1.2)*EnergyCurve!I97</f>
        <v>55.809</v>
      </c>
      <c r="J97" s="94" t="n">
        <f aca="false">VLOOKUP($D97,tblPriorPrice,3)</f>
        <v>0</v>
      </c>
      <c r="K97" s="95" t="n">
        <f aca="false">L97-J97</f>
        <v>0</v>
      </c>
      <c r="L97" s="264" t="n">
        <v>0</v>
      </c>
      <c r="M97" s="96" t="n">
        <f aca="false">L97</f>
        <v>0</v>
      </c>
      <c r="N97" s="96" t="n">
        <f aca="false">L97</f>
        <v>0</v>
      </c>
      <c r="O97" s="58" t="n">
        <f aca="true">IF($A97="",0,INDEX(tblPosn,$A97,2))</f>
        <v>0</v>
      </c>
      <c r="P97" s="59" t="n">
        <f aca="true">IF($A97="",0,INDEX(tblPosn,$A97,3))</f>
        <v>0</v>
      </c>
      <c r="Q97" s="59" t="n">
        <f aca="true">IF($A97="",0,INDEX(tblPosn,$A97,4))</f>
        <v>0</v>
      </c>
      <c r="R97" s="59" t="n">
        <f aca="true">IF($A97="",0,INDEX(tblPosn,$A97,5))</f>
        <v>0</v>
      </c>
      <c r="S97" s="59" t="n">
        <f aca="true">IF($A97="",0,INDEX(tblPosn,$A97,6))</f>
        <v>0</v>
      </c>
      <c r="T97" s="98" t="n">
        <f aca="false">O97*F97+P97*K97+R97*AC97+S97*AH97/0.72+Q97*X97</f>
        <v>0</v>
      </c>
      <c r="V97" s="161" t="n">
        <f aca="false">D97</f>
        <v>38838</v>
      </c>
      <c r="W97" s="94" t="n">
        <f aca="false">VLOOKUP($D97,tblPriorPrice,4)</f>
        <v>0</v>
      </c>
      <c r="X97" s="162" t="n">
        <f aca="false">Y97-W97</f>
        <v>0</v>
      </c>
      <c r="Y97" s="176" t="n">
        <f aca="false">L97</f>
        <v>0</v>
      </c>
      <c r="Z97" s="177" t="n">
        <f aca="false">Y97</f>
        <v>0</v>
      </c>
      <c r="AA97" s="177" t="n">
        <f aca="false">Y97</f>
        <v>0</v>
      </c>
      <c r="AB97" s="94" t="n">
        <f aca="false">VLOOKUP($D97,tblPriorPrice,5)</f>
        <v>0</v>
      </c>
      <c r="AC97" s="162" t="n">
        <f aca="false">AD97-AB97</f>
        <v>0</v>
      </c>
      <c r="AD97" s="176" t="n">
        <f aca="false">L97</f>
        <v>0</v>
      </c>
      <c r="AE97" s="96" t="n">
        <f aca="false">AD97</f>
        <v>0</v>
      </c>
      <c r="AF97" s="97" t="n">
        <f aca="false">AD97</f>
        <v>0</v>
      </c>
      <c r="AG97" s="94" t="n">
        <f aca="false">VLOOKUP($D97,tblPriorPrice,6)</f>
        <v>0</v>
      </c>
      <c r="AH97" s="182"/>
      <c r="AI97" s="189" t="n">
        <f aca="false">AG97+AH97</f>
        <v>0</v>
      </c>
      <c r="AJ97" s="96" t="n">
        <f aca="false">AI97</f>
        <v>0</v>
      </c>
      <c r="AK97" s="97" t="n">
        <f aca="false">AI97</f>
        <v>0</v>
      </c>
      <c r="AL97" s="178" t="n">
        <v>22</v>
      </c>
      <c r="AM97" s="165" t="n">
        <v>0.4</v>
      </c>
      <c r="AN97" s="166" t="n">
        <f aca="false">EnergyCurve!AN97*2</f>
        <v>0.47</v>
      </c>
      <c r="AO97" s="166" t="n">
        <f aca="false">EnergyCurve!AO97</f>
        <v>0.2115</v>
      </c>
      <c r="AP97" s="166" t="n">
        <f aca="false">AN97*1.25</f>
        <v>0.5875</v>
      </c>
      <c r="AQ97" s="166" t="n">
        <f aca="false">EnergyCurve!AQ97*2</f>
        <v>0.47</v>
      </c>
      <c r="AR97" s="166" t="n">
        <f aca="false">EnergyCurve!AR97</f>
        <v>0.188</v>
      </c>
      <c r="AS97" s="166" t="n">
        <f aca="false">EnergyCurve!AS97*1.25</f>
        <v>0.3525</v>
      </c>
      <c r="AT97" s="168" t="n">
        <f aca="false">EnergyCurve!AT97*2*2</f>
        <v>6.88781730529552</v>
      </c>
      <c r="AU97" s="169" t="n">
        <f aca="false">EnergyCurve!AU97</f>
        <v>-0.43048858158097</v>
      </c>
      <c r="AV97" s="169" t="n">
        <f aca="false">AT97*1.25</f>
        <v>8.60977163161941</v>
      </c>
      <c r="AW97" s="168" t="n">
        <f aca="false">EnergyCurve!AW97*2*2</f>
        <v>10.3044</v>
      </c>
      <c r="AX97" s="169" t="n">
        <f aca="false">EnergyCurve!AX97</f>
        <v>-0.644025</v>
      </c>
      <c r="AY97" s="169" t="n">
        <f aca="false">AW97*1.25</f>
        <v>12.8805</v>
      </c>
      <c r="AZ97" s="167" t="n">
        <v>0</v>
      </c>
      <c r="BA97" s="74"/>
      <c r="BC97" s="222" t="n">
        <v>-1.5</v>
      </c>
      <c r="BD97" s="223" t="n">
        <v>0</v>
      </c>
      <c r="BF97" s="224"/>
      <c r="BQ97" s="108" t="n">
        <v>36907.7428240741</v>
      </c>
      <c r="BR97" s="109" t="n">
        <v>36907.7434490741</v>
      </c>
      <c r="BS97" s="110" t="n">
        <v>39052</v>
      </c>
      <c r="BT97" s="111" t="n">
        <v>0</v>
      </c>
      <c r="BU97" s="112" t="n">
        <v>0</v>
      </c>
      <c r="BV97" s="112" t="n">
        <v>0</v>
      </c>
      <c r="BW97" s="112" t="n">
        <v>0</v>
      </c>
      <c r="BX97" s="113" t="n">
        <v>0</v>
      </c>
      <c r="BZ97" s="110" t="n">
        <v>38838</v>
      </c>
      <c r="CA97" s="116" t="n">
        <v>34.0890007019043</v>
      </c>
      <c r="CB97" s="116" t="n">
        <v>0</v>
      </c>
      <c r="CC97" s="116" t="n">
        <v>0</v>
      </c>
      <c r="CD97" s="116" t="n">
        <v>0</v>
      </c>
      <c r="CE97" s="117" t="n">
        <v>0</v>
      </c>
      <c r="CG97" s="128" t="n">
        <f aca="false">BB10</f>
        <v>2001</v>
      </c>
      <c r="CH97" s="129" t="n">
        <v>0</v>
      </c>
      <c r="CI97" s="130" t="n">
        <v>0</v>
      </c>
      <c r="CJ97" s="130" t="n">
        <v>0</v>
      </c>
      <c r="CK97" s="130" t="n">
        <v>0</v>
      </c>
      <c r="CL97" s="130" t="n">
        <v>0</v>
      </c>
      <c r="CM97" s="130" t="n">
        <v>0</v>
      </c>
      <c r="CN97" s="130" t="n">
        <v>0</v>
      </c>
      <c r="CO97" s="130" t="n">
        <v>0</v>
      </c>
      <c r="CP97" s="130" t="n">
        <v>0</v>
      </c>
      <c r="CQ97" s="130" t="n">
        <v>0</v>
      </c>
      <c r="CR97" s="130" t="n">
        <v>0</v>
      </c>
      <c r="CS97" s="131" t="n">
        <v>0</v>
      </c>
      <c r="CU97" s="128" t="n">
        <f aca="false">BB10</f>
        <v>2001</v>
      </c>
      <c r="CV97" s="129" t="n">
        <v>0</v>
      </c>
      <c r="CW97" s="130" t="n">
        <v>0</v>
      </c>
      <c r="CX97" s="130" t="n">
        <v>0</v>
      </c>
      <c r="CY97" s="130" t="n">
        <v>0</v>
      </c>
      <c r="CZ97" s="130" t="n">
        <v>0</v>
      </c>
      <c r="DA97" s="130" t="n">
        <v>0</v>
      </c>
      <c r="DB97" s="130" t="n">
        <v>0</v>
      </c>
      <c r="DC97" s="130" t="n">
        <v>0</v>
      </c>
      <c r="DD97" s="130" t="n">
        <v>0</v>
      </c>
      <c r="DE97" s="130" t="n">
        <v>0</v>
      </c>
      <c r="DF97" s="130" t="n">
        <v>0</v>
      </c>
      <c r="DG97" s="131" t="n">
        <v>0</v>
      </c>
      <c r="DI97" s="128" t="n">
        <f aca="false">BB10</f>
        <v>2001</v>
      </c>
      <c r="DJ97" s="129" t="n">
        <v>0</v>
      </c>
      <c r="DK97" s="130" t="n">
        <v>0</v>
      </c>
      <c r="DL97" s="130" t="n">
        <v>0</v>
      </c>
      <c r="DM97" s="130" t="n">
        <v>0</v>
      </c>
      <c r="DN97" s="130" t="n">
        <v>0</v>
      </c>
      <c r="DO97" s="130" t="n">
        <v>0</v>
      </c>
      <c r="DP97" s="130" t="n">
        <v>0</v>
      </c>
      <c r="DQ97" s="130" t="n">
        <v>0</v>
      </c>
      <c r="DR97" s="130" t="n">
        <v>0</v>
      </c>
      <c r="DS97" s="130" t="n">
        <v>0</v>
      </c>
      <c r="DT97" s="130" t="n">
        <v>0</v>
      </c>
      <c r="DU97" s="131" t="n">
        <v>0</v>
      </c>
    </row>
    <row r="98" customFormat="false" ht="12.75" hidden="false" customHeight="false" outlineLevel="0" collapsed="false">
      <c r="A98" s="0" t="n">
        <f aca="true">IF(ISERROR(MATCH(D98,iRefDt,0)),"",MATCH(D98,iRefDt,0))</f>
        <v>89</v>
      </c>
      <c r="B98" s="92" t="n">
        <f aca="false">MATCH(YEAR(D98),iSpreads)</f>
        <v>6</v>
      </c>
      <c r="C98" s="0" t="n">
        <f aca="false">MONTH(D98)</f>
        <v>6</v>
      </c>
      <c r="D98" s="93" t="n">
        <f aca="false">+EnergyCurve!D98</f>
        <v>38869</v>
      </c>
      <c r="E98" s="94" t="n">
        <f aca="false">VLOOKUP($D98,tblPriorPrice,2)</f>
        <v>40.5209999084473</v>
      </c>
      <c r="F98" s="95" t="n">
        <f aca="false">G98-E98</f>
        <v>9.15527280653805E-008</v>
      </c>
      <c r="G98" s="264" t="n">
        <f aca="false">IF(EnergyCurve!G98&lt;200,0.001*EnergyCurve!G98+1,1.2)*EnergyCurve!G98</f>
        <v>40.521</v>
      </c>
      <c r="H98" s="96" t="n">
        <f aca="false">IF(EnergyCurve!H98&lt;200,0.001*EnergyCurve!H98+1,1.2)*EnergyCurve!H98</f>
        <v>35.156</v>
      </c>
      <c r="I98" s="96" t="n">
        <f aca="false">IF(EnergyCurve!I98&lt;200,0.001*EnergyCurve!I98+1,1.2)*EnergyCurve!I98</f>
        <v>62.481</v>
      </c>
      <c r="J98" s="94" t="n">
        <f aca="false">VLOOKUP($D98,tblPriorPrice,3)</f>
        <v>0</v>
      </c>
      <c r="K98" s="95" t="n">
        <f aca="false">L98-J98</f>
        <v>0</v>
      </c>
      <c r="L98" s="264" t="n">
        <v>0</v>
      </c>
      <c r="M98" s="96" t="n">
        <f aca="false">L98</f>
        <v>0</v>
      </c>
      <c r="N98" s="96" t="n">
        <f aca="false">L98</f>
        <v>0</v>
      </c>
      <c r="O98" s="58" t="n">
        <f aca="true">IF($A98="",0,INDEX(tblPosn,$A98,2))</f>
        <v>0</v>
      </c>
      <c r="P98" s="59" t="n">
        <f aca="true">IF($A98="",0,INDEX(tblPosn,$A98,3))</f>
        <v>0</v>
      </c>
      <c r="Q98" s="59" t="n">
        <f aca="true">IF($A98="",0,INDEX(tblPosn,$A98,4))</f>
        <v>0</v>
      </c>
      <c r="R98" s="59" t="n">
        <f aca="true">IF($A98="",0,INDEX(tblPosn,$A98,5))</f>
        <v>0</v>
      </c>
      <c r="S98" s="59" t="n">
        <f aca="true">IF($A98="",0,INDEX(tblPosn,$A98,6))</f>
        <v>0</v>
      </c>
      <c r="T98" s="98" t="n">
        <f aca="false">O98*F98+P98*K98+R98*AC98+S98*AH98/0.72+Q98*X98</f>
        <v>0</v>
      </c>
      <c r="V98" s="161" t="n">
        <f aca="false">D98</f>
        <v>38869</v>
      </c>
      <c r="W98" s="94" t="n">
        <f aca="false">VLOOKUP($D98,tblPriorPrice,4)</f>
        <v>0</v>
      </c>
      <c r="X98" s="162"/>
      <c r="Y98" s="176" t="n">
        <f aca="false">L98</f>
        <v>0</v>
      </c>
      <c r="Z98" s="177" t="n">
        <f aca="false">Y98</f>
        <v>0</v>
      </c>
      <c r="AA98" s="177" t="n">
        <f aca="false">Y98</f>
        <v>0</v>
      </c>
      <c r="AB98" s="94" t="n">
        <f aca="false">VLOOKUP($D98,tblPriorPrice,5)</f>
        <v>0</v>
      </c>
      <c r="AC98" s="162"/>
      <c r="AD98" s="176" t="n">
        <f aca="false">L98</f>
        <v>0</v>
      </c>
      <c r="AE98" s="96" t="n">
        <f aca="false">AD98</f>
        <v>0</v>
      </c>
      <c r="AF98" s="97" t="n">
        <f aca="false">AD98</f>
        <v>0</v>
      </c>
      <c r="AG98" s="94" t="n">
        <f aca="false">VLOOKUP($D98,tblPriorPrice,6)</f>
        <v>0</v>
      </c>
      <c r="AH98" s="182"/>
      <c r="AI98" s="189" t="n">
        <f aca="false">AG98+AH98</f>
        <v>0</v>
      </c>
      <c r="AJ98" s="96" t="n">
        <f aca="false">AI98</f>
        <v>0</v>
      </c>
      <c r="AK98" s="97" t="n">
        <f aca="false">AI98</f>
        <v>0</v>
      </c>
      <c r="AL98" s="178" t="n">
        <v>22</v>
      </c>
      <c r="AM98" s="165" t="n">
        <v>0.4</v>
      </c>
      <c r="AN98" s="166" t="n">
        <f aca="false">EnergyCurve!AN98*2</f>
        <v>0.47</v>
      </c>
      <c r="AO98" s="166" t="n">
        <f aca="false">EnergyCurve!AO98</f>
        <v>0.2115</v>
      </c>
      <c r="AP98" s="166" t="n">
        <f aca="false">AN98*1.25</f>
        <v>0.5875</v>
      </c>
      <c r="AQ98" s="166" t="n">
        <f aca="false">EnergyCurve!AQ98*2</f>
        <v>0.47</v>
      </c>
      <c r="AR98" s="166" t="n">
        <f aca="false">EnergyCurve!AR98</f>
        <v>0.188</v>
      </c>
      <c r="AS98" s="166" t="n">
        <f aca="false">EnergyCurve!AS98*1.25</f>
        <v>0.3525</v>
      </c>
      <c r="AT98" s="168" t="n">
        <f aca="false">EnergyCurve!AT98*2*2</f>
        <v>8.27346121695085</v>
      </c>
      <c r="AU98" s="169" t="n">
        <f aca="false">EnergyCurve!AU98</f>
        <v>-0.517091326059428</v>
      </c>
      <c r="AV98" s="169" t="n">
        <f aca="false">AT98*1.25</f>
        <v>10.3418265211886</v>
      </c>
      <c r="AW98" s="168" t="n">
        <f aca="false">EnergyCurve!AW98*2*2</f>
        <v>9.7392</v>
      </c>
      <c r="AX98" s="169" t="n">
        <f aca="false">EnergyCurve!AX98</f>
        <v>-0.6087</v>
      </c>
      <c r="AY98" s="169" t="n">
        <f aca="false">AW98*1.25</f>
        <v>12.174</v>
      </c>
      <c r="AZ98" s="167" t="n">
        <v>0</v>
      </c>
      <c r="BA98" s="74"/>
      <c r="BC98" s="222" t="n">
        <v>-1</v>
      </c>
      <c r="BD98" s="223" t="n">
        <v>0</v>
      </c>
      <c r="BF98" s="224"/>
      <c r="BQ98" s="108" t="n">
        <v>36907.7428240741</v>
      </c>
      <c r="BR98" s="109" t="n">
        <v>36907.7434490741</v>
      </c>
      <c r="BS98" s="110" t="n">
        <v>39083</v>
      </c>
      <c r="BT98" s="111" t="n">
        <v>0</v>
      </c>
      <c r="BU98" s="112" t="n">
        <v>0</v>
      </c>
      <c r="BV98" s="112" t="n">
        <v>0</v>
      </c>
      <c r="BW98" s="112" t="n">
        <v>0</v>
      </c>
      <c r="BX98" s="113" t="n">
        <v>0</v>
      </c>
      <c r="BZ98" s="110" t="n">
        <v>38869</v>
      </c>
      <c r="CA98" s="116" t="n">
        <v>40.5209999084473</v>
      </c>
      <c r="CB98" s="116" t="n">
        <v>0</v>
      </c>
      <c r="CC98" s="116" t="n">
        <v>0</v>
      </c>
      <c r="CD98" s="116" t="n">
        <v>0</v>
      </c>
      <c r="CE98" s="117" t="n">
        <v>0</v>
      </c>
      <c r="CG98" s="135" t="n">
        <f aca="false">BB11</f>
        <v>2002</v>
      </c>
      <c r="CH98" s="136" t="n">
        <v>0</v>
      </c>
      <c r="CI98" s="137" t="n">
        <v>0</v>
      </c>
      <c r="CJ98" s="137" t="n">
        <v>0</v>
      </c>
      <c r="CK98" s="137" t="n">
        <v>0</v>
      </c>
      <c r="CL98" s="137" t="n">
        <v>0</v>
      </c>
      <c r="CM98" s="137" t="n">
        <v>0</v>
      </c>
      <c r="CN98" s="137" t="n">
        <v>0</v>
      </c>
      <c r="CO98" s="137" t="n">
        <v>0</v>
      </c>
      <c r="CP98" s="137" t="n">
        <v>0</v>
      </c>
      <c r="CQ98" s="137" t="n">
        <v>0</v>
      </c>
      <c r="CR98" s="137" t="n">
        <v>0</v>
      </c>
      <c r="CS98" s="138" t="n">
        <v>0</v>
      </c>
      <c r="CU98" s="135" t="n">
        <f aca="false">BB11</f>
        <v>2002</v>
      </c>
      <c r="CV98" s="136" t="n">
        <v>0</v>
      </c>
      <c r="CW98" s="137" t="n">
        <v>0</v>
      </c>
      <c r="CX98" s="137" t="n">
        <v>0</v>
      </c>
      <c r="CY98" s="137" t="n">
        <v>0</v>
      </c>
      <c r="CZ98" s="137" t="n">
        <v>0</v>
      </c>
      <c r="DA98" s="137" t="n">
        <v>0</v>
      </c>
      <c r="DB98" s="137" t="n">
        <v>0</v>
      </c>
      <c r="DC98" s="137" t="n">
        <v>0</v>
      </c>
      <c r="DD98" s="137" t="n">
        <v>0</v>
      </c>
      <c r="DE98" s="137" t="n">
        <v>0</v>
      </c>
      <c r="DF98" s="137" t="n">
        <v>0</v>
      </c>
      <c r="DG98" s="138" t="n">
        <v>0</v>
      </c>
      <c r="DI98" s="135" t="n">
        <f aca="false">BB11</f>
        <v>2002</v>
      </c>
      <c r="DJ98" s="136" t="n">
        <v>0</v>
      </c>
      <c r="DK98" s="137" t="n">
        <v>0</v>
      </c>
      <c r="DL98" s="137" t="n">
        <v>0</v>
      </c>
      <c r="DM98" s="137" t="n">
        <v>0</v>
      </c>
      <c r="DN98" s="137" t="n">
        <v>0</v>
      </c>
      <c r="DO98" s="137" t="n">
        <v>0</v>
      </c>
      <c r="DP98" s="137" t="n">
        <v>0</v>
      </c>
      <c r="DQ98" s="137" t="n">
        <v>0</v>
      </c>
      <c r="DR98" s="137" t="n">
        <v>0</v>
      </c>
      <c r="DS98" s="137" t="n">
        <v>0</v>
      </c>
      <c r="DT98" s="137" t="n">
        <v>0</v>
      </c>
      <c r="DU98" s="138" t="n">
        <v>0</v>
      </c>
    </row>
    <row r="99" customFormat="false" ht="12.75" hidden="false" customHeight="false" outlineLevel="0" collapsed="false">
      <c r="A99" s="0" t="n">
        <f aca="true">IF(ISERROR(MATCH(D99,iRefDt,0)),"",MATCH(D99,iRefDt,0))</f>
        <v>90</v>
      </c>
      <c r="B99" s="92" t="n">
        <f aca="false">MATCH(YEAR(D99),iSpreads)</f>
        <v>6</v>
      </c>
      <c r="C99" s="0" t="n">
        <f aca="false">MONTH(D99)</f>
        <v>7</v>
      </c>
      <c r="D99" s="93" t="n">
        <f aca="false">+EnergyCurve!D99</f>
        <v>38899</v>
      </c>
      <c r="E99" s="94" t="n">
        <f aca="false">VLOOKUP($D99,tblPriorPrice,2)</f>
        <v>40.5209999084473</v>
      </c>
      <c r="F99" s="95" t="n">
        <f aca="false">G99-E99</f>
        <v>9.15527280653805E-008</v>
      </c>
      <c r="G99" s="264" t="n">
        <f aca="false">IF(EnergyCurve!G99&lt;200,0.001*EnergyCurve!G99+1,1.2)*EnergyCurve!G99</f>
        <v>40.521</v>
      </c>
      <c r="H99" s="96" t="n">
        <f aca="false">IF(EnergyCurve!H99&lt;200,0.001*EnergyCurve!H99+1,1.2)*EnergyCurve!H99</f>
        <v>35.156</v>
      </c>
      <c r="I99" s="96" t="n">
        <f aca="false">IF(EnergyCurve!I99&lt;200,0.001*EnergyCurve!I99+1,1.2)*EnergyCurve!I99</f>
        <v>62.481</v>
      </c>
      <c r="J99" s="94" t="n">
        <f aca="false">VLOOKUP($D99,tblPriorPrice,3)</f>
        <v>0</v>
      </c>
      <c r="K99" s="95" t="n">
        <f aca="false">L99-J99</f>
        <v>0</v>
      </c>
      <c r="L99" s="264" t="n">
        <v>0</v>
      </c>
      <c r="M99" s="96" t="n">
        <f aca="false">L99</f>
        <v>0</v>
      </c>
      <c r="N99" s="96" t="n">
        <f aca="false">L99</f>
        <v>0</v>
      </c>
      <c r="O99" s="58" t="n">
        <f aca="true">IF($A99="",0,INDEX(tblPosn,$A99,2))</f>
        <v>0</v>
      </c>
      <c r="P99" s="59" t="n">
        <f aca="true">IF($A99="",0,INDEX(tblPosn,$A99,3))</f>
        <v>0</v>
      </c>
      <c r="Q99" s="59" t="n">
        <f aca="true">IF($A99="",0,INDEX(tblPosn,$A99,4))</f>
        <v>0</v>
      </c>
      <c r="R99" s="59" t="n">
        <f aca="true">IF($A99="",0,INDEX(tblPosn,$A99,5))</f>
        <v>0</v>
      </c>
      <c r="S99" s="59" t="n">
        <f aca="true">IF($A99="",0,INDEX(tblPosn,$A99,6))</f>
        <v>0</v>
      </c>
      <c r="T99" s="98" t="n">
        <f aca="false">O99*F99+P99*K99+R99*AC99+S99*AH99/0.72+Q99*X99</f>
        <v>0</v>
      </c>
      <c r="V99" s="161" t="n">
        <f aca="false">D99</f>
        <v>38899</v>
      </c>
      <c r="W99" s="94" t="n">
        <f aca="false">VLOOKUP($D99,tblPriorPrice,4)</f>
        <v>0</v>
      </c>
      <c r="X99" s="162"/>
      <c r="Y99" s="176" t="n">
        <f aca="false">L99</f>
        <v>0</v>
      </c>
      <c r="Z99" s="177" t="n">
        <f aca="false">Y99</f>
        <v>0</v>
      </c>
      <c r="AA99" s="177" t="n">
        <f aca="false">Y99</f>
        <v>0</v>
      </c>
      <c r="AB99" s="94" t="n">
        <f aca="false">VLOOKUP($D99,tblPriorPrice,5)</f>
        <v>0</v>
      </c>
      <c r="AC99" s="162"/>
      <c r="AD99" s="176" t="n">
        <f aca="false">L99</f>
        <v>0</v>
      </c>
      <c r="AE99" s="96" t="n">
        <f aca="false">AD99</f>
        <v>0</v>
      </c>
      <c r="AF99" s="97" t="n">
        <f aca="false">AD99</f>
        <v>0</v>
      </c>
      <c r="AG99" s="94" t="n">
        <f aca="false">VLOOKUP($D99,tblPriorPrice,6)</f>
        <v>0</v>
      </c>
      <c r="AH99" s="182"/>
      <c r="AI99" s="189" t="n">
        <f aca="false">AG99+AH99</f>
        <v>0</v>
      </c>
      <c r="AJ99" s="96" t="n">
        <f aca="false">AI99</f>
        <v>0</v>
      </c>
      <c r="AK99" s="97" t="n">
        <f aca="false">AI99</f>
        <v>0</v>
      </c>
      <c r="AL99" s="178" t="n">
        <v>23</v>
      </c>
      <c r="AM99" s="165" t="n">
        <v>0.4</v>
      </c>
      <c r="AN99" s="166" t="n">
        <f aca="false">EnergyCurve!AN99*2</f>
        <v>0.47</v>
      </c>
      <c r="AO99" s="166" t="n">
        <f aca="false">EnergyCurve!AO99</f>
        <v>0.2115</v>
      </c>
      <c r="AP99" s="166" t="n">
        <f aca="false">AN99*1.25</f>
        <v>0.5875</v>
      </c>
      <c r="AQ99" s="166" t="n">
        <f aca="false">EnergyCurve!AQ99*2</f>
        <v>0.47</v>
      </c>
      <c r="AR99" s="166" t="n">
        <f aca="false">EnergyCurve!AR99</f>
        <v>0.188</v>
      </c>
      <c r="AS99" s="166" t="n">
        <f aca="false">EnergyCurve!AS99*1.25</f>
        <v>0.3525</v>
      </c>
      <c r="AT99" s="168" t="n">
        <f aca="false">EnergyCurve!AT99*2*2</f>
        <v>8.27346121695085</v>
      </c>
      <c r="AU99" s="169" t="n">
        <f aca="false">EnergyCurve!AU99</f>
        <v>-0.517091326059428</v>
      </c>
      <c r="AV99" s="169" t="n">
        <f aca="false">AT99*1.25</f>
        <v>10.3418265211886</v>
      </c>
      <c r="AW99" s="168" t="n">
        <f aca="false">EnergyCurve!AW99*2*2</f>
        <v>9.7392</v>
      </c>
      <c r="AX99" s="169" t="n">
        <f aca="false">EnergyCurve!AX99</f>
        <v>-0.6087</v>
      </c>
      <c r="AY99" s="169" t="n">
        <f aca="false">AW99*1.25</f>
        <v>12.174</v>
      </c>
      <c r="AZ99" s="167" t="n">
        <v>0</v>
      </c>
      <c r="BA99" s="74"/>
      <c r="BC99" s="222" t="n">
        <v>-0.5</v>
      </c>
      <c r="BD99" s="223" t="n">
        <v>0</v>
      </c>
      <c r="BF99" s="224"/>
      <c r="BQ99" s="108" t="n">
        <v>36907.7428240741</v>
      </c>
      <c r="BR99" s="109" t="n">
        <v>36907.7434490741</v>
      </c>
      <c r="BS99" s="110" t="n">
        <v>39114</v>
      </c>
      <c r="BT99" s="111" t="n">
        <v>0</v>
      </c>
      <c r="BU99" s="112" t="n">
        <v>0</v>
      </c>
      <c r="BV99" s="112" t="n">
        <v>0</v>
      </c>
      <c r="BW99" s="112" t="n">
        <v>0</v>
      </c>
      <c r="BX99" s="113" t="n">
        <v>0</v>
      </c>
      <c r="BZ99" s="110" t="n">
        <v>38899</v>
      </c>
      <c r="CA99" s="116" t="n">
        <v>40.5209999084473</v>
      </c>
      <c r="CB99" s="116" t="n">
        <v>0</v>
      </c>
      <c r="CC99" s="116" t="n">
        <v>0</v>
      </c>
      <c r="CD99" s="116" t="n">
        <v>0</v>
      </c>
      <c r="CE99" s="117" t="n">
        <v>0</v>
      </c>
      <c r="CG99" s="135" t="n">
        <f aca="false">BB12</f>
        <v>2003</v>
      </c>
      <c r="CH99" s="136" t="n">
        <v>0</v>
      </c>
      <c r="CI99" s="137" t="n">
        <v>0</v>
      </c>
      <c r="CJ99" s="137" t="n">
        <v>0</v>
      </c>
      <c r="CK99" s="137" t="n">
        <v>0</v>
      </c>
      <c r="CL99" s="137" t="n">
        <v>0</v>
      </c>
      <c r="CM99" s="137" t="n">
        <v>0</v>
      </c>
      <c r="CN99" s="137" t="n">
        <v>0</v>
      </c>
      <c r="CO99" s="137" t="n">
        <v>0</v>
      </c>
      <c r="CP99" s="137" t="n">
        <v>0</v>
      </c>
      <c r="CQ99" s="137" t="n">
        <v>0</v>
      </c>
      <c r="CR99" s="137" t="n">
        <v>0</v>
      </c>
      <c r="CS99" s="138" t="n">
        <v>0</v>
      </c>
      <c r="CU99" s="135" t="n">
        <f aca="false">BB12</f>
        <v>2003</v>
      </c>
      <c r="CV99" s="136" t="n">
        <v>0</v>
      </c>
      <c r="CW99" s="137" t="n">
        <v>0</v>
      </c>
      <c r="CX99" s="137" t="n">
        <v>0</v>
      </c>
      <c r="CY99" s="137" t="n">
        <v>0</v>
      </c>
      <c r="CZ99" s="137" t="n">
        <v>0</v>
      </c>
      <c r="DA99" s="137" t="n">
        <v>0</v>
      </c>
      <c r="DB99" s="137" t="n">
        <v>0</v>
      </c>
      <c r="DC99" s="137" t="n">
        <v>0</v>
      </c>
      <c r="DD99" s="137" t="n">
        <v>0</v>
      </c>
      <c r="DE99" s="137" t="n">
        <v>0</v>
      </c>
      <c r="DF99" s="137" t="n">
        <v>0</v>
      </c>
      <c r="DG99" s="138" t="n">
        <v>0</v>
      </c>
      <c r="DI99" s="135" t="n">
        <f aca="false">BB12</f>
        <v>2003</v>
      </c>
      <c r="DJ99" s="136" t="n">
        <v>0</v>
      </c>
      <c r="DK99" s="137" t="n">
        <v>0</v>
      </c>
      <c r="DL99" s="137" t="n">
        <v>0</v>
      </c>
      <c r="DM99" s="137" t="n">
        <v>0</v>
      </c>
      <c r="DN99" s="137" t="n">
        <v>0</v>
      </c>
      <c r="DO99" s="137" t="n">
        <v>0</v>
      </c>
      <c r="DP99" s="137" t="n">
        <v>0</v>
      </c>
      <c r="DQ99" s="137" t="n">
        <v>0</v>
      </c>
      <c r="DR99" s="137" t="n">
        <v>0</v>
      </c>
      <c r="DS99" s="137" t="n">
        <v>0</v>
      </c>
      <c r="DT99" s="137" t="n">
        <v>0</v>
      </c>
      <c r="DU99" s="138" t="n">
        <v>0</v>
      </c>
    </row>
    <row r="100" customFormat="false" ht="12.75" hidden="false" customHeight="false" outlineLevel="0" collapsed="false">
      <c r="A100" s="0" t="n">
        <f aca="true">IF(ISERROR(MATCH(D100,iRefDt,0)),"",MATCH(D100,iRefDt,0))</f>
        <v>91</v>
      </c>
      <c r="B100" s="92" t="n">
        <f aca="false">MATCH(YEAR(D100),iSpreads)</f>
        <v>6</v>
      </c>
      <c r="C100" s="0" t="n">
        <f aca="false">MONTH(D100)</f>
        <v>8</v>
      </c>
      <c r="D100" s="93" t="n">
        <f aca="false">+EnergyCurve!D100</f>
        <v>38930</v>
      </c>
      <c r="E100" s="94" t="n">
        <f aca="false">VLOOKUP($D100,tblPriorPrice,2)</f>
        <v>44.8489990234375</v>
      </c>
      <c r="F100" s="95" t="n">
        <f aca="false">G100-E100</f>
        <v>9.76562496646238E-007</v>
      </c>
      <c r="G100" s="264" t="n">
        <f aca="false">IF(EnergyCurve!G100&lt;200,0.001*EnergyCurve!G100+1,1.2)*EnergyCurve!G100</f>
        <v>44.849</v>
      </c>
      <c r="H100" s="96" t="n">
        <f aca="false">IF(EnergyCurve!H100&lt;200,0.001*EnergyCurve!H100+1,1.2)*EnergyCurve!H100</f>
        <v>39.444</v>
      </c>
      <c r="I100" s="96" t="n">
        <f aca="false">IF(EnergyCurve!I100&lt;200,0.001*EnergyCurve!I100+1,1.2)*EnergyCurve!I100</f>
        <v>66.969</v>
      </c>
      <c r="J100" s="94" t="n">
        <f aca="false">VLOOKUP($D100,tblPriorPrice,3)</f>
        <v>0</v>
      </c>
      <c r="K100" s="95" t="n">
        <f aca="false">L100-J100</f>
        <v>0</v>
      </c>
      <c r="L100" s="264" t="n">
        <v>0</v>
      </c>
      <c r="M100" s="96" t="n">
        <f aca="false">L100</f>
        <v>0</v>
      </c>
      <c r="N100" s="96" t="n">
        <f aca="false">L100</f>
        <v>0</v>
      </c>
      <c r="O100" s="58" t="n">
        <f aca="true">IF($A100="",0,INDEX(tblPosn,$A100,2))</f>
        <v>0</v>
      </c>
      <c r="P100" s="59" t="n">
        <f aca="true">IF($A100="",0,INDEX(tblPosn,$A100,3))</f>
        <v>0</v>
      </c>
      <c r="Q100" s="59" t="n">
        <f aca="true">IF($A100="",0,INDEX(tblPosn,$A100,4))</f>
        <v>0</v>
      </c>
      <c r="R100" s="59" t="n">
        <f aca="true">IF($A100="",0,INDEX(tblPosn,$A100,5))</f>
        <v>0</v>
      </c>
      <c r="S100" s="59" t="n">
        <f aca="true">IF($A100="",0,INDEX(tblPosn,$A100,6))</f>
        <v>0</v>
      </c>
      <c r="T100" s="98" t="n">
        <f aca="false">O100*F100+P100*K100+R100*AC100+S100*AH100/0.72+Q100*X100</f>
        <v>0</v>
      </c>
      <c r="V100" s="161" t="n">
        <f aca="false">D100</f>
        <v>38930</v>
      </c>
      <c r="W100" s="94" t="n">
        <f aca="false">VLOOKUP($D100,tblPriorPrice,4)</f>
        <v>0</v>
      </c>
      <c r="X100" s="162"/>
      <c r="Y100" s="176" t="n">
        <f aca="false">L100</f>
        <v>0</v>
      </c>
      <c r="Z100" s="177" t="n">
        <f aca="false">Y100</f>
        <v>0</v>
      </c>
      <c r="AA100" s="177" t="n">
        <f aca="false">Y100</f>
        <v>0</v>
      </c>
      <c r="AB100" s="94" t="n">
        <f aca="false">VLOOKUP($D100,tblPriorPrice,5)</f>
        <v>0</v>
      </c>
      <c r="AC100" s="162"/>
      <c r="AD100" s="176" t="n">
        <f aca="false">L100</f>
        <v>0</v>
      </c>
      <c r="AE100" s="96" t="n">
        <f aca="false">AD100</f>
        <v>0</v>
      </c>
      <c r="AF100" s="97" t="n">
        <f aca="false">AD100</f>
        <v>0</v>
      </c>
      <c r="AG100" s="94" t="n">
        <f aca="false">VLOOKUP($D100,tblPriorPrice,6)</f>
        <v>0</v>
      </c>
      <c r="AH100" s="182"/>
      <c r="AI100" s="189" t="n">
        <f aca="false">AG100+AH100</f>
        <v>0</v>
      </c>
      <c r="AJ100" s="96" t="n">
        <f aca="false">AI100</f>
        <v>0</v>
      </c>
      <c r="AK100" s="97" t="n">
        <f aca="false">AI100</f>
        <v>0</v>
      </c>
      <c r="AL100" s="178" t="n">
        <v>23</v>
      </c>
      <c r="AM100" s="165" t="n">
        <v>0.4</v>
      </c>
      <c r="AN100" s="166" t="n">
        <f aca="false">EnergyCurve!AN100*2</f>
        <v>0.47</v>
      </c>
      <c r="AO100" s="166" t="n">
        <f aca="false">EnergyCurve!AO100</f>
        <v>0.2115</v>
      </c>
      <c r="AP100" s="166" t="n">
        <f aca="false">AN100*1.25</f>
        <v>0.5875</v>
      </c>
      <c r="AQ100" s="166" t="n">
        <f aca="false">EnergyCurve!AQ100*2</f>
        <v>0.47</v>
      </c>
      <c r="AR100" s="166" t="n">
        <f aca="false">EnergyCurve!AR100</f>
        <v>0.188</v>
      </c>
      <c r="AS100" s="166" t="n">
        <f aca="false">EnergyCurve!AS100*1.25</f>
        <v>0.3525</v>
      </c>
      <c r="AT100" s="168" t="n">
        <f aca="false">EnergyCurve!AT100*2*2</f>
        <v>9.43106847375392</v>
      </c>
      <c r="AU100" s="169" t="n">
        <f aca="false">EnergyCurve!AU100</f>
        <v>-0.58944177960962</v>
      </c>
      <c r="AV100" s="169" t="n">
        <f aca="false">AT100*1.25</f>
        <v>11.7888355921924</v>
      </c>
      <c r="AW100" s="168" t="n">
        <f aca="false">EnergyCurve!AW100*2*2</f>
        <v>9.645</v>
      </c>
      <c r="AX100" s="169" t="n">
        <f aca="false">EnergyCurve!AX100</f>
        <v>-0.6028125</v>
      </c>
      <c r="AY100" s="169" t="n">
        <f aca="false">AW100*1.25</f>
        <v>12.05625</v>
      </c>
      <c r="AZ100" s="167" t="n">
        <v>0</v>
      </c>
      <c r="BA100" s="74"/>
      <c r="BC100" s="222" t="n">
        <v>0</v>
      </c>
      <c r="BD100" s="223" t="n">
        <v>0</v>
      </c>
      <c r="BF100" s="224"/>
      <c r="BQ100" s="108" t="n">
        <v>36907.7428240741</v>
      </c>
      <c r="BR100" s="109" t="n">
        <v>36907.7434490741</v>
      </c>
      <c r="BS100" s="110" t="n">
        <v>39142</v>
      </c>
      <c r="BT100" s="111" t="n">
        <v>0</v>
      </c>
      <c r="BU100" s="112" t="n">
        <v>0</v>
      </c>
      <c r="BV100" s="112" t="n">
        <v>0</v>
      </c>
      <c r="BW100" s="112" t="n">
        <v>0</v>
      </c>
      <c r="BX100" s="113" t="n">
        <v>0</v>
      </c>
      <c r="BZ100" s="110" t="n">
        <v>38930</v>
      </c>
      <c r="CA100" s="116" t="n">
        <v>44.8489990234375</v>
      </c>
      <c r="CB100" s="116" t="n">
        <v>0</v>
      </c>
      <c r="CC100" s="116" t="n">
        <v>0</v>
      </c>
      <c r="CD100" s="116" t="n">
        <v>0</v>
      </c>
      <c r="CE100" s="117" t="n">
        <v>0</v>
      </c>
      <c r="CG100" s="135" t="n">
        <f aca="false">BB13</f>
        <v>2004</v>
      </c>
      <c r="CH100" s="136" t="n">
        <v>0</v>
      </c>
      <c r="CI100" s="137" t="n">
        <v>0</v>
      </c>
      <c r="CJ100" s="137" t="n">
        <v>0</v>
      </c>
      <c r="CK100" s="137" t="n">
        <v>0</v>
      </c>
      <c r="CL100" s="137" t="n">
        <v>0</v>
      </c>
      <c r="CM100" s="137" t="n">
        <v>0</v>
      </c>
      <c r="CN100" s="137" t="n">
        <v>0</v>
      </c>
      <c r="CO100" s="137" t="n">
        <v>0</v>
      </c>
      <c r="CP100" s="137" t="n">
        <v>0</v>
      </c>
      <c r="CQ100" s="137" t="n">
        <v>0</v>
      </c>
      <c r="CR100" s="137" t="n">
        <v>0</v>
      </c>
      <c r="CS100" s="138" t="n">
        <v>0</v>
      </c>
      <c r="CU100" s="135" t="n">
        <f aca="false">BB13</f>
        <v>2004</v>
      </c>
      <c r="CV100" s="136" t="n">
        <v>0</v>
      </c>
      <c r="CW100" s="137" t="n">
        <v>0</v>
      </c>
      <c r="CX100" s="137" t="n">
        <v>0</v>
      </c>
      <c r="CY100" s="137" t="n">
        <v>0</v>
      </c>
      <c r="CZ100" s="137" t="n">
        <v>0</v>
      </c>
      <c r="DA100" s="137" t="n">
        <v>0</v>
      </c>
      <c r="DB100" s="137" t="n">
        <v>0</v>
      </c>
      <c r="DC100" s="137" t="n">
        <v>0</v>
      </c>
      <c r="DD100" s="137" t="n">
        <v>0</v>
      </c>
      <c r="DE100" s="137" t="n">
        <v>0</v>
      </c>
      <c r="DF100" s="137" t="n">
        <v>0</v>
      </c>
      <c r="DG100" s="138" t="n">
        <v>0</v>
      </c>
      <c r="DI100" s="135" t="n">
        <f aca="false">BB13</f>
        <v>2004</v>
      </c>
      <c r="DJ100" s="136" t="n">
        <v>0</v>
      </c>
      <c r="DK100" s="137" t="n">
        <v>0</v>
      </c>
      <c r="DL100" s="137" t="n">
        <v>0</v>
      </c>
      <c r="DM100" s="137" t="n">
        <v>0</v>
      </c>
      <c r="DN100" s="137" t="n">
        <v>0</v>
      </c>
      <c r="DO100" s="137" t="n">
        <v>0</v>
      </c>
      <c r="DP100" s="137" t="n">
        <v>0</v>
      </c>
      <c r="DQ100" s="137" t="n">
        <v>0</v>
      </c>
      <c r="DR100" s="137" t="n">
        <v>0</v>
      </c>
      <c r="DS100" s="137" t="n">
        <v>0</v>
      </c>
      <c r="DT100" s="137" t="n">
        <v>0</v>
      </c>
      <c r="DU100" s="138" t="n">
        <v>0</v>
      </c>
    </row>
    <row r="101" customFormat="false" ht="12.75" hidden="false" customHeight="false" outlineLevel="0" collapsed="false">
      <c r="A101" s="0" t="n">
        <f aca="true">IF(ISERROR(MATCH(D101,iRefDt,0)),"",MATCH(D101,iRefDt,0))</f>
        <v>92</v>
      </c>
      <c r="B101" s="92" t="n">
        <f aca="false">MATCH(YEAR(D101),iSpreads)</f>
        <v>6</v>
      </c>
      <c r="C101" s="0" t="n">
        <f aca="false">MONTH(D101)</f>
        <v>9</v>
      </c>
      <c r="D101" s="93" t="n">
        <f aca="false">+EnergyCurve!D101</f>
        <v>38961</v>
      </c>
      <c r="E101" s="94" t="n">
        <f aca="false">VLOOKUP($D101,tblPriorPrice,2)</f>
        <v>36.2249984741211</v>
      </c>
      <c r="F101" s="95" t="n">
        <f aca="false">G101-E101</f>
        <v>1.52587890056566E-006</v>
      </c>
      <c r="G101" s="264" t="n">
        <f aca="false">IF(EnergyCurve!G101&lt;200,0.001*EnergyCurve!G101+1,1.2)*EnergyCurve!G101</f>
        <v>36.225</v>
      </c>
      <c r="H101" s="96" t="n">
        <f aca="false">IF(EnergyCurve!H101&lt;200,0.001*EnergyCurve!H101+1,1.2)*EnergyCurve!H101</f>
        <v>30.9</v>
      </c>
      <c r="I101" s="96" t="n">
        <f aca="false">IF(EnergyCurve!I101&lt;200,0.001*EnergyCurve!I101+1,1.2)*EnergyCurve!I101</f>
        <v>58.025</v>
      </c>
      <c r="J101" s="94" t="n">
        <f aca="false">VLOOKUP($D101,tblPriorPrice,3)</f>
        <v>0</v>
      </c>
      <c r="K101" s="95" t="n">
        <f aca="false">L101-J101</f>
        <v>0</v>
      </c>
      <c r="L101" s="264" t="n">
        <v>0</v>
      </c>
      <c r="M101" s="96" t="n">
        <f aca="false">L101</f>
        <v>0</v>
      </c>
      <c r="N101" s="96" t="n">
        <f aca="false">L101</f>
        <v>0</v>
      </c>
      <c r="O101" s="58" t="n">
        <f aca="true">IF($A101="",0,INDEX(tblPosn,$A101,2))</f>
        <v>0</v>
      </c>
      <c r="P101" s="59" t="n">
        <f aca="true">IF($A101="",0,INDEX(tblPosn,$A101,3))</f>
        <v>0</v>
      </c>
      <c r="Q101" s="59" t="n">
        <f aca="true">IF($A101="",0,INDEX(tblPosn,$A101,4))</f>
        <v>0</v>
      </c>
      <c r="R101" s="59" t="n">
        <f aca="true">IF($A101="",0,INDEX(tblPosn,$A101,5))</f>
        <v>0</v>
      </c>
      <c r="S101" s="59" t="n">
        <f aca="true">IF($A101="",0,INDEX(tblPosn,$A101,6))</f>
        <v>0</v>
      </c>
      <c r="T101" s="98" t="n">
        <f aca="false">O101*F101+P101*K101+R101*AC101+S101*AH101/0.72+Q101*X101</f>
        <v>0</v>
      </c>
      <c r="V101" s="161" t="n">
        <f aca="false">D101</f>
        <v>38961</v>
      </c>
      <c r="W101" s="94" t="n">
        <f aca="false">VLOOKUP($D101,tblPriorPrice,4)</f>
        <v>0</v>
      </c>
      <c r="X101" s="162"/>
      <c r="Y101" s="176" t="n">
        <f aca="false">L101</f>
        <v>0</v>
      </c>
      <c r="Z101" s="177" t="n">
        <f aca="false">Y101</f>
        <v>0</v>
      </c>
      <c r="AA101" s="177" t="n">
        <f aca="false">Y101</f>
        <v>0</v>
      </c>
      <c r="AB101" s="94" t="n">
        <f aca="false">VLOOKUP($D101,tblPriorPrice,5)</f>
        <v>0</v>
      </c>
      <c r="AC101" s="162"/>
      <c r="AD101" s="176" t="n">
        <f aca="false">L101</f>
        <v>0</v>
      </c>
      <c r="AE101" s="96" t="n">
        <f aca="false">AD101</f>
        <v>0</v>
      </c>
      <c r="AF101" s="97" t="n">
        <f aca="false">AD101</f>
        <v>0</v>
      </c>
      <c r="AG101" s="94" t="n">
        <f aca="false">VLOOKUP($D101,tblPriorPrice,6)</f>
        <v>0</v>
      </c>
      <c r="AH101" s="182"/>
      <c r="AI101" s="189" t="n">
        <f aca="false">AG101+AH101</f>
        <v>0</v>
      </c>
      <c r="AJ101" s="96" t="n">
        <f aca="false">AI101</f>
        <v>0</v>
      </c>
      <c r="AK101" s="97" t="n">
        <f aca="false">AI101</f>
        <v>0</v>
      </c>
      <c r="AL101" s="178" t="n">
        <v>23</v>
      </c>
      <c r="AM101" s="165" t="n">
        <v>0.4</v>
      </c>
      <c r="AN101" s="166" t="n">
        <f aca="false">EnergyCurve!AN101*2</f>
        <v>0.47</v>
      </c>
      <c r="AO101" s="166" t="n">
        <f aca="false">EnergyCurve!AO101</f>
        <v>0.2115</v>
      </c>
      <c r="AP101" s="166" t="n">
        <f aca="false">AN101*1.25</f>
        <v>0.5875</v>
      </c>
      <c r="AQ101" s="166" t="n">
        <f aca="false">EnergyCurve!AQ101*2</f>
        <v>0.47</v>
      </c>
      <c r="AR101" s="166" t="n">
        <f aca="false">EnergyCurve!AR101</f>
        <v>0.188</v>
      </c>
      <c r="AS101" s="166" t="n">
        <f aca="false">EnergyCurve!AS101*1.25</f>
        <v>0.3525</v>
      </c>
      <c r="AT101" s="168" t="n">
        <f aca="false">EnergyCurve!AT101*2*2</f>
        <v>7.29020125079811</v>
      </c>
      <c r="AU101" s="169" t="n">
        <f aca="false">EnergyCurve!AU101</f>
        <v>-0.455637578174882</v>
      </c>
      <c r="AV101" s="169" t="n">
        <f aca="false">AT101*1.25</f>
        <v>9.11275156349763</v>
      </c>
      <c r="AW101" s="168" t="n">
        <f aca="false">EnergyCurve!AW101*2*2</f>
        <v>10.116</v>
      </c>
      <c r="AX101" s="169" t="n">
        <f aca="false">EnergyCurve!AX101</f>
        <v>-0.63225</v>
      </c>
      <c r="AY101" s="169" t="n">
        <f aca="false">AW101*1.25</f>
        <v>12.645</v>
      </c>
      <c r="AZ101" s="167" t="n">
        <v>0</v>
      </c>
      <c r="BA101" s="74"/>
      <c r="BC101" s="222" t="n">
        <v>1</v>
      </c>
      <c r="BD101" s="223" t="n">
        <v>0</v>
      </c>
      <c r="BF101" s="224"/>
      <c r="BQ101" s="108" t="n">
        <v>36907.7428240741</v>
      </c>
      <c r="BR101" s="109" t="n">
        <v>36907.7434490741</v>
      </c>
      <c r="BS101" s="110" t="n">
        <v>39173</v>
      </c>
      <c r="BT101" s="111" t="n">
        <v>0</v>
      </c>
      <c r="BU101" s="112" t="n">
        <v>0</v>
      </c>
      <c r="BV101" s="112" t="n">
        <v>0</v>
      </c>
      <c r="BW101" s="112" t="n">
        <v>0</v>
      </c>
      <c r="BX101" s="113" t="n">
        <v>0</v>
      </c>
      <c r="BZ101" s="110" t="n">
        <v>38961</v>
      </c>
      <c r="CA101" s="116" t="n">
        <v>36.2249984741211</v>
      </c>
      <c r="CB101" s="116" t="n">
        <v>0</v>
      </c>
      <c r="CC101" s="116" t="n">
        <v>0</v>
      </c>
      <c r="CD101" s="116" t="n">
        <v>0</v>
      </c>
      <c r="CE101" s="117" t="n">
        <v>0</v>
      </c>
      <c r="CG101" s="135" t="n">
        <f aca="false">BB14</f>
        <v>2005</v>
      </c>
      <c r="CH101" s="136" t="n">
        <v>0</v>
      </c>
      <c r="CI101" s="137" t="n">
        <v>0</v>
      </c>
      <c r="CJ101" s="137" t="n">
        <v>0</v>
      </c>
      <c r="CK101" s="137" t="n">
        <v>0</v>
      </c>
      <c r="CL101" s="137" t="n">
        <v>0</v>
      </c>
      <c r="CM101" s="137" t="n">
        <v>0</v>
      </c>
      <c r="CN101" s="137" t="n">
        <v>0</v>
      </c>
      <c r="CO101" s="137" t="n">
        <v>0</v>
      </c>
      <c r="CP101" s="137" t="n">
        <v>0</v>
      </c>
      <c r="CQ101" s="137" t="n">
        <v>0</v>
      </c>
      <c r="CR101" s="137" t="n">
        <v>0</v>
      </c>
      <c r="CS101" s="138" t="n">
        <v>0</v>
      </c>
      <c r="CU101" s="135" t="n">
        <f aca="false">BB14</f>
        <v>2005</v>
      </c>
      <c r="CV101" s="136" t="n">
        <v>0</v>
      </c>
      <c r="CW101" s="137" t="n">
        <v>0</v>
      </c>
      <c r="CX101" s="137" t="n">
        <v>0</v>
      </c>
      <c r="CY101" s="137" t="n">
        <v>0</v>
      </c>
      <c r="CZ101" s="137" t="n">
        <v>0</v>
      </c>
      <c r="DA101" s="137" t="n">
        <v>0</v>
      </c>
      <c r="DB101" s="137" t="n">
        <v>0</v>
      </c>
      <c r="DC101" s="137" t="n">
        <v>0</v>
      </c>
      <c r="DD101" s="137" t="n">
        <v>0</v>
      </c>
      <c r="DE101" s="137" t="n">
        <v>0</v>
      </c>
      <c r="DF101" s="137" t="n">
        <v>0</v>
      </c>
      <c r="DG101" s="138" t="n">
        <v>0</v>
      </c>
      <c r="DI101" s="135" t="n">
        <f aca="false">BB14</f>
        <v>2005</v>
      </c>
      <c r="DJ101" s="136" t="n">
        <v>0</v>
      </c>
      <c r="DK101" s="137" t="n">
        <v>0</v>
      </c>
      <c r="DL101" s="137" t="n">
        <v>0</v>
      </c>
      <c r="DM101" s="137" t="n">
        <v>0</v>
      </c>
      <c r="DN101" s="137" t="n">
        <v>0</v>
      </c>
      <c r="DO101" s="137" t="n">
        <v>0</v>
      </c>
      <c r="DP101" s="137" t="n">
        <v>0</v>
      </c>
      <c r="DQ101" s="137" t="n">
        <v>0</v>
      </c>
      <c r="DR101" s="137" t="n">
        <v>0</v>
      </c>
      <c r="DS101" s="137" t="n">
        <v>0</v>
      </c>
      <c r="DT101" s="137" t="n">
        <v>0</v>
      </c>
      <c r="DU101" s="138" t="n">
        <v>0</v>
      </c>
    </row>
    <row r="102" customFormat="false" ht="12.75" hidden="false" customHeight="false" outlineLevel="0" collapsed="false">
      <c r="A102" s="0" t="n">
        <f aca="true">IF(ISERROR(MATCH(D102,iRefDt,0)),"",MATCH(D102,iRefDt,0))</f>
        <v>93</v>
      </c>
      <c r="B102" s="92" t="n">
        <f aca="false">MATCH(YEAR(D102),iSpreads)</f>
        <v>6</v>
      </c>
      <c r="C102" s="0" t="n">
        <f aca="false">MONTH(D102)</f>
        <v>10</v>
      </c>
      <c r="D102" s="93" t="n">
        <f aca="false">+EnergyCurve!D102</f>
        <v>38991</v>
      </c>
      <c r="E102" s="94" t="n">
        <f aca="false">VLOOKUP($D102,tblPriorPrice,2)</f>
        <v>38.3689994812012</v>
      </c>
      <c r="F102" s="95" t="n">
        <f aca="false">G102-E102</f>
        <v>5.18798827897626E-007</v>
      </c>
      <c r="G102" s="264" t="n">
        <f aca="false">IF(EnergyCurve!G102&lt;200,0.001*EnergyCurve!G102+1,1.2)*EnergyCurve!G102</f>
        <v>38.369</v>
      </c>
      <c r="H102" s="96" t="n">
        <f aca="false">IF(EnergyCurve!H102&lt;200,0.001*EnergyCurve!H102+1,1.2)*EnergyCurve!H102</f>
        <v>33.024</v>
      </c>
      <c r="I102" s="96" t="n">
        <f aca="false">IF(EnergyCurve!I102&lt;200,0.001*EnergyCurve!I102+1,1.2)*EnergyCurve!I102</f>
        <v>60.249</v>
      </c>
      <c r="J102" s="94" t="n">
        <f aca="false">VLOOKUP($D102,tblPriorPrice,3)</f>
        <v>0</v>
      </c>
      <c r="K102" s="95" t="n">
        <f aca="false">L102-J102</f>
        <v>0</v>
      </c>
      <c r="L102" s="264" t="n">
        <v>0</v>
      </c>
      <c r="M102" s="96" t="n">
        <f aca="false">L102</f>
        <v>0</v>
      </c>
      <c r="N102" s="96" t="n">
        <f aca="false">L102</f>
        <v>0</v>
      </c>
      <c r="O102" s="58" t="n">
        <f aca="true">IF($A102="",0,INDEX(tblPosn,$A102,2))</f>
        <v>0</v>
      </c>
      <c r="P102" s="59" t="n">
        <f aca="true">IF($A102="",0,INDEX(tblPosn,$A102,3))</f>
        <v>0</v>
      </c>
      <c r="Q102" s="59" t="n">
        <f aca="true">IF($A102="",0,INDEX(tblPosn,$A102,4))</f>
        <v>0</v>
      </c>
      <c r="R102" s="59" t="n">
        <f aca="true">IF($A102="",0,INDEX(tblPosn,$A102,5))</f>
        <v>0</v>
      </c>
      <c r="S102" s="59" t="n">
        <f aca="true">IF($A102="",0,INDEX(tblPosn,$A102,6))</f>
        <v>0</v>
      </c>
      <c r="T102" s="98" t="n">
        <f aca="false">O102*F102+P102*K102+R102*AC102+S102*AH102/0.72+Q102*X102</f>
        <v>0</v>
      </c>
      <c r="V102" s="161" t="n">
        <f aca="false">D102</f>
        <v>38991</v>
      </c>
      <c r="W102" s="94" t="n">
        <f aca="false">VLOOKUP($D102,tblPriorPrice,4)</f>
        <v>0</v>
      </c>
      <c r="X102" s="162"/>
      <c r="Y102" s="176" t="n">
        <f aca="false">L102</f>
        <v>0</v>
      </c>
      <c r="Z102" s="177" t="n">
        <f aca="false">Y102</f>
        <v>0</v>
      </c>
      <c r="AA102" s="177" t="n">
        <f aca="false">Y102</f>
        <v>0</v>
      </c>
      <c r="AB102" s="94" t="n">
        <f aca="false">VLOOKUP($D102,tblPriorPrice,5)</f>
        <v>0</v>
      </c>
      <c r="AC102" s="162"/>
      <c r="AD102" s="176" t="n">
        <f aca="false">L102</f>
        <v>0</v>
      </c>
      <c r="AE102" s="96" t="n">
        <f aca="false">AD102</f>
        <v>0</v>
      </c>
      <c r="AF102" s="97" t="n">
        <f aca="false">AD102</f>
        <v>0</v>
      </c>
      <c r="AG102" s="94" t="n">
        <f aca="false">VLOOKUP($D102,tblPriorPrice,6)</f>
        <v>0</v>
      </c>
      <c r="AH102" s="182"/>
      <c r="AI102" s="189" t="n">
        <f aca="false">AG102+AH102</f>
        <v>0</v>
      </c>
      <c r="AJ102" s="96" t="n">
        <f aca="false">AI102</f>
        <v>0</v>
      </c>
      <c r="AK102" s="97" t="n">
        <f aca="false">AI102</f>
        <v>0</v>
      </c>
      <c r="AL102" s="178" t="n">
        <v>24</v>
      </c>
      <c r="AM102" s="165" t="n">
        <v>0.4</v>
      </c>
      <c r="AN102" s="166" t="n">
        <f aca="false">EnergyCurve!AN102*2</f>
        <v>0.47</v>
      </c>
      <c r="AO102" s="166" t="n">
        <f aca="false">EnergyCurve!AO102</f>
        <v>0.2115</v>
      </c>
      <c r="AP102" s="166" t="n">
        <f aca="false">AN102*1.25</f>
        <v>0.5875</v>
      </c>
      <c r="AQ102" s="166" t="n">
        <f aca="false">EnergyCurve!AQ102*2</f>
        <v>0.47</v>
      </c>
      <c r="AR102" s="166" t="n">
        <f aca="false">EnergyCurve!AR102</f>
        <v>0.188</v>
      </c>
      <c r="AS102" s="166" t="n">
        <f aca="false">EnergyCurve!AS102*1.25</f>
        <v>0.3525</v>
      </c>
      <c r="AT102" s="168" t="n">
        <f aca="false">EnergyCurve!AT102*2*2</f>
        <v>7.75576329559925</v>
      </c>
      <c r="AU102" s="169" t="n">
        <f aca="false">EnergyCurve!AU102</f>
        <v>-0.484735205974953</v>
      </c>
      <c r="AV102" s="169" t="n">
        <f aca="false">AT102*1.25</f>
        <v>9.69470411949907</v>
      </c>
      <c r="AW102" s="168" t="n">
        <f aca="false">EnergyCurve!AW102*2*2</f>
        <v>9.9276</v>
      </c>
      <c r="AX102" s="169" t="n">
        <f aca="false">EnergyCurve!AX102</f>
        <v>-0.620475</v>
      </c>
      <c r="AY102" s="169" t="n">
        <f aca="false">AW102*1.25</f>
        <v>12.4095</v>
      </c>
      <c r="AZ102" s="167" t="n">
        <v>0</v>
      </c>
      <c r="BA102" s="74"/>
      <c r="BC102" s="222" t="n">
        <v>2</v>
      </c>
      <c r="BD102" s="223" t="n">
        <v>0</v>
      </c>
      <c r="BF102" s="224"/>
      <c r="BQ102" s="108" t="n">
        <v>36907.7428240741</v>
      </c>
      <c r="BR102" s="109" t="n">
        <v>36907.7434490741</v>
      </c>
      <c r="BS102" s="110" t="n">
        <v>39203</v>
      </c>
      <c r="BT102" s="111" t="n">
        <v>0</v>
      </c>
      <c r="BU102" s="112" t="n">
        <v>0</v>
      </c>
      <c r="BV102" s="112" t="n">
        <v>0</v>
      </c>
      <c r="BW102" s="112" t="n">
        <v>0</v>
      </c>
      <c r="BX102" s="113" t="n">
        <v>0</v>
      </c>
      <c r="BZ102" s="110" t="n">
        <v>38991</v>
      </c>
      <c r="CA102" s="116" t="n">
        <v>38.3689994812012</v>
      </c>
      <c r="CB102" s="116" t="n">
        <v>0</v>
      </c>
      <c r="CC102" s="116" t="n">
        <v>0</v>
      </c>
      <c r="CD102" s="116" t="n">
        <v>0</v>
      </c>
      <c r="CE102" s="117" t="n">
        <v>0</v>
      </c>
      <c r="CG102" s="135" t="n">
        <f aca="false">BB15</f>
        <v>2006</v>
      </c>
      <c r="CH102" s="136" t="n">
        <v>0</v>
      </c>
      <c r="CI102" s="137" t="n">
        <v>0</v>
      </c>
      <c r="CJ102" s="137" t="n">
        <v>0</v>
      </c>
      <c r="CK102" s="137" t="n">
        <v>0</v>
      </c>
      <c r="CL102" s="137" t="n">
        <v>0</v>
      </c>
      <c r="CM102" s="137" t="n">
        <v>0</v>
      </c>
      <c r="CN102" s="137" t="n">
        <v>0</v>
      </c>
      <c r="CO102" s="137" t="n">
        <v>0</v>
      </c>
      <c r="CP102" s="137" t="n">
        <v>0</v>
      </c>
      <c r="CQ102" s="137" t="n">
        <v>0</v>
      </c>
      <c r="CR102" s="137" t="n">
        <v>0</v>
      </c>
      <c r="CS102" s="138" t="n">
        <v>0</v>
      </c>
      <c r="CU102" s="135" t="n">
        <f aca="false">BB15</f>
        <v>2006</v>
      </c>
      <c r="CV102" s="136" t="n">
        <v>0</v>
      </c>
      <c r="CW102" s="137" t="n">
        <v>0</v>
      </c>
      <c r="CX102" s="137" t="n">
        <v>0</v>
      </c>
      <c r="CY102" s="137" t="n">
        <v>0</v>
      </c>
      <c r="CZ102" s="137" t="n">
        <v>0</v>
      </c>
      <c r="DA102" s="137" t="n">
        <v>0</v>
      </c>
      <c r="DB102" s="137" t="n">
        <v>0</v>
      </c>
      <c r="DC102" s="137" t="n">
        <v>0</v>
      </c>
      <c r="DD102" s="137" t="n">
        <v>0</v>
      </c>
      <c r="DE102" s="137" t="n">
        <v>0</v>
      </c>
      <c r="DF102" s="137" t="n">
        <v>0</v>
      </c>
      <c r="DG102" s="138" t="n">
        <v>0</v>
      </c>
      <c r="DI102" s="135" t="n">
        <f aca="false">BB15</f>
        <v>2006</v>
      </c>
      <c r="DJ102" s="136" t="n">
        <v>0</v>
      </c>
      <c r="DK102" s="137" t="n">
        <v>0</v>
      </c>
      <c r="DL102" s="137" t="n">
        <v>0</v>
      </c>
      <c r="DM102" s="137" t="n">
        <v>0</v>
      </c>
      <c r="DN102" s="137" t="n">
        <v>0</v>
      </c>
      <c r="DO102" s="137" t="n">
        <v>0</v>
      </c>
      <c r="DP102" s="137" t="n">
        <v>0</v>
      </c>
      <c r="DQ102" s="137" t="n">
        <v>0</v>
      </c>
      <c r="DR102" s="137" t="n">
        <v>0</v>
      </c>
      <c r="DS102" s="137" t="n">
        <v>0</v>
      </c>
      <c r="DT102" s="137" t="n">
        <v>0</v>
      </c>
      <c r="DU102" s="138" t="n">
        <v>0</v>
      </c>
    </row>
    <row r="103" customFormat="false" ht="12.75" hidden="false" customHeight="false" outlineLevel="0" collapsed="false">
      <c r="A103" s="0" t="n">
        <f aca="true">IF(ISERROR(MATCH(D103,iRefDt,0)),"",MATCH(D103,iRefDt,0))</f>
        <v>94</v>
      </c>
      <c r="B103" s="92" t="n">
        <f aca="false">MATCH(YEAR(D103),iSpreads)</f>
        <v>6</v>
      </c>
      <c r="C103" s="0" t="n">
        <f aca="false">MONTH(D103)</f>
        <v>11</v>
      </c>
      <c r="D103" s="93" t="n">
        <f aca="false">+EnergyCurve!D103</f>
        <v>39022</v>
      </c>
      <c r="E103" s="94" t="n">
        <f aca="false">VLOOKUP($D103,tblPriorPrice,2)</f>
        <v>34.0890007019043</v>
      </c>
      <c r="F103" s="95" t="n">
        <f aca="false">G103-E103</f>
        <v>-7.01904298239242E-007</v>
      </c>
      <c r="G103" s="264" t="n">
        <f aca="false">IF(EnergyCurve!G103&lt;200,0.001*EnergyCurve!G103+1,1.2)*EnergyCurve!G103</f>
        <v>34.089</v>
      </c>
      <c r="H103" s="96" t="n">
        <f aca="false">IF(EnergyCurve!H103&lt;200,0.001*EnergyCurve!H103+1,1.2)*EnergyCurve!H103</f>
        <v>28.784</v>
      </c>
      <c r="I103" s="96" t="n">
        <f aca="false">IF(EnergyCurve!I103&lt;200,0.001*EnergyCurve!I103+1,1.2)*EnergyCurve!I103</f>
        <v>55.809</v>
      </c>
      <c r="J103" s="94" t="n">
        <f aca="false">VLOOKUP($D103,tblPriorPrice,3)</f>
        <v>0</v>
      </c>
      <c r="K103" s="95" t="n">
        <f aca="false">L103-J103</f>
        <v>0</v>
      </c>
      <c r="L103" s="264" t="n">
        <v>0</v>
      </c>
      <c r="M103" s="96" t="n">
        <f aca="false">L103</f>
        <v>0</v>
      </c>
      <c r="N103" s="96" t="n">
        <f aca="false">L103</f>
        <v>0</v>
      </c>
      <c r="O103" s="58" t="n">
        <f aca="true">IF($A103="",0,INDEX(tblPosn,$A103,2))</f>
        <v>0</v>
      </c>
      <c r="P103" s="59" t="n">
        <f aca="true">IF($A103="",0,INDEX(tblPosn,$A103,3))</f>
        <v>0</v>
      </c>
      <c r="Q103" s="59" t="n">
        <f aca="true">IF($A103="",0,INDEX(tblPosn,$A103,4))</f>
        <v>0</v>
      </c>
      <c r="R103" s="59" t="n">
        <f aca="true">IF($A103="",0,INDEX(tblPosn,$A103,5))</f>
        <v>0</v>
      </c>
      <c r="S103" s="59" t="n">
        <f aca="true">IF($A103="",0,INDEX(tblPosn,$A103,6))</f>
        <v>0</v>
      </c>
      <c r="T103" s="98" t="n">
        <f aca="false">O103*F103+P103*K103+R103*AC103+S103*AH103/0.72+Q103*X103</f>
        <v>0</v>
      </c>
      <c r="V103" s="161" t="n">
        <f aca="false">D103</f>
        <v>39022</v>
      </c>
      <c r="W103" s="94" t="n">
        <f aca="false">VLOOKUP($D103,tblPriorPrice,4)</f>
        <v>0</v>
      </c>
      <c r="X103" s="162"/>
      <c r="Y103" s="176" t="n">
        <f aca="false">L103</f>
        <v>0</v>
      </c>
      <c r="Z103" s="177" t="n">
        <f aca="false">Y103</f>
        <v>0</v>
      </c>
      <c r="AA103" s="177" t="n">
        <f aca="false">Y103</f>
        <v>0</v>
      </c>
      <c r="AB103" s="94" t="n">
        <f aca="false">VLOOKUP($D103,tblPriorPrice,5)</f>
        <v>0</v>
      </c>
      <c r="AC103" s="162"/>
      <c r="AD103" s="176" t="n">
        <f aca="false">L103</f>
        <v>0</v>
      </c>
      <c r="AE103" s="96" t="n">
        <f aca="false">AD103</f>
        <v>0</v>
      </c>
      <c r="AF103" s="97" t="n">
        <f aca="false">AD103</f>
        <v>0</v>
      </c>
      <c r="AG103" s="94" t="n">
        <f aca="false">VLOOKUP($D103,tblPriorPrice,6)</f>
        <v>0</v>
      </c>
      <c r="AH103" s="182"/>
      <c r="AI103" s="189" t="n">
        <f aca="false">AG103+AH103</f>
        <v>0</v>
      </c>
      <c r="AJ103" s="96" t="n">
        <f aca="false">AI103</f>
        <v>0</v>
      </c>
      <c r="AK103" s="97" t="n">
        <f aca="false">AI103</f>
        <v>0</v>
      </c>
      <c r="AL103" s="178" t="n">
        <v>24</v>
      </c>
      <c r="AM103" s="165" t="n">
        <v>0.4</v>
      </c>
      <c r="AN103" s="166" t="n">
        <f aca="false">EnergyCurve!AN103*2</f>
        <v>0.475</v>
      </c>
      <c r="AO103" s="166" t="n">
        <f aca="false">EnergyCurve!AO103</f>
        <v>0.21375</v>
      </c>
      <c r="AP103" s="166" t="n">
        <f aca="false">AN103*1.25</f>
        <v>0.59375</v>
      </c>
      <c r="AQ103" s="166" t="n">
        <f aca="false">EnergyCurve!AQ103*2</f>
        <v>0.475</v>
      </c>
      <c r="AR103" s="166" t="n">
        <f aca="false">EnergyCurve!AR103</f>
        <v>0.19</v>
      </c>
      <c r="AS103" s="166" t="n">
        <f aca="false">EnergyCurve!AS103*1.25</f>
        <v>0.35625</v>
      </c>
      <c r="AT103" s="168" t="n">
        <f aca="false">EnergyCurve!AT103*2*2</f>
        <v>6.88781730529552</v>
      </c>
      <c r="AU103" s="169" t="n">
        <f aca="false">EnergyCurve!AU103</f>
        <v>-0.43048858158097</v>
      </c>
      <c r="AV103" s="169" t="n">
        <f aca="false">AT103*1.25</f>
        <v>8.60977163161941</v>
      </c>
      <c r="AW103" s="168" t="n">
        <f aca="false">EnergyCurve!AW103*2*2</f>
        <v>10.3044</v>
      </c>
      <c r="AX103" s="169" t="n">
        <f aca="false">EnergyCurve!AX103</f>
        <v>-0.644025</v>
      </c>
      <c r="AY103" s="169" t="n">
        <f aca="false">AW103*1.25</f>
        <v>12.8805</v>
      </c>
      <c r="AZ103" s="167" t="n">
        <v>0</v>
      </c>
      <c r="BA103" s="74"/>
      <c r="BC103" s="222" t="n">
        <v>3</v>
      </c>
      <c r="BD103" s="223" t="n">
        <v>0.01</v>
      </c>
      <c r="BF103" s="224"/>
      <c r="BQ103" s="108" t="n">
        <v>36907.7428240741</v>
      </c>
      <c r="BR103" s="109" t="n">
        <v>36907.7434490741</v>
      </c>
      <c r="BS103" s="110" t="n">
        <v>39234</v>
      </c>
      <c r="BT103" s="111" t="n">
        <v>0</v>
      </c>
      <c r="BU103" s="112" t="n">
        <v>0</v>
      </c>
      <c r="BV103" s="112" t="n">
        <v>0</v>
      </c>
      <c r="BW103" s="112" t="n">
        <v>0</v>
      </c>
      <c r="BX103" s="113" t="n">
        <v>0</v>
      </c>
      <c r="BZ103" s="110" t="n">
        <v>39022</v>
      </c>
      <c r="CA103" s="116" t="n">
        <v>34.0890007019043</v>
      </c>
      <c r="CB103" s="116" t="n">
        <v>0</v>
      </c>
      <c r="CC103" s="116" t="n">
        <v>0</v>
      </c>
      <c r="CD103" s="116" t="n">
        <v>0</v>
      </c>
      <c r="CE103" s="117" t="n">
        <v>0</v>
      </c>
      <c r="CG103" s="135" t="n">
        <f aca="false">BB16</f>
        <v>2007</v>
      </c>
      <c r="CH103" s="136" t="n">
        <v>0</v>
      </c>
      <c r="CI103" s="137" t="n">
        <v>0</v>
      </c>
      <c r="CJ103" s="137" t="n">
        <v>0</v>
      </c>
      <c r="CK103" s="137" t="n">
        <v>0</v>
      </c>
      <c r="CL103" s="137" t="n">
        <v>0</v>
      </c>
      <c r="CM103" s="137" t="n">
        <v>0</v>
      </c>
      <c r="CN103" s="137" t="n">
        <v>0</v>
      </c>
      <c r="CO103" s="137" t="n">
        <v>0</v>
      </c>
      <c r="CP103" s="137" t="n">
        <v>0</v>
      </c>
      <c r="CQ103" s="137" t="n">
        <v>0</v>
      </c>
      <c r="CR103" s="137" t="n">
        <v>0</v>
      </c>
      <c r="CS103" s="138" t="n">
        <v>0</v>
      </c>
      <c r="CU103" s="135" t="n">
        <f aca="false">BB16</f>
        <v>2007</v>
      </c>
      <c r="CV103" s="136" t="n">
        <v>0</v>
      </c>
      <c r="CW103" s="137" t="n">
        <v>0</v>
      </c>
      <c r="CX103" s="137" t="n">
        <v>0</v>
      </c>
      <c r="CY103" s="137" t="n">
        <v>0</v>
      </c>
      <c r="CZ103" s="137" t="n">
        <v>0</v>
      </c>
      <c r="DA103" s="137" t="n">
        <v>0</v>
      </c>
      <c r="DB103" s="137" t="n">
        <v>0</v>
      </c>
      <c r="DC103" s="137" t="n">
        <v>0</v>
      </c>
      <c r="DD103" s="137" t="n">
        <v>0</v>
      </c>
      <c r="DE103" s="137" t="n">
        <v>0</v>
      </c>
      <c r="DF103" s="137" t="n">
        <v>0</v>
      </c>
      <c r="DG103" s="138" t="n">
        <v>0</v>
      </c>
      <c r="DI103" s="135" t="n">
        <f aca="false">BB16</f>
        <v>2007</v>
      </c>
      <c r="DJ103" s="136" t="n">
        <v>0</v>
      </c>
      <c r="DK103" s="137" t="n">
        <v>0</v>
      </c>
      <c r="DL103" s="137" t="n">
        <v>0</v>
      </c>
      <c r="DM103" s="137" t="n">
        <v>0</v>
      </c>
      <c r="DN103" s="137" t="n">
        <v>0</v>
      </c>
      <c r="DO103" s="137" t="n">
        <v>0</v>
      </c>
      <c r="DP103" s="137" t="n">
        <v>0</v>
      </c>
      <c r="DQ103" s="137" t="n">
        <v>0</v>
      </c>
      <c r="DR103" s="137" t="n">
        <v>0</v>
      </c>
      <c r="DS103" s="137" t="n">
        <v>0</v>
      </c>
      <c r="DT103" s="137" t="n">
        <v>0</v>
      </c>
      <c r="DU103" s="138" t="n">
        <v>0</v>
      </c>
    </row>
    <row r="104" customFormat="false" ht="12.75" hidden="false" customHeight="false" outlineLevel="0" collapsed="false">
      <c r="A104" s="0" t="n">
        <f aca="true">IF(ISERROR(MATCH(D104,iRefDt,0)),"",MATCH(D104,iRefDt,0))</f>
        <v>95</v>
      </c>
      <c r="B104" s="92" t="n">
        <f aca="false">MATCH(YEAR(D104),iSpreads)</f>
        <v>6</v>
      </c>
      <c r="C104" s="0" t="n">
        <f aca="false">MONTH(D104)</f>
        <v>12</v>
      </c>
      <c r="D104" s="93" t="n">
        <f aca="false">+EnergyCurve!D104</f>
        <v>39052</v>
      </c>
      <c r="E104" s="94" t="n">
        <f aca="false">VLOOKUP($D104,tblPriorPrice,2)</f>
        <v>35.1559982299805</v>
      </c>
      <c r="F104" s="95" t="n">
        <f aca="false">G104-E104</f>
        <v>1.77001953005629E-006</v>
      </c>
      <c r="G104" s="264" t="n">
        <f aca="false">IF(EnergyCurve!G104&lt;200,0.001*EnergyCurve!G104+1,1.2)*EnergyCurve!G104</f>
        <v>35.156</v>
      </c>
      <c r="H104" s="96" t="n">
        <f aca="false">IF(EnergyCurve!H104&lt;200,0.001*EnergyCurve!H104+1,1.2)*EnergyCurve!H104</f>
        <v>29.841</v>
      </c>
      <c r="I104" s="96" t="n">
        <f aca="false">IF(EnergyCurve!I104&lt;200,0.001*EnergyCurve!I104+1,1.2)*EnergyCurve!I104</f>
        <v>56.916</v>
      </c>
      <c r="J104" s="94" t="n">
        <f aca="false">VLOOKUP($D104,tblPriorPrice,3)</f>
        <v>0</v>
      </c>
      <c r="K104" s="95" t="n">
        <f aca="false">L104-J104</f>
        <v>0</v>
      </c>
      <c r="L104" s="264" t="n">
        <v>0</v>
      </c>
      <c r="M104" s="96" t="n">
        <f aca="false">L104</f>
        <v>0</v>
      </c>
      <c r="N104" s="96" t="n">
        <f aca="false">L104</f>
        <v>0</v>
      </c>
      <c r="O104" s="58" t="n">
        <f aca="true">IF($A104="",0,INDEX(tblPosn,$A104,2))</f>
        <v>0</v>
      </c>
      <c r="P104" s="59" t="n">
        <f aca="true">IF($A104="",0,INDEX(tblPosn,$A104,3))</f>
        <v>0</v>
      </c>
      <c r="Q104" s="59" t="n">
        <f aca="true">IF($A104="",0,INDEX(tblPosn,$A104,4))</f>
        <v>0</v>
      </c>
      <c r="R104" s="59" t="n">
        <f aca="true">IF($A104="",0,INDEX(tblPosn,$A104,5))</f>
        <v>0</v>
      </c>
      <c r="S104" s="59" t="n">
        <f aca="true">IF($A104="",0,INDEX(tblPosn,$A104,6))</f>
        <v>0</v>
      </c>
      <c r="T104" s="98" t="n">
        <f aca="false">O104*F104+P104*K104+R104*AC104+S104*AH104/0.72+Q104*X104</f>
        <v>0</v>
      </c>
      <c r="V104" s="161" t="n">
        <f aca="false">D104</f>
        <v>39052</v>
      </c>
      <c r="W104" s="94" t="n">
        <f aca="false">VLOOKUP($D104,tblPriorPrice,4)</f>
        <v>0</v>
      </c>
      <c r="X104" s="162"/>
      <c r="Y104" s="176" t="n">
        <f aca="false">L104</f>
        <v>0</v>
      </c>
      <c r="Z104" s="177" t="n">
        <f aca="false">Y104</f>
        <v>0</v>
      </c>
      <c r="AA104" s="177" t="n">
        <f aca="false">Y104</f>
        <v>0</v>
      </c>
      <c r="AB104" s="94" t="n">
        <f aca="false">VLOOKUP($D104,tblPriorPrice,5)</f>
        <v>0</v>
      </c>
      <c r="AC104" s="162"/>
      <c r="AD104" s="176" t="n">
        <f aca="false">L104</f>
        <v>0</v>
      </c>
      <c r="AE104" s="96" t="n">
        <f aca="false">AD104</f>
        <v>0</v>
      </c>
      <c r="AF104" s="97" t="n">
        <f aca="false">AD104</f>
        <v>0</v>
      </c>
      <c r="AG104" s="94" t="n">
        <f aca="false">VLOOKUP($D104,tblPriorPrice,6)</f>
        <v>0</v>
      </c>
      <c r="AH104" s="182"/>
      <c r="AI104" s="189" t="n">
        <f aca="false">AG104+AH104</f>
        <v>0</v>
      </c>
      <c r="AJ104" s="96" t="n">
        <f aca="false">AI104</f>
        <v>0</v>
      </c>
      <c r="AK104" s="97" t="n">
        <f aca="false">AI104</f>
        <v>0</v>
      </c>
      <c r="AL104" s="178" t="n">
        <v>24</v>
      </c>
      <c r="AM104" s="165" t="n">
        <v>0.4</v>
      </c>
      <c r="AN104" s="166" t="n">
        <f aca="false">EnergyCurve!AN104*2</f>
        <v>0.49</v>
      </c>
      <c r="AO104" s="166" t="n">
        <f aca="false">EnergyCurve!AO104</f>
        <v>0.2205</v>
      </c>
      <c r="AP104" s="166" t="n">
        <f aca="false">AN104*1.25</f>
        <v>0.6125</v>
      </c>
      <c r="AQ104" s="166" t="n">
        <f aca="false">EnergyCurve!AQ104*2</f>
        <v>0.49</v>
      </c>
      <c r="AR104" s="166" t="n">
        <f aca="false">EnergyCurve!AR104</f>
        <v>0.196</v>
      </c>
      <c r="AS104" s="166" t="n">
        <f aca="false">EnergyCurve!AS104*1.25</f>
        <v>0.3675</v>
      </c>
      <c r="AT104" s="168" t="n">
        <f aca="false">EnergyCurve!AT104*2*2</f>
        <v>7.08032482171168</v>
      </c>
      <c r="AU104" s="169" t="n">
        <f aca="false">EnergyCurve!AU104</f>
        <v>-0.44252030135698</v>
      </c>
      <c r="AV104" s="169" t="n">
        <f aca="false">AT104*1.25</f>
        <v>8.8504060271396</v>
      </c>
      <c r="AW104" s="168" t="n">
        <f aca="false">EnergyCurve!AW104*2*2</f>
        <v>10.4928</v>
      </c>
      <c r="AX104" s="169" t="n">
        <f aca="false">EnergyCurve!AX104</f>
        <v>-0.6558</v>
      </c>
      <c r="AY104" s="169" t="n">
        <f aca="false">AW104*1.25</f>
        <v>13.116</v>
      </c>
      <c r="AZ104" s="167" t="n">
        <v>0</v>
      </c>
      <c r="BA104" s="74"/>
      <c r="BC104" s="222" t="n">
        <v>4</v>
      </c>
      <c r="BD104" s="223" t="n">
        <v>0.015</v>
      </c>
      <c r="BF104" s="224"/>
      <c r="BQ104" s="108" t="n">
        <v>36907.7428240741</v>
      </c>
      <c r="BR104" s="109" t="n">
        <v>36907.7434490741</v>
      </c>
      <c r="BS104" s="110" t="n">
        <v>39264</v>
      </c>
      <c r="BT104" s="111" t="n">
        <v>0</v>
      </c>
      <c r="BU104" s="112" t="n">
        <v>0</v>
      </c>
      <c r="BV104" s="112" t="n">
        <v>0</v>
      </c>
      <c r="BW104" s="112" t="n">
        <v>0</v>
      </c>
      <c r="BX104" s="113" t="n">
        <v>0</v>
      </c>
      <c r="BZ104" s="110" t="n">
        <v>39052</v>
      </c>
      <c r="CA104" s="116" t="n">
        <v>35.1559982299805</v>
      </c>
      <c r="CB104" s="116" t="n">
        <v>0</v>
      </c>
      <c r="CC104" s="116" t="n">
        <v>0</v>
      </c>
      <c r="CD104" s="116" t="n">
        <v>0</v>
      </c>
      <c r="CE104" s="117" t="n">
        <v>0</v>
      </c>
      <c r="CG104" s="135" t="n">
        <f aca="false">BB17</f>
        <v>2008</v>
      </c>
      <c r="CH104" s="136" t="n">
        <v>0</v>
      </c>
      <c r="CI104" s="137" t="n">
        <v>0</v>
      </c>
      <c r="CJ104" s="137" t="n">
        <v>0</v>
      </c>
      <c r="CK104" s="137" t="n">
        <v>0</v>
      </c>
      <c r="CL104" s="137" t="n">
        <v>0</v>
      </c>
      <c r="CM104" s="137" t="n">
        <v>0</v>
      </c>
      <c r="CN104" s="137" t="n">
        <v>0</v>
      </c>
      <c r="CO104" s="137" t="n">
        <v>0</v>
      </c>
      <c r="CP104" s="137" t="n">
        <v>0</v>
      </c>
      <c r="CQ104" s="137" t="n">
        <v>0</v>
      </c>
      <c r="CR104" s="137" t="n">
        <v>0</v>
      </c>
      <c r="CS104" s="138" t="n">
        <v>0</v>
      </c>
      <c r="CU104" s="135" t="n">
        <f aca="false">BB17</f>
        <v>2008</v>
      </c>
      <c r="CV104" s="136" t="n">
        <v>0</v>
      </c>
      <c r="CW104" s="137" t="n">
        <v>0</v>
      </c>
      <c r="CX104" s="137" t="n">
        <v>0</v>
      </c>
      <c r="CY104" s="137" t="n">
        <v>0</v>
      </c>
      <c r="CZ104" s="137" t="n">
        <v>0</v>
      </c>
      <c r="DA104" s="137" t="n">
        <v>0</v>
      </c>
      <c r="DB104" s="137" t="n">
        <v>0</v>
      </c>
      <c r="DC104" s="137" t="n">
        <v>0</v>
      </c>
      <c r="DD104" s="137" t="n">
        <v>0</v>
      </c>
      <c r="DE104" s="137" t="n">
        <v>0</v>
      </c>
      <c r="DF104" s="137" t="n">
        <v>0</v>
      </c>
      <c r="DG104" s="138" t="n">
        <v>0</v>
      </c>
      <c r="DI104" s="135" t="n">
        <f aca="false">BB17</f>
        <v>2008</v>
      </c>
      <c r="DJ104" s="136" t="n">
        <v>0</v>
      </c>
      <c r="DK104" s="137" t="n">
        <v>0</v>
      </c>
      <c r="DL104" s="137" t="n">
        <v>0</v>
      </c>
      <c r="DM104" s="137" t="n">
        <v>0</v>
      </c>
      <c r="DN104" s="137" t="n">
        <v>0</v>
      </c>
      <c r="DO104" s="137" t="n">
        <v>0</v>
      </c>
      <c r="DP104" s="137" t="n">
        <v>0</v>
      </c>
      <c r="DQ104" s="137" t="n">
        <v>0</v>
      </c>
      <c r="DR104" s="137" t="n">
        <v>0</v>
      </c>
      <c r="DS104" s="137" t="n">
        <v>0</v>
      </c>
      <c r="DT104" s="137" t="n">
        <v>0</v>
      </c>
      <c r="DU104" s="138" t="n">
        <v>0</v>
      </c>
    </row>
    <row r="105" customFormat="false" ht="12.75" hidden="false" customHeight="false" outlineLevel="0" collapsed="false">
      <c r="A105" s="0" t="n">
        <f aca="true">IF(ISERROR(MATCH(D105,iRefDt,0)),"",MATCH(D105,iRefDt,0))</f>
        <v>96</v>
      </c>
      <c r="B105" s="92" t="n">
        <f aca="false">MATCH(YEAR(D105),iSpreads)</f>
        <v>7</v>
      </c>
      <c r="C105" s="0" t="n">
        <f aca="false">MONTH(D105)</f>
        <v>1</v>
      </c>
      <c r="D105" s="93" t="n">
        <f aca="false">+EnergyCurve!D105</f>
        <v>39083</v>
      </c>
      <c r="E105" s="94" t="n">
        <f aca="false">VLOOKUP($D105,tblPriorPrice,2)</f>
        <v>31.9610004425049</v>
      </c>
      <c r="F105" s="95" t="n">
        <f aca="false">G105-E105</f>
        <v>-4.42504884290429E-007</v>
      </c>
      <c r="G105" s="264" t="n">
        <f aca="false">IF(EnergyCurve!G105&lt;200,0.001*EnergyCurve!G105+1,1.2)*EnergyCurve!G105</f>
        <v>31.961</v>
      </c>
      <c r="H105" s="96" t="n">
        <f aca="false">IF(EnergyCurve!H105&lt;200,0.001*EnergyCurve!H105+1,1.2)*EnergyCurve!H105</f>
        <v>26.676</v>
      </c>
      <c r="I105" s="96" t="n">
        <f aca="false">IF(EnergyCurve!I105&lt;200,0.001*EnergyCurve!I105+1,1.2)*EnergyCurve!I105</f>
        <v>54.704</v>
      </c>
      <c r="J105" s="94" t="n">
        <f aca="false">VLOOKUP($D105,tblPriorPrice,3)</f>
        <v>0</v>
      </c>
      <c r="K105" s="95" t="n">
        <f aca="false">L105-J105</f>
        <v>0</v>
      </c>
      <c r="L105" s="264" t="n">
        <v>0</v>
      </c>
      <c r="M105" s="96" t="n">
        <f aca="false">L105</f>
        <v>0</v>
      </c>
      <c r="N105" s="96" t="n">
        <f aca="false">L105</f>
        <v>0</v>
      </c>
      <c r="O105" s="58" t="n">
        <f aca="true">IF($A105="",0,INDEX(tblPosn,$A105,2))</f>
        <v>0</v>
      </c>
      <c r="P105" s="59" t="n">
        <f aca="true">IF($A105="",0,INDEX(tblPosn,$A105,3))</f>
        <v>0</v>
      </c>
      <c r="Q105" s="59" t="n">
        <f aca="true">IF($A105="",0,INDEX(tblPosn,$A105,4))</f>
        <v>0</v>
      </c>
      <c r="R105" s="59" t="n">
        <f aca="true">IF($A105="",0,INDEX(tblPosn,$A105,5))</f>
        <v>0</v>
      </c>
      <c r="S105" s="59" t="n">
        <f aca="true">IF($A105="",0,INDEX(tblPosn,$A105,6))</f>
        <v>0</v>
      </c>
      <c r="T105" s="98" t="n">
        <f aca="false">O105*F105+P105*K105+R105*AC105+S105*AH105/0.72+Q105*X105</f>
        <v>0</v>
      </c>
      <c r="V105" s="161" t="n">
        <f aca="false">D105</f>
        <v>39083</v>
      </c>
      <c r="W105" s="94" t="n">
        <f aca="false">VLOOKUP($D105,tblPriorPrice,4)</f>
        <v>0</v>
      </c>
      <c r="X105" s="162"/>
      <c r="Y105" s="176" t="n">
        <f aca="false">L105</f>
        <v>0</v>
      </c>
      <c r="Z105" s="177" t="n">
        <f aca="false">Y105</f>
        <v>0</v>
      </c>
      <c r="AA105" s="177" t="n">
        <f aca="false">Y105</f>
        <v>0</v>
      </c>
      <c r="AB105" s="94" t="n">
        <f aca="false">VLOOKUP($D105,tblPriorPrice,5)</f>
        <v>0</v>
      </c>
      <c r="AC105" s="162"/>
      <c r="AD105" s="176" t="n">
        <f aca="false">L105</f>
        <v>0</v>
      </c>
      <c r="AE105" s="96" t="n">
        <f aca="false">AD105</f>
        <v>0</v>
      </c>
      <c r="AF105" s="97" t="n">
        <f aca="false">AD105</f>
        <v>0</v>
      </c>
      <c r="AG105" s="94" t="n">
        <f aca="false">VLOOKUP($D105,tblPriorPrice,6)</f>
        <v>0</v>
      </c>
      <c r="AH105" s="182"/>
      <c r="AI105" s="189" t="n">
        <f aca="false">AG105+AH105</f>
        <v>0</v>
      </c>
      <c r="AJ105" s="96" t="n">
        <f aca="false">AI105</f>
        <v>0</v>
      </c>
      <c r="AK105" s="97" t="n">
        <f aca="false">AI105</f>
        <v>0</v>
      </c>
      <c r="AL105" s="178" t="n">
        <v>25</v>
      </c>
      <c r="AM105" s="165" t="n">
        <v>0.4</v>
      </c>
      <c r="AN105" s="166" t="n">
        <f aca="false">EnergyCurve!AN105*2</f>
        <v>0.495</v>
      </c>
      <c r="AO105" s="166" t="n">
        <f aca="false">EnergyCurve!AO105</f>
        <v>0.22275</v>
      </c>
      <c r="AP105" s="166" t="n">
        <f aca="false">AN105*1.25</f>
        <v>0.61875</v>
      </c>
      <c r="AQ105" s="166" t="n">
        <f aca="false">EnergyCurve!AQ105*2</f>
        <v>0.495</v>
      </c>
      <c r="AR105" s="166" t="n">
        <f aca="false">EnergyCurve!AR105</f>
        <v>0.198</v>
      </c>
      <c r="AS105" s="166" t="n">
        <f aca="false">EnergyCurve!AS105*1.25</f>
        <v>0.37125</v>
      </c>
      <c r="AT105" s="168" t="n">
        <f aca="false">EnergyCurve!AT105*2*2</f>
        <v>6.56235962744143</v>
      </c>
      <c r="AU105" s="169" t="n">
        <f aca="false">EnergyCurve!AU105</f>
        <v>-0.410147476715089</v>
      </c>
      <c r="AV105" s="169" t="n">
        <f aca="false">AT105*1.25</f>
        <v>8.20294953430178</v>
      </c>
      <c r="AW105" s="168" t="n">
        <f aca="false">EnergyCurve!AW105*2*2</f>
        <v>10.4928</v>
      </c>
      <c r="AX105" s="169" t="n">
        <f aca="false">EnergyCurve!AX105</f>
        <v>-0.6558</v>
      </c>
      <c r="AY105" s="169" t="n">
        <f aca="false">AW105*1.25</f>
        <v>13.116</v>
      </c>
      <c r="AZ105" s="167" t="n">
        <v>0</v>
      </c>
      <c r="BA105" s="74"/>
      <c r="BC105" s="222" t="n">
        <v>5</v>
      </c>
      <c r="BD105" s="223" t="n">
        <v>0.0175</v>
      </c>
      <c r="BF105" s="224"/>
      <c r="BQ105" s="108" t="n">
        <v>36907.7428240741</v>
      </c>
      <c r="BR105" s="109" t="n">
        <v>36907.7434490741</v>
      </c>
      <c r="BS105" s="110" t="n">
        <v>39295</v>
      </c>
      <c r="BT105" s="111" t="n">
        <v>0</v>
      </c>
      <c r="BU105" s="112" t="n">
        <v>0</v>
      </c>
      <c r="BV105" s="112" t="n">
        <v>0</v>
      </c>
      <c r="BW105" s="112" t="n">
        <v>0</v>
      </c>
      <c r="BX105" s="113" t="n">
        <v>0</v>
      </c>
      <c r="BZ105" s="110" t="n">
        <v>39083</v>
      </c>
      <c r="CA105" s="116" t="n">
        <v>31.9610004425049</v>
      </c>
      <c r="CB105" s="116" t="n">
        <v>0</v>
      </c>
      <c r="CC105" s="116" t="n">
        <v>0</v>
      </c>
      <c r="CD105" s="116" t="n">
        <v>0</v>
      </c>
      <c r="CE105" s="117" t="n">
        <v>0</v>
      </c>
      <c r="CG105" s="135" t="n">
        <f aca="false">BB18</f>
        <v>2009</v>
      </c>
      <c r="CH105" s="136" t="n">
        <v>0</v>
      </c>
      <c r="CI105" s="137" t="n">
        <v>0</v>
      </c>
      <c r="CJ105" s="137" t="n">
        <v>0</v>
      </c>
      <c r="CK105" s="137" t="n">
        <v>0</v>
      </c>
      <c r="CL105" s="137" t="n">
        <v>0</v>
      </c>
      <c r="CM105" s="137" t="n">
        <v>0</v>
      </c>
      <c r="CN105" s="137" t="n">
        <v>0</v>
      </c>
      <c r="CO105" s="137" t="n">
        <v>0</v>
      </c>
      <c r="CP105" s="137" t="n">
        <v>0</v>
      </c>
      <c r="CQ105" s="137" t="n">
        <v>0</v>
      </c>
      <c r="CR105" s="137" t="n">
        <v>0</v>
      </c>
      <c r="CS105" s="138" t="n">
        <v>0</v>
      </c>
      <c r="CU105" s="135" t="n">
        <f aca="false">BB18</f>
        <v>2009</v>
      </c>
      <c r="CV105" s="136" t="n">
        <v>0</v>
      </c>
      <c r="CW105" s="137" t="n">
        <v>0</v>
      </c>
      <c r="CX105" s="137" t="n">
        <v>0</v>
      </c>
      <c r="CY105" s="137" t="n">
        <v>0</v>
      </c>
      <c r="CZ105" s="137" t="n">
        <v>0</v>
      </c>
      <c r="DA105" s="137" t="n">
        <v>0</v>
      </c>
      <c r="DB105" s="137" t="n">
        <v>0</v>
      </c>
      <c r="DC105" s="137" t="n">
        <v>0</v>
      </c>
      <c r="DD105" s="137" t="n">
        <v>0</v>
      </c>
      <c r="DE105" s="137" t="n">
        <v>0</v>
      </c>
      <c r="DF105" s="137" t="n">
        <v>0</v>
      </c>
      <c r="DG105" s="138" t="n">
        <v>0</v>
      </c>
      <c r="DI105" s="135" t="n">
        <f aca="false">BB18</f>
        <v>2009</v>
      </c>
      <c r="DJ105" s="136" t="n">
        <v>0</v>
      </c>
      <c r="DK105" s="137" t="n">
        <v>0</v>
      </c>
      <c r="DL105" s="137" t="n">
        <v>0</v>
      </c>
      <c r="DM105" s="137" t="n">
        <v>0</v>
      </c>
      <c r="DN105" s="137" t="n">
        <v>0</v>
      </c>
      <c r="DO105" s="137" t="n">
        <v>0</v>
      </c>
      <c r="DP105" s="137" t="n">
        <v>0</v>
      </c>
      <c r="DQ105" s="137" t="n">
        <v>0</v>
      </c>
      <c r="DR105" s="137" t="n">
        <v>0</v>
      </c>
      <c r="DS105" s="137" t="n">
        <v>0</v>
      </c>
      <c r="DT105" s="137" t="n">
        <v>0</v>
      </c>
      <c r="DU105" s="138" t="n">
        <v>0</v>
      </c>
    </row>
    <row r="106" customFormat="false" ht="12.75" hidden="false" customHeight="false" outlineLevel="0" collapsed="false">
      <c r="A106" s="0" t="n">
        <f aca="true">IF(ISERROR(MATCH(D106,iRefDt,0)),"",MATCH(D106,iRefDt,0))</f>
        <v>97</v>
      </c>
      <c r="B106" s="92" t="n">
        <f aca="false">MATCH(YEAR(D106),iSpreads)</f>
        <v>7</v>
      </c>
      <c r="C106" s="0" t="n">
        <f aca="false">MONTH(D106)</f>
        <v>2</v>
      </c>
      <c r="D106" s="93" t="n">
        <f aca="false">+EnergyCurve!D106</f>
        <v>39114</v>
      </c>
      <c r="E106" s="94" t="n">
        <f aca="false">VLOOKUP($D106,tblPriorPrice,2)</f>
        <v>29.8409996032715</v>
      </c>
      <c r="F106" s="95" t="n">
        <f aca="false">G106-E106</f>
        <v>3.96728513152311E-007</v>
      </c>
      <c r="G106" s="264" t="n">
        <f aca="false">IF(EnergyCurve!G106&lt;200,0.001*EnergyCurve!G106+1,1.2)*EnergyCurve!G106</f>
        <v>29.841</v>
      </c>
      <c r="H106" s="96" t="n">
        <f aca="false">IF(EnergyCurve!H106&lt;200,0.001*EnergyCurve!H106+1,1.2)*EnergyCurve!H106</f>
        <v>24.576</v>
      </c>
      <c r="I106" s="96" t="n">
        <f aca="false">IF(EnergyCurve!I106&lt;200,0.001*EnergyCurve!I106+1,1.2)*EnergyCurve!I106</f>
        <v>52.5</v>
      </c>
      <c r="J106" s="94" t="n">
        <f aca="false">VLOOKUP($D106,tblPriorPrice,3)</f>
        <v>0</v>
      </c>
      <c r="K106" s="95" t="n">
        <f aca="false">L106-J106</f>
        <v>0</v>
      </c>
      <c r="L106" s="264" t="n">
        <v>0</v>
      </c>
      <c r="M106" s="96" t="n">
        <f aca="false">L106</f>
        <v>0</v>
      </c>
      <c r="N106" s="96" t="n">
        <f aca="false">L106</f>
        <v>0</v>
      </c>
      <c r="O106" s="58" t="n">
        <f aca="true">IF($A106="",0,INDEX(tblPosn,$A106,2))</f>
        <v>0</v>
      </c>
      <c r="P106" s="59" t="n">
        <f aca="true">IF($A106="",0,INDEX(tblPosn,$A106,3))</f>
        <v>0</v>
      </c>
      <c r="Q106" s="59" t="n">
        <f aca="true">IF($A106="",0,INDEX(tblPosn,$A106,4))</f>
        <v>0</v>
      </c>
      <c r="R106" s="59" t="n">
        <f aca="true">IF($A106="",0,INDEX(tblPosn,$A106,5))</f>
        <v>0</v>
      </c>
      <c r="S106" s="59" t="n">
        <f aca="true">IF($A106="",0,INDEX(tblPosn,$A106,6))</f>
        <v>0</v>
      </c>
      <c r="T106" s="98" t="n">
        <f aca="false">O106*F106+P106*K106+R106*AC106+S106*AH106/0.72+Q106*X106</f>
        <v>0</v>
      </c>
      <c r="V106" s="161" t="n">
        <f aca="false">D106</f>
        <v>39114</v>
      </c>
      <c r="W106" s="94" t="n">
        <f aca="false">VLOOKUP($D106,tblPriorPrice,4)</f>
        <v>0</v>
      </c>
      <c r="X106" s="162"/>
      <c r="Y106" s="176" t="n">
        <f aca="false">L106</f>
        <v>0</v>
      </c>
      <c r="Z106" s="177" t="n">
        <f aca="false">Y106</f>
        <v>0</v>
      </c>
      <c r="AA106" s="177" t="n">
        <f aca="false">Y106</f>
        <v>0</v>
      </c>
      <c r="AB106" s="94" t="n">
        <f aca="false">VLOOKUP($D106,tblPriorPrice,5)</f>
        <v>0</v>
      </c>
      <c r="AC106" s="162"/>
      <c r="AD106" s="176" t="n">
        <f aca="false">L106</f>
        <v>0</v>
      </c>
      <c r="AE106" s="96" t="n">
        <f aca="false">AD106</f>
        <v>0</v>
      </c>
      <c r="AF106" s="97" t="n">
        <f aca="false">AD106</f>
        <v>0</v>
      </c>
      <c r="AG106" s="94" t="n">
        <f aca="false">VLOOKUP($D106,tblPriorPrice,6)</f>
        <v>0</v>
      </c>
      <c r="AH106" s="182"/>
      <c r="AI106" s="189" t="n">
        <f aca="false">AG106+AH106</f>
        <v>0</v>
      </c>
      <c r="AJ106" s="96" t="n">
        <f aca="false">AI106</f>
        <v>0</v>
      </c>
      <c r="AK106" s="97" t="n">
        <f aca="false">AI106</f>
        <v>0</v>
      </c>
      <c r="AL106" s="178" t="n">
        <v>25</v>
      </c>
      <c r="AM106" s="165" t="n">
        <v>0.4</v>
      </c>
      <c r="AN106" s="166" t="n">
        <f aca="false">EnergyCurve!AN106*2</f>
        <v>0.47</v>
      </c>
      <c r="AO106" s="166" t="n">
        <f aca="false">EnergyCurve!AO106</f>
        <v>0.2115</v>
      </c>
      <c r="AP106" s="166" t="n">
        <f aca="false">AN106*1.25</f>
        <v>0.5875</v>
      </c>
      <c r="AQ106" s="166" t="n">
        <f aca="false">EnergyCurve!AQ106*2</f>
        <v>0.47</v>
      </c>
      <c r="AR106" s="166" t="n">
        <f aca="false">EnergyCurve!AR106</f>
        <v>0.188</v>
      </c>
      <c r="AS106" s="166" t="n">
        <f aca="false">EnergyCurve!AS106*1.25</f>
        <v>0.3525</v>
      </c>
      <c r="AT106" s="168" t="n">
        <f aca="false">EnergyCurve!AT106*2*2</f>
        <v>6.33113623762127</v>
      </c>
      <c r="AU106" s="169" t="n">
        <f aca="false">EnergyCurve!AU106</f>
        <v>-0.395696014851329</v>
      </c>
      <c r="AV106" s="169" t="n">
        <f aca="false">AT106*1.25</f>
        <v>7.91392029702658</v>
      </c>
      <c r="AW106" s="168" t="n">
        <f aca="false">EnergyCurve!AW106*2*2</f>
        <v>10.6812</v>
      </c>
      <c r="AX106" s="169" t="n">
        <f aca="false">EnergyCurve!AX106</f>
        <v>-0.667575</v>
      </c>
      <c r="AY106" s="169" t="n">
        <f aca="false">AW106*1.25</f>
        <v>13.3515</v>
      </c>
      <c r="AZ106" s="167" t="n">
        <v>0</v>
      </c>
      <c r="BA106" s="74"/>
      <c r="BC106" s="222" t="n">
        <v>6</v>
      </c>
      <c r="BD106" s="223" t="n">
        <v>0.025</v>
      </c>
      <c r="BF106" s="224"/>
      <c r="BQ106" s="108" t="n">
        <v>36907.7428240741</v>
      </c>
      <c r="BR106" s="109" t="n">
        <v>36907.7434490741</v>
      </c>
      <c r="BS106" s="110" t="n">
        <v>39326</v>
      </c>
      <c r="BT106" s="111" t="n">
        <v>0</v>
      </c>
      <c r="BU106" s="112" t="n">
        <v>0</v>
      </c>
      <c r="BV106" s="112" t="n">
        <v>0</v>
      </c>
      <c r="BW106" s="112" t="n">
        <v>0</v>
      </c>
      <c r="BX106" s="113" t="n">
        <v>0</v>
      </c>
      <c r="BZ106" s="110" t="n">
        <v>39114</v>
      </c>
      <c r="CA106" s="116" t="n">
        <v>29.8409996032715</v>
      </c>
      <c r="CB106" s="116" t="n">
        <v>0</v>
      </c>
      <c r="CC106" s="116" t="n">
        <v>0</v>
      </c>
      <c r="CD106" s="116" t="n">
        <v>0</v>
      </c>
      <c r="CE106" s="117" t="n">
        <v>0</v>
      </c>
      <c r="CG106" s="135" t="n">
        <f aca="false">BB19</f>
        <v>2010</v>
      </c>
      <c r="CH106" s="136" t="n">
        <v>0</v>
      </c>
      <c r="CI106" s="137" t="n">
        <v>0</v>
      </c>
      <c r="CJ106" s="137" t="n">
        <v>0</v>
      </c>
      <c r="CK106" s="137" t="n">
        <v>0</v>
      </c>
      <c r="CL106" s="137" t="n">
        <v>0</v>
      </c>
      <c r="CM106" s="137" t="n">
        <v>0</v>
      </c>
      <c r="CN106" s="137" t="n">
        <v>0</v>
      </c>
      <c r="CO106" s="137" t="n">
        <v>0</v>
      </c>
      <c r="CP106" s="137" t="n">
        <v>0</v>
      </c>
      <c r="CQ106" s="137" t="n">
        <v>0</v>
      </c>
      <c r="CR106" s="137" t="n">
        <v>0</v>
      </c>
      <c r="CS106" s="138" t="n">
        <v>0</v>
      </c>
      <c r="CU106" s="135" t="n">
        <f aca="false">BB19</f>
        <v>2010</v>
      </c>
      <c r="CV106" s="136" t="n">
        <v>0</v>
      </c>
      <c r="CW106" s="137" t="n">
        <v>0</v>
      </c>
      <c r="CX106" s="137" t="n">
        <v>0</v>
      </c>
      <c r="CY106" s="137" t="n">
        <v>0</v>
      </c>
      <c r="CZ106" s="137" t="n">
        <v>0</v>
      </c>
      <c r="DA106" s="137" t="n">
        <v>0</v>
      </c>
      <c r="DB106" s="137" t="n">
        <v>0</v>
      </c>
      <c r="DC106" s="137" t="n">
        <v>0</v>
      </c>
      <c r="DD106" s="137" t="n">
        <v>0</v>
      </c>
      <c r="DE106" s="137" t="n">
        <v>0</v>
      </c>
      <c r="DF106" s="137" t="n">
        <v>0</v>
      </c>
      <c r="DG106" s="138" t="n">
        <v>0</v>
      </c>
      <c r="DI106" s="135" t="n">
        <f aca="false">BB19</f>
        <v>2010</v>
      </c>
      <c r="DJ106" s="136" t="n">
        <v>0</v>
      </c>
      <c r="DK106" s="137" t="n">
        <v>0</v>
      </c>
      <c r="DL106" s="137" t="n">
        <v>0</v>
      </c>
      <c r="DM106" s="137" t="n">
        <v>0</v>
      </c>
      <c r="DN106" s="137" t="n">
        <v>0</v>
      </c>
      <c r="DO106" s="137" t="n">
        <v>0</v>
      </c>
      <c r="DP106" s="137" t="n">
        <v>0</v>
      </c>
      <c r="DQ106" s="137" t="n">
        <v>0</v>
      </c>
      <c r="DR106" s="137" t="n">
        <v>0</v>
      </c>
      <c r="DS106" s="137" t="n">
        <v>0</v>
      </c>
      <c r="DT106" s="137" t="n">
        <v>0</v>
      </c>
      <c r="DU106" s="138" t="n">
        <v>0</v>
      </c>
    </row>
    <row r="107" customFormat="false" ht="12.75" hidden="false" customHeight="false" outlineLevel="0" collapsed="false">
      <c r="A107" s="0" t="n">
        <f aca="true">IF(ISERROR(MATCH(D107,iRefDt,0)),"",MATCH(D107,iRefDt,0))</f>
        <v>98</v>
      </c>
      <c r="B107" s="92" t="n">
        <f aca="false">MATCH(YEAR(D107),iSpreads)</f>
        <v>7</v>
      </c>
      <c r="C107" s="0" t="n">
        <f aca="false">MONTH(D107)</f>
        <v>3</v>
      </c>
      <c r="D107" s="93" t="n">
        <f aca="false">+EnergyCurve!D107</f>
        <v>39142</v>
      </c>
      <c r="E107" s="94" t="n">
        <f aca="false">VLOOKUP($D107,tblPriorPrice,2)</f>
        <v>29.8409996032715</v>
      </c>
      <c r="F107" s="95" t="n">
        <f aca="false">G107-E107</f>
        <v>3.96728513152311E-007</v>
      </c>
      <c r="G107" s="264" t="n">
        <f aca="false">IF(EnergyCurve!G107&lt;200,0.001*EnergyCurve!G107+1,1.2)*EnergyCurve!G107</f>
        <v>29.841</v>
      </c>
      <c r="H107" s="96" t="n">
        <f aca="false">IF(EnergyCurve!H107&lt;200,0.001*EnergyCurve!H107+1,1.2)*EnergyCurve!H107</f>
        <v>24.576</v>
      </c>
      <c r="I107" s="96" t="n">
        <f aca="false">IF(EnergyCurve!I107&lt;200,0.001*EnergyCurve!I107+1,1.2)*EnergyCurve!I107</f>
        <v>52.5</v>
      </c>
      <c r="J107" s="94" t="n">
        <f aca="false">VLOOKUP($D107,tblPriorPrice,3)</f>
        <v>0</v>
      </c>
      <c r="K107" s="95" t="n">
        <f aca="false">L107-J107</f>
        <v>0</v>
      </c>
      <c r="L107" s="264" t="n">
        <v>0</v>
      </c>
      <c r="M107" s="96" t="n">
        <f aca="false">L107</f>
        <v>0</v>
      </c>
      <c r="N107" s="96" t="n">
        <f aca="false">L107</f>
        <v>0</v>
      </c>
      <c r="O107" s="58" t="n">
        <f aca="true">IF($A107="",0,INDEX(tblPosn,$A107,2))</f>
        <v>0</v>
      </c>
      <c r="P107" s="59" t="n">
        <f aca="true">IF($A107="",0,INDEX(tblPosn,$A107,3))</f>
        <v>0</v>
      </c>
      <c r="Q107" s="59" t="n">
        <f aca="true">IF($A107="",0,INDEX(tblPosn,$A107,4))</f>
        <v>0</v>
      </c>
      <c r="R107" s="59" t="n">
        <f aca="true">IF($A107="",0,INDEX(tblPosn,$A107,5))</f>
        <v>0</v>
      </c>
      <c r="S107" s="59" t="n">
        <f aca="true">IF($A107="",0,INDEX(tblPosn,$A107,6))</f>
        <v>0</v>
      </c>
      <c r="T107" s="98" t="n">
        <f aca="false">O107*F107+P107*K107+R107*AC107+S107*AH107/0.72+Q107*X107</f>
        <v>0</v>
      </c>
      <c r="V107" s="161" t="n">
        <f aca="false">D107</f>
        <v>39142</v>
      </c>
      <c r="W107" s="94" t="n">
        <f aca="false">VLOOKUP($D107,tblPriorPrice,4)</f>
        <v>0</v>
      </c>
      <c r="X107" s="162"/>
      <c r="Y107" s="176" t="n">
        <f aca="false">L107</f>
        <v>0</v>
      </c>
      <c r="Z107" s="177" t="n">
        <f aca="false">Y107</f>
        <v>0</v>
      </c>
      <c r="AA107" s="177" t="n">
        <f aca="false">Y107</f>
        <v>0</v>
      </c>
      <c r="AB107" s="94" t="n">
        <f aca="false">VLOOKUP($D107,tblPriorPrice,5)</f>
        <v>0</v>
      </c>
      <c r="AC107" s="162"/>
      <c r="AD107" s="176" t="n">
        <f aca="false">L107</f>
        <v>0</v>
      </c>
      <c r="AE107" s="96" t="n">
        <f aca="false">AD107</f>
        <v>0</v>
      </c>
      <c r="AF107" s="97" t="n">
        <f aca="false">AD107</f>
        <v>0</v>
      </c>
      <c r="AG107" s="94" t="n">
        <f aca="false">VLOOKUP($D107,tblPriorPrice,6)</f>
        <v>0</v>
      </c>
      <c r="AH107" s="182"/>
      <c r="AI107" s="189" t="n">
        <f aca="false">AG107+AH107</f>
        <v>0</v>
      </c>
      <c r="AJ107" s="96" t="n">
        <f aca="false">AI107</f>
        <v>0</v>
      </c>
      <c r="AK107" s="97" t="n">
        <f aca="false">AI107</f>
        <v>0</v>
      </c>
      <c r="AL107" s="178" t="n">
        <v>25</v>
      </c>
      <c r="AM107" s="165" t="n">
        <v>0.4</v>
      </c>
      <c r="AN107" s="166" t="n">
        <f aca="false">EnergyCurve!AN107*2</f>
        <v>0.455</v>
      </c>
      <c r="AO107" s="166" t="n">
        <f aca="false">EnergyCurve!AO107</f>
        <v>0.20475</v>
      </c>
      <c r="AP107" s="166" t="n">
        <f aca="false">AN107*1.25</f>
        <v>0.56875</v>
      </c>
      <c r="AQ107" s="166" t="n">
        <f aca="false">EnergyCurve!AQ107*2</f>
        <v>0.455</v>
      </c>
      <c r="AR107" s="166" t="n">
        <f aca="false">EnergyCurve!AR107</f>
        <v>0.182</v>
      </c>
      <c r="AS107" s="166" t="n">
        <f aca="false">EnergyCurve!AS107*1.25</f>
        <v>0.34125</v>
      </c>
      <c r="AT107" s="168" t="n">
        <f aca="false">EnergyCurve!AT107*2*2</f>
        <v>6.33113623762127</v>
      </c>
      <c r="AU107" s="169" t="n">
        <f aca="false">EnergyCurve!AU107</f>
        <v>-0.395696014851329</v>
      </c>
      <c r="AV107" s="169" t="n">
        <f aca="false">AT107*1.25</f>
        <v>7.91392029702658</v>
      </c>
      <c r="AW107" s="168" t="n">
        <f aca="false">EnergyCurve!AW107*2*2</f>
        <v>10.6812</v>
      </c>
      <c r="AX107" s="169" t="n">
        <f aca="false">EnergyCurve!AX107</f>
        <v>-0.667575</v>
      </c>
      <c r="AY107" s="169" t="n">
        <f aca="false">AW107*1.25</f>
        <v>13.3515</v>
      </c>
      <c r="AZ107" s="167" t="n">
        <v>0</v>
      </c>
      <c r="BA107" s="74"/>
      <c r="BC107" s="222" t="n">
        <v>7</v>
      </c>
      <c r="BD107" s="223" t="n">
        <v>0.035</v>
      </c>
      <c r="BF107" s="224"/>
      <c r="BQ107" s="108" t="n">
        <v>36907.7428240741</v>
      </c>
      <c r="BR107" s="109" t="n">
        <v>36907.7434490741</v>
      </c>
      <c r="BS107" s="110" t="n">
        <v>39356</v>
      </c>
      <c r="BT107" s="111" t="n">
        <v>0</v>
      </c>
      <c r="BU107" s="112" t="n">
        <v>0</v>
      </c>
      <c r="BV107" s="112" t="n">
        <v>0</v>
      </c>
      <c r="BW107" s="112" t="n">
        <v>0</v>
      </c>
      <c r="BX107" s="113" t="n">
        <v>0</v>
      </c>
      <c r="BZ107" s="110" t="n">
        <v>39142</v>
      </c>
      <c r="CA107" s="116" t="n">
        <v>29.8409996032715</v>
      </c>
      <c r="CB107" s="116" t="n">
        <v>0</v>
      </c>
      <c r="CC107" s="116" t="n">
        <v>0</v>
      </c>
      <c r="CD107" s="116" t="n">
        <v>0</v>
      </c>
      <c r="CE107" s="117" t="n">
        <v>0</v>
      </c>
      <c r="CG107" s="135" t="n">
        <f aca="false">BB20</f>
        <v>2011</v>
      </c>
      <c r="CH107" s="136" t="n">
        <v>0</v>
      </c>
      <c r="CI107" s="137" t="n">
        <v>0</v>
      </c>
      <c r="CJ107" s="137" t="n">
        <v>0</v>
      </c>
      <c r="CK107" s="137" t="n">
        <v>0</v>
      </c>
      <c r="CL107" s="137" t="n">
        <v>0</v>
      </c>
      <c r="CM107" s="137" t="n">
        <v>0</v>
      </c>
      <c r="CN107" s="137" t="n">
        <v>0</v>
      </c>
      <c r="CO107" s="137" t="n">
        <v>0</v>
      </c>
      <c r="CP107" s="137" t="n">
        <v>0</v>
      </c>
      <c r="CQ107" s="137" t="n">
        <v>0</v>
      </c>
      <c r="CR107" s="137" t="n">
        <v>0</v>
      </c>
      <c r="CS107" s="138" t="n">
        <v>0</v>
      </c>
      <c r="CU107" s="135" t="n">
        <f aca="false">BB20</f>
        <v>2011</v>
      </c>
      <c r="CV107" s="136" t="n">
        <v>0</v>
      </c>
      <c r="CW107" s="137" t="n">
        <v>0</v>
      </c>
      <c r="CX107" s="137" t="n">
        <v>0</v>
      </c>
      <c r="CY107" s="137" t="n">
        <v>0</v>
      </c>
      <c r="CZ107" s="137" t="n">
        <v>0</v>
      </c>
      <c r="DA107" s="137" t="n">
        <v>0</v>
      </c>
      <c r="DB107" s="137" t="n">
        <v>0</v>
      </c>
      <c r="DC107" s="137" t="n">
        <v>0</v>
      </c>
      <c r="DD107" s="137" t="n">
        <v>0</v>
      </c>
      <c r="DE107" s="137" t="n">
        <v>0</v>
      </c>
      <c r="DF107" s="137" t="n">
        <v>0</v>
      </c>
      <c r="DG107" s="138" t="n">
        <v>0</v>
      </c>
      <c r="DI107" s="135" t="n">
        <f aca="false">BB20</f>
        <v>2011</v>
      </c>
      <c r="DJ107" s="136" t="n">
        <v>0</v>
      </c>
      <c r="DK107" s="137" t="n">
        <v>0</v>
      </c>
      <c r="DL107" s="137" t="n">
        <v>0</v>
      </c>
      <c r="DM107" s="137" t="n">
        <v>0</v>
      </c>
      <c r="DN107" s="137" t="n">
        <v>0</v>
      </c>
      <c r="DO107" s="137" t="n">
        <v>0</v>
      </c>
      <c r="DP107" s="137" t="n">
        <v>0</v>
      </c>
      <c r="DQ107" s="137" t="n">
        <v>0</v>
      </c>
      <c r="DR107" s="137" t="n">
        <v>0</v>
      </c>
      <c r="DS107" s="137" t="n">
        <v>0</v>
      </c>
      <c r="DT107" s="137" t="n">
        <v>0</v>
      </c>
      <c r="DU107" s="138" t="n">
        <v>0</v>
      </c>
    </row>
    <row r="108" customFormat="false" ht="12.75" hidden="false" customHeight="false" outlineLevel="0" collapsed="false">
      <c r="A108" s="0" t="n">
        <f aca="true">IF(ISERROR(MATCH(D108,iRefDt,0)),"",MATCH(D108,iRefDt,0))</f>
        <v>99</v>
      </c>
      <c r="B108" s="92" t="n">
        <f aca="false">MATCH(YEAR(D108),iSpreads)</f>
        <v>7</v>
      </c>
      <c r="C108" s="0" t="n">
        <f aca="false">MONTH(D108)</f>
        <v>4</v>
      </c>
      <c r="D108" s="93" t="n">
        <f aca="false">+EnergyCurve!D108</f>
        <v>39173</v>
      </c>
      <c r="E108" s="94" t="n">
        <f aca="false">VLOOKUP($D108,tblPriorPrice,2)</f>
        <v>28.7840003967285</v>
      </c>
      <c r="F108" s="95" t="n">
        <f aca="false">G108-E108</f>
        <v>-3.96728516705025E-007</v>
      </c>
      <c r="G108" s="264" t="n">
        <f aca="false">IF(EnergyCurve!G108&lt;200,0.001*EnergyCurve!G108+1,1.2)*EnergyCurve!G108</f>
        <v>28.784</v>
      </c>
      <c r="H108" s="96" t="n">
        <f aca="false">IF(EnergyCurve!H108&lt;200,0.001*EnergyCurve!H108+1,1.2)*EnergyCurve!H108</f>
        <v>23.529</v>
      </c>
      <c r="I108" s="96" t="n">
        <f aca="false">IF(EnergyCurve!I108&lt;200,0.001*EnergyCurve!I108+1,1.2)*EnergyCurve!I108</f>
        <v>51.401</v>
      </c>
      <c r="J108" s="94" t="n">
        <f aca="false">VLOOKUP($D108,tblPriorPrice,3)</f>
        <v>0</v>
      </c>
      <c r="K108" s="95" t="n">
        <f aca="false">L108-J108</f>
        <v>0</v>
      </c>
      <c r="L108" s="264" t="n">
        <v>0</v>
      </c>
      <c r="M108" s="96" t="n">
        <f aca="false">L108</f>
        <v>0</v>
      </c>
      <c r="N108" s="96" t="n">
        <f aca="false">L108</f>
        <v>0</v>
      </c>
      <c r="O108" s="58" t="n">
        <f aca="true">IF($A108="",0,INDEX(tblPosn,$A108,2))</f>
        <v>0</v>
      </c>
      <c r="P108" s="59" t="n">
        <f aca="true">IF($A108="",0,INDEX(tblPosn,$A108,3))</f>
        <v>0</v>
      </c>
      <c r="Q108" s="59" t="n">
        <f aca="true">IF($A108="",0,INDEX(tblPosn,$A108,4))</f>
        <v>0</v>
      </c>
      <c r="R108" s="59" t="n">
        <f aca="true">IF($A108="",0,INDEX(tblPosn,$A108,5))</f>
        <v>0</v>
      </c>
      <c r="S108" s="59" t="n">
        <f aca="true">IF($A108="",0,INDEX(tblPosn,$A108,6))</f>
        <v>0</v>
      </c>
      <c r="T108" s="98" t="n">
        <f aca="false">O108*F108+P108*K108+R108*AC108+S108*AH108/0.72+Q108*X108</f>
        <v>0</v>
      </c>
      <c r="V108" s="161" t="n">
        <f aca="false">D108</f>
        <v>39173</v>
      </c>
      <c r="W108" s="94" t="n">
        <f aca="false">VLOOKUP($D108,tblPriorPrice,4)</f>
        <v>0</v>
      </c>
      <c r="X108" s="162"/>
      <c r="Y108" s="176" t="n">
        <f aca="false">L108</f>
        <v>0</v>
      </c>
      <c r="Z108" s="177" t="n">
        <f aca="false">Y108</f>
        <v>0</v>
      </c>
      <c r="AA108" s="177" t="n">
        <f aca="false">Y108</f>
        <v>0</v>
      </c>
      <c r="AB108" s="94" t="n">
        <f aca="false">VLOOKUP($D108,tblPriorPrice,5)</f>
        <v>0</v>
      </c>
      <c r="AC108" s="162"/>
      <c r="AD108" s="176" t="n">
        <f aca="false">L108</f>
        <v>0</v>
      </c>
      <c r="AE108" s="96" t="n">
        <f aca="false">AD108</f>
        <v>0</v>
      </c>
      <c r="AF108" s="97" t="n">
        <f aca="false">AD108</f>
        <v>0</v>
      </c>
      <c r="AG108" s="94" t="n">
        <f aca="false">VLOOKUP($D108,tblPriorPrice,6)</f>
        <v>0</v>
      </c>
      <c r="AH108" s="182"/>
      <c r="AI108" s="189" t="n">
        <f aca="false">AG108+AH108</f>
        <v>0</v>
      </c>
      <c r="AJ108" s="96" t="n">
        <f aca="false">AI108</f>
        <v>0</v>
      </c>
      <c r="AK108" s="97" t="n">
        <f aca="false">AI108</f>
        <v>0</v>
      </c>
      <c r="AL108" s="178" t="n">
        <v>26</v>
      </c>
      <c r="AM108" s="165" t="n">
        <v>0.4</v>
      </c>
      <c r="AN108" s="166" t="n">
        <f aca="false">EnergyCurve!AN108*2</f>
        <v>0.455</v>
      </c>
      <c r="AO108" s="166" t="n">
        <f aca="false">EnergyCurve!AO108</f>
        <v>0.20475</v>
      </c>
      <c r="AP108" s="166" t="n">
        <f aca="false">AN108*1.25</f>
        <v>0.56875</v>
      </c>
      <c r="AQ108" s="166" t="n">
        <f aca="false">EnergyCurve!AQ108*2</f>
        <v>0.455</v>
      </c>
      <c r="AR108" s="166" t="n">
        <f aca="false">EnergyCurve!AR108</f>
        <v>0.182</v>
      </c>
      <c r="AS108" s="166" t="n">
        <f aca="false">EnergyCurve!AS108*1.25</f>
        <v>0.34125</v>
      </c>
      <c r="AT108" s="168" t="n">
        <f aca="false">EnergyCurve!AT108*2*2</f>
        <v>6.25752988188016</v>
      </c>
      <c r="AU108" s="169" t="n">
        <f aca="false">EnergyCurve!AU108</f>
        <v>-0.39109561761751</v>
      </c>
      <c r="AV108" s="169" t="n">
        <f aca="false">AT108*1.25</f>
        <v>7.8219123523502</v>
      </c>
      <c r="AW108" s="168" t="n">
        <f aca="false">EnergyCurve!AW108*2*2</f>
        <v>10.7754</v>
      </c>
      <c r="AX108" s="169" t="n">
        <f aca="false">EnergyCurve!AX108</f>
        <v>-0.6734625</v>
      </c>
      <c r="AY108" s="169" t="n">
        <f aca="false">AW108*1.25</f>
        <v>13.46925</v>
      </c>
      <c r="AZ108" s="167" t="n">
        <v>0</v>
      </c>
      <c r="BA108" s="74"/>
      <c r="BC108" s="222" t="n">
        <v>8</v>
      </c>
      <c r="BD108" s="223" t="n">
        <v>0.04</v>
      </c>
      <c r="BF108" s="224"/>
      <c r="BQ108" s="108" t="n">
        <v>36907.7428240741</v>
      </c>
      <c r="BR108" s="109" t="n">
        <v>36907.7434490741</v>
      </c>
      <c r="BS108" s="110" t="n">
        <v>39387</v>
      </c>
      <c r="BT108" s="111" t="n">
        <v>0</v>
      </c>
      <c r="BU108" s="112" t="n">
        <v>0</v>
      </c>
      <c r="BV108" s="112" t="n">
        <v>0</v>
      </c>
      <c r="BW108" s="112" t="n">
        <v>0</v>
      </c>
      <c r="BX108" s="113" t="n">
        <v>0</v>
      </c>
      <c r="BZ108" s="110" t="n">
        <v>39173</v>
      </c>
      <c r="CA108" s="116" t="n">
        <v>28.7840003967285</v>
      </c>
      <c r="CB108" s="116" t="n">
        <v>0</v>
      </c>
      <c r="CC108" s="116" t="n">
        <v>0</v>
      </c>
      <c r="CD108" s="116" t="n">
        <v>0</v>
      </c>
      <c r="CE108" s="117" t="n">
        <v>0</v>
      </c>
      <c r="CG108" s="135" t="n">
        <f aca="false">BB21</f>
        <v>2012</v>
      </c>
      <c r="CH108" s="136" t="n">
        <v>0</v>
      </c>
      <c r="CI108" s="137" t="n">
        <v>0</v>
      </c>
      <c r="CJ108" s="137" t="n">
        <v>0</v>
      </c>
      <c r="CK108" s="137" t="n">
        <v>0</v>
      </c>
      <c r="CL108" s="137" t="n">
        <v>0</v>
      </c>
      <c r="CM108" s="137" t="n">
        <v>0</v>
      </c>
      <c r="CN108" s="137" t="n">
        <v>0</v>
      </c>
      <c r="CO108" s="137" t="n">
        <v>0</v>
      </c>
      <c r="CP108" s="137" t="n">
        <v>0</v>
      </c>
      <c r="CQ108" s="137" t="n">
        <v>0</v>
      </c>
      <c r="CR108" s="137" t="n">
        <v>0</v>
      </c>
      <c r="CS108" s="138" t="n">
        <v>0</v>
      </c>
      <c r="CU108" s="135" t="n">
        <f aca="false">BB21</f>
        <v>2012</v>
      </c>
      <c r="CV108" s="136" t="n">
        <v>0</v>
      </c>
      <c r="CW108" s="137" t="n">
        <v>0</v>
      </c>
      <c r="CX108" s="137" t="n">
        <v>0</v>
      </c>
      <c r="CY108" s="137" t="n">
        <v>0</v>
      </c>
      <c r="CZ108" s="137" t="n">
        <v>0</v>
      </c>
      <c r="DA108" s="137" t="n">
        <v>0</v>
      </c>
      <c r="DB108" s="137" t="n">
        <v>0</v>
      </c>
      <c r="DC108" s="137" t="n">
        <v>0</v>
      </c>
      <c r="DD108" s="137" t="n">
        <v>0</v>
      </c>
      <c r="DE108" s="137" t="n">
        <v>0</v>
      </c>
      <c r="DF108" s="137" t="n">
        <v>0</v>
      </c>
      <c r="DG108" s="138" t="n">
        <v>0</v>
      </c>
      <c r="DI108" s="135" t="n">
        <f aca="false">BB21</f>
        <v>2012</v>
      </c>
      <c r="DJ108" s="136" t="n">
        <v>0</v>
      </c>
      <c r="DK108" s="137" t="n">
        <v>0</v>
      </c>
      <c r="DL108" s="137" t="n">
        <v>0</v>
      </c>
      <c r="DM108" s="137" t="n">
        <v>0</v>
      </c>
      <c r="DN108" s="137" t="n">
        <v>0</v>
      </c>
      <c r="DO108" s="137" t="n">
        <v>0</v>
      </c>
      <c r="DP108" s="137" t="n">
        <v>0</v>
      </c>
      <c r="DQ108" s="137" t="n">
        <v>0</v>
      </c>
      <c r="DR108" s="137" t="n">
        <v>0</v>
      </c>
      <c r="DS108" s="137" t="n">
        <v>0</v>
      </c>
      <c r="DT108" s="137" t="n">
        <v>0</v>
      </c>
      <c r="DU108" s="138" t="n">
        <v>0</v>
      </c>
    </row>
    <row r="109" customFormat="false" ht="12.75" hidden="false" customHeight="false" outlineLevel="0" collapsed="false">
      <c r="A109" s="0" t="n">
        <f aca="true">IF(ISERROR(MATCH(D109,iRefDt,0)),"",MATCH(D109,iRefDt,0))</f>
        <v>100</v>
      </c>
      <c r="B109" s="92" t="n">
        <f aca="false">MATCH(YEAR(D109),iSpreads)</f>
        <v>7</v>
      </c>
      <c r="C109" s="0" t="n">
        <f aca="false">MONTH(D109)</f>
        <v>5</v>
      </c>
      <c r="D109" s="93" t="n">
        <f aca="false">+EnergyCurve!D109</f>
        <v>39203</v>
      </c>
      <c r="E109" s="94" t="n">
        <f aca="false">VLOOKUP($D109,tblPriorPrice,2)</f>
        <v>31.9610004425049</v>
      </c>
      <c r="F109" s="95" t="n">
        <f aca="false">G109-E109</f>
        <v>-4.42504884290429E-007</v>
      </c>
      <c r="G109" s="264" t="n">
        <f aca="false">IF(EnergyCurve!G109&lt;200,0.001*EnergyCurve!G109+1,1.2)*EnergyCurve!G109</f>
        <v>31.961</v>
      </c>
      <c r="H109" s="96" t="n">
        <f aca="false">IF(EnergyCurve!H109&lt;200,0.001*EnergyCurve!H109+1,1.2)*EnergyCurve!H109</f>
        <v>26.676</v>
      </c>
      <c r="I109" s="96" t="n">
        <f aca="false">IF(EnergyCurve!I109&lt;200,0.001*EnergyCurve!I109+1,1.2)*EnergyCurve!I109</f>
        <v>54.704</v>
      </c>
      <c r="J109" s="94" t="n">
        <f aca="false">VLOOKUP($D109,tblPriorPrice,3)</f>
        <v>0</v>
      </c>
      <c r="K109" s="95" t="n">
        <f aca="false">L109-J109</f>
        <v>0</v>
      </c>
      <c r="L109" s="264" t="n">
        <v>0</v>
      </c>
      <c r="M109" s="96" t="n">
        <f aca="false">L109</f>
        <v>0</v>
      </c>
      <c r="N109" s="96" t="n">
        <f aca="false">L109</f>
        <v>0</v>
      </c>
      <c r="O109" s="58" t="n">
        <f aca="true">IF($A109="",0,INDEX(tblPosn,$A109,2))</f>
        <v>0</v>
      </c>
      <c r="P109" s="59" t="n">
        <f aca="true">IF($A109="",0,INDEX(tblPosn,$A109,3))</f>
        <v>0</v>
      </c>
      <c r="Q109" s="59" t="n">
        <f aca="true">IF($A109="",0,INDEX(tblPosn,$A109,4))</f>
        <v>0</v>
      </c>
      <c r="R109" s="59" t="n">
        <f aca="true">IF($A109="",0,INDEX(tblPosn,$A109,5))</f>
        <v>0</v>
      </c>
      <c r="S109" s="59" t="n">
        <f aca="true">IF($A109="",0,INDEX(tblPosn,$A109,6))</f>
        <v>0</v>
      </c>
      <c r="T109" s="98" t="n">
        <f aca="false">O109*F109+P109*K109+R109*AC109+S109*AH109/0.72+Q109*X109</f>
        <v>0</v>
      </c>
      <c r="V109" s="161" t="n">
        <f aca="false">D109</f>
        <v>39203</v>
      </c>
      <c r="W109" s="94" t="n">
        <f aca="false">VLOOKUP($D109,tblPriorPrice,4)</f>
        <v>0</v>
      </c>
      <c r="X109" s="162"/>
      <c r="Y109" s="176" t="n">
        <f aca="false">L109</f>
        <v>0</v>
      </c>
      <c r="Z109" s="177" t="n">
        <f aca="false">Y109</f>
        <v>0</v>
      </c>
      <c r="AA109" s="177" t="n">
        <f aca="false">Y109</f>
        <v>0</v>
      </c>
      <c r="AB109" s="94" t="n">
        <f aca="false">VLOOKUP($D109,tblPriorPrice,5)</f>
        <v>0</v>
      </c>
      <c r="AC109" s="162"/>
      <c r="AD109" s="176" t="n">
        <f aca="false">L109</f>
        <v>0</v>
      </c>
      <c r="AE109" s="96" t="n">
        <f aca="false">AD109</f>
        <v>0</v>
      </c>
      <c r="AF109" s="97" t="n">
        <f aca="false">AD109</f>
        <v>0</v>
      </c>
      <c r="AG109" s="94" t="n">
        <f aca="false">VLOOKUP($D109,tblPriorPrice,6)</f>
        <v>0</v>
      </c>
      <c r="AH109" s="182"/>
      <c r="AI109" s="189" t="n">
        <f aca="false">AG109+AH109</f>
        <v>0</v>
      </c>
      <c r="AJ109" s="96" t="n">
        <f aca="false">AI109</f>
        <v>0</v>
      </c>
      <c r="AK109" s="97" t="n">
        <f aca="false">AI109</f>
        <v>0</v>
      </c>
      <c r="AL109" s="178" t="n">
        <v>26</v>
      </c>
      <c r="AM109" s="165" t="n">
        <v>0.4</v>
      </c>
      <c r="AN109" s="166" t="n">
        <f aca="false">EnergyCurve!AN109*2</f>
        <v>0.455</v>
      </c>
      <c r="AO109" s="166" t="n">
        <f aca="false">EnergyCurve!AO109</f>
        <v>0.20475</v>
      </c>
      <c r="AP109" s="166" t="n">
        <f aca="false">AN109*1.25</f>
        <v>0.56875</v>
      </c>
      <c r="AQ109" s="166" t="n">
        <f aca="false">EnergyCurve!AQ109*2</f>
        <v>0.455</v>
      </c>
      <c r="AR109" s="166" t="n">
        <f aca="false">EnergyCurve!AR109</f>
        <v>0.182</v>
      </c>
      <c r="AS109" s="166" t="n">
        <f aca="false">EnergyCurve!AS109*1.25</f>
        <v>0.34125</v>
      </c>
      <c r="AT109" s="168" t="n">
        <f aca="false">EnergyCurve!AT109*2*2</f>
        <v>6.56235962744143</v>
      </c>
      <c r="AU109" s="169" t="n">
        <f aca="false">EnergyCurve!AU109</f>
        <v>-0.410147476715089</v>
      </c>
      <c r="AV109" s="169" t="n">
        <f aca="false">AT109*1.25</f>
        <v>8.20294953430178</v>
      </c>
      <c r="AW109" s="168" t="n">
        <f aca="false">EnergyCurve!AW109*2*2</f>
        <v>10.4928</v>
      </c>
      <c r="AX109" s="169" t="n">
        <f aca="false">EnergyCurve!AX109</f>
        <v>-0.6558</v>
      </c>
      <c r="AY109" s="169" t="n">
        <f aca="false">AW109*1.25</f>
        <v>13.116</v>
      </c>
      <c r="AZ109" s="167" t="n">
        <v>0</v>
      </c>
      <c r="BA109" s="74"/>
      <c r="BC109" s="222" t="n">
        <v>9</v>
      </c>
      <c r="BD109" s="223" t="n">
        <v>0.05</v>
      </c>
      <c r="BF109" s="226"/>
      <c r="BQ109" s="108" t="n">
        <v>36907.7428240741</v>
      </c>
      <c r="BR109" s="109" t="n">
        <v>36907.7434490741</v>
      </c>
      <c r="BS109" s="110" t="n">
        <v>39417</v>
      </c>
      <c r="BT109" s="111" t="n">
        <v>0</v>
      </c>
      <c r="BU109" s="112" t="n">
        <v>0</v>
      </c>
      <c r="BV109" s="112" t="n">
        <v>0</v>
      </c>
      <c r="BW109" s="112" t="n">
        <v>0</v>
      </c>
      <c r="BX109" s="113" t="n">
        <v>0</v>
      </c>
      <c r="BZ109" s="110" t="n">
        <v>39203</v>
      </c>
      <c r="CA109" s="116" t="n">
        <v>31.9610004425049</v>
      </c>
      <c r="CB109" s="116" t="n">
        <v>0</v>
      </c>
      <c r="CC109" s="116" t="n">
        <v>0</v>
      </c>
      <c r="CD109" s="116" t="n">
        <v>0</v>
      </c>
      <c r="CE109" s="117" t="n">
        <v>0</v>
      </c>
      <c r="CG109" s="135" t="n">
        <f aca="false">BB22</f>
        <v>2013</v>
      </c>
      <c r="CH109" s="136" t="n">
        <v>0</v>
      </c>
      <c r="CI109" s="137" t="n">
        <v>0</v>
      </c>
      <c r="CJ109" s="137" t="n">
        <v>0</v>
      </c>
      <c r="CK109" s="137" t="n">
        <v>0</v>
      </c>
      <c r="CL109" s="137" t="n">
        <v>0</v>
      </c>
      <c r="CM109" s="137" t="n">
        <v>0</v>
      </c>
      <c r="CN109" s="137" t="n">
        <v>0</v>
      </c>
      <c r="CO109" s="137" t="n">
        <v>0</v>
      </c>
      <c r="CP109" s="137" t="n">
        <v>0</v>
      </c>
      <c r="CQ109" s="137" t="n">
        <v>0</v>
      </c>
      <c r="CR109" s="137" t="n">
        <v>0</v>
      </c>
      <c r="CS109" s="138" t="n">
        <v>0</v>
      </c>
      <c r="CU109" s="135" t="n">
        <f aca="false">BB22</f>
        <v>2013</v>
      </c>
      <c r="CV109" s="136" t="n">
        <v>0</v>
      </c>
      <c r="CW109" s="137" t="n">
        <v>0</v>
      </c>
      <c r="CX109" s="137" t="n">
        <v>0</v>
      </c>
      <c r="CY109" s="137" t="n">
        <v>0</v>
      </c>
      <c r="CZ109" s="137" t="n">
        <v>0</v>
      </c>
      <c r="DA109" s="137" t="n">
        <v>0</v>
      </c>
      <c r="DB109" s="137" t="n">
        <v>0</v>
      </c>
      <c r="DC109" s="137" t="n">
        <v>0</v>
      </c>
      <c r="DD109" s="137" t="n">
        <v>0</v>
      </c>
      <c r="DE109" s="137" t="n">
        <v>0</v>
      </c>
      <c r="DF109" s="137" t="n">
        <v>0</v>
      </c>
      <c r="DG109" s="138" t="n">
        <v>0</v>
      </c>
      <c r="DI109" s="135" t="n">
        <f aca="false">BB22</f>
        <v>2013</v>
      </c>
      <c r="DJ109" s="136" t="n">
        <v>0</v>
      </c>
      <c r="DK109" s="137" t="n">
        <v>0</v>
      </c>
      <c r="DL109" s="137" t="n">
        <v>0</v>
      </c>
      <c r="DM109" s="137" t="n">
        <v>0</v>
      </c>
      <c r="DN109" s="137" t="n">
        <v>0</v>
      </c>
      <c r="DO109" s="137" t="n">
        <v>0</v>
      </c>
      <c r="DP109" s="137" t="n">
        <v>0</v>
      </c>
      <c r="DQ109" s="137" t="n">
        <v>0</v>
      </c>
      <c r="DR109" s="137" t="n">
        <v>0</v>
      </c>
      <c r="DS109" s="137" t="n">
        <v>0</v>
      </c>
      <c r="DT109" s="137" t="n">
        <v>0</v>
      </c>
      <c r="DU109" s="138" t="n">
        <v>0</v>
      </c>
    </row>
    <row r="110" customFormat="false" ht="12.75" hidden="false" customHeight="false" outlineLevel="0" collapsed="false">
      <c r="A110" s="0" t="n">
        <f aca="true">IF(ISERROR(MATCH(D110,iRefDt,0)),"",MATCH(D110,iRefDt,0))</f>
        <v>101</v>
      </c>
      <c r="B110" s="92" t="n">
        <f aca="false">MATCH(YEAR(D110),iSpreads)</f>
        <v>7</v>
      </c>
      <c r="C110" s="0" t="n">
        <f aca="false">MONTH(D110)</f>
        <v>6</v>
      </c>
      <c r="D110" s="93" t="n">
        <f aca="false">+EnergyCurve!D110</f>
        <v>39234</v>
      </c>
      <c r="E110" s="94" t="n">
        <f aca="false">VLOOKUP($D110,tblPriorPrice,2)</f>
        <v>38.3689994812012</v>
      </c>
      <c r="F110" s="95" t="n">
        <f aca="false">G110-E110</f>
        <v>5.18798827897626E-007</v>
      </c>
      <c r="G110" s="264" t="n">
        <f aca="false">IF(EnergyCurve!G110&lt;200,0.001*EnergyCurve!G110+1,1.2)*EnergyCurve!G110</f>
        <v>38.369</v>
      </c>
      <c r="H110" s="96" t="n">
        <f aca="false">IF(EnergyCurve!H110&lt;200,0.001*EnergyCurve!H110+1,1.2)*EnergyCurve!H110</f>
        <v>33.024</v>
      </c>
      <c r="I110" s="96" t="n">
        <f aca="false">IF(EnergyCurve!I110&lt;200,0.001*EnergyCurve!I110+1,1.2)*EnergyCurve!I110</f>
        <v>61.364</v>
      </c>
      <c r="J110" s="94" t="n">
        <f aca="false">VLOOKUP($D110,tblPriorPrice,3)</f>
        <v>0</v>
      </c>
      <c r="K110" s="95" t="n">
        <f aca="false">L110-J110</f>
        <v>0</v>
      </c>
      <c r="L110" s="264" t="n">
        <v>0</v>
      </c>
      <c r="M110" s="96" t="n">
        <f aca="false">L110</f>
        <v>0</v>
      </c>
      <c r="N110" s="96" t="n">
        <f aca="false">L110</f>
        <v>0</v>
      </c>
      <c r="O110" s="58" t="n">
        <f aca="true">IF($A110="",0,INDEX(tblPosn,$A110,2))</f>
        <v>0</v>
      </c>
      <c r="P110" s="59" t="n">
        <f aca="true">IF($A110="",0,INDEX(tblPosn,$A110,3))</f>
        <v>0</v>
      </c>
      <c r="Q110" s="59" t="n">
        <f aca="true">IF($A110="",0,INDEX(tblPosn,$A110,4))</f>
        <v>0</v>
      </c>
      <c r="R110" s="59" t="n">
        <f aca="true">IF($A110="",0,INDEX(tblPosn,$A110,5))</f>
        <v>0</v>
      </c>
      <c r="S110" s="59" t="n">
        <f aca="true">IF($A110="",0,INDEX(tblPosn,$A110,6))</f>
        <v>0</v>
      </c>
      <c r="T110" s="98" t="n">
        <f aca="false">O110*F110+P110*K110+R110*AC110+S110*AH110/0.72+Q110*X110</f>
        <v>0</v>
      </c>
      <c r="V110" s="161" t="n">
        <f aca="false">D110</f>
        <v>39234</v>
      </c>
      <c r="W110" s="94" t="n">
        <f aca="false">VLOOKUP($D110,tblPriorPrice,4)</f>
        <v>0</v>
      </c>
      <c r="X110" s="162"/>
      <c r="Y110" s="176" t="n">
        <f aca="false">L110</f>
        <v>0</v>
      </c>
      <c r="Z110" s="177" t="n">
        <f aca="false">Y110</f>
        <v>0</v>
      </c>
      <c r="AA110" s="177" t="n">
        <f aca="false">Y110</f>
        <v>0</v>
      </c>
      <c r="AB110" s="94" t="n">
        <f aca="false">VLOOKUP($D110,tblPriorPrice,5)</f>
        <v>0</v>
      </c>
      <c r="AC110" s="162"/>
      <c r="AD110" s="176" t="n">
        <f aca="false">L110</f>
        <v>0</v>
      </c>
      <c r="AE110" s="96" t="n">
        <f aca="false">AD110</f>
        <v>0</v>
      </c>
      <c r="AF110" s="97" t="n">
        <f aca="false">AD110</f>
        <v>0</v>
      </c>
      <c r="AG110" s="94" t="n">
        <f aca="false">VLOOKUP($D110,tblPriorPrice,6)</f>
        <v>0</v>
      </c>
      <c r="AH110" s="182"/>
      <c r="AI110" s="189" t="n">
        <f aca="false">AG110+AH110</f>
        <v>0</v>
      </c>
      <c r="AJ110" s="96" t="n">
        <f aca="false">AI110</f>
        <v>0</v>
      </c>
      <c r="AK110" s="97" t="n">
        <f aca="false">AI110</f>
        <v>0</v>
      </c>
      <c r="AL110" s="178" t="n">
        <v>26</v>
      </c>
      <c r="AM110" s="165" t="n">
        <v>0.4</v>
      </c>
      <c r="AN110" s="166" t="n">
        <f aca="false">EnergyCurve!AN110*2</f>
        <v>0.435</v>
      </c>
      <c r="AO110" s="166" t="n">
        <f aca="false">EnergyCurve!AO110</f>
        <v>0.19575</v>
      </c>
      <c r="AP110" s="166" t="n">
        <f aca="false">AN110*1.25</f>
        <v>0.54375</v>
      </c>
      <c r="AQ110" s="166" t="n">
        <f aca="false">EnergyCurve!AQ110*2</f>
        <v>0.435</v>
      </c>
      <c r="AR110" s="166" t="n">
        <f aca="false">EnergyCurve!AR110</f>
        <v>0.174</v>
      </c>
      <c r="AS110" s="166" t="n">
        <f aca="false">EnergyCurve!AS110*1.25</f>
        <v>0.32625</v>
      </c>
      <c r="AT110" s="168" t="n">
        <f aca="false">EnergyCurve!AT110*2*2</f>
        <v>7.75576329559925</v>
      </c>
      <c r="AU110" s="169" t="n">
        <f aca="false">EnergyCurve!AU110</f>
        <v>-0.484735205974953</v>
      </c>
      <c r="AV110" s="169" t="n">
        <f aca="false">AT110*1.25</f>
        <v>9.69470411949907</v>
      </c>
      <c r="AW110" s="168" t="n">
        <f aca="false">EnergyCurve!AW110*2*2</f>
        <v>9.9276</v>
      </c>
      <c r="AX110" s="169" t="n">
        <f aca="false">EnergyCurve!AX110</f>
        <v>-0.620475</v>
      </c>
      <c r="AY110" s="169" t="n">
        <f aca="false">AW110*1.25</f>
        <v>12.4095</v>
      </c>
      <c r="AZ110" s="167" t="n">
        <v>0</v>
      </c>
      <c r="BA110" s="74"/>
      <c r="BC110" s="227" t="n">
        <v>10</v>
      </c>
      <c r="BD110" s="228" t="n">
        <v>0.06</v>
      </c>
      <c r="BQ110" s="108" t="n">
        <v>36907.7428240741</v>
      </c>
      <c r="BR110" s="109" t="n">
        <v>36907.7434490741</v>
      </c>
      <c r="BS110" s="110" t="n">
        <v>39448</v>
      </c>
      <c r="BT110" s="111" t="n">
        <v>0</v>
      </c>
      <c r="BU110" s="112" t="n">
        <v>0</v>
      </c>
      <c r="BV110" s="112" t="n">
        <v>0</v>
      </c>
      <c r="BW110" s="112" t="n">
        <v>0</v>
      </c>
      <c r="BX110" s="113" t="n">
        <v>0</v>
      </c>
      <c r="BZ110" s="110" t="n">
        <v>39234</v>
      </c>
      <c r="CA110" s="116" t="n">
        <v>38.3689994812012</v>
      </c>
      <c r="CB110" s="116" t="n">
        <v>0</v>
      </c>
      <c r="CC110" s="116" t="n">
        <v>0</v>
      </c>
      <c r="CD110" s="116" t="n">
        <v>0</v>
      </c>
      <c r="CE110" s="117" t="n">
        <v>0</v>
      </c>
      <c r="CG110" s="135" t="n">
        <f aca="false">BB23</f>
        <v>2014</v>
      </c>
      <c r="CH110" s="136" t="n">
        <v>0</v>
      </c>
      <c r="CI110" s="137" t="n">
        <v>0</v>
      </c>
      <c r="CJ110" s="137" t="n">
        <v>0</v>
      </c>
      <c r="CK110" s="137" t="n">
        <v>0</v>
      </c>
      <c r="CL110" s="137" t="n">
        <v>0</v>
      </c>
      <c r="CM110" s="137" t="n">
        <v>0</v>
      </c>
      <c r="CN110" s="137" t="n">
        <v>0</v>
      </c>
      <c r="CO110" s="137" t="n">
        <v>0</v>
      </c>
      <c r="CP110" s="137" t="n">
        <v>0</v>
      </c>
      <c r="CQ110" s="137" t="n">
        <v>0</v>
      </c>
      <c r="CR110" s="137" t="n">
        <v>0</v>
      </c>
      <c r="CS110" s="138" t="n">
        <v>0</v>
      </c>
      <c r="CU110" s="135" t="n">
        <f aca="false">BB23</f>
        <v>2014</v>
      </c>
      <c r="CV110" s="136" t="n">
        <v>0</v>
      </c>
      <c r="CW110" s="137" t="n">
        <v>0</v>
      </c>
      <c r="CX110" s="137" t="n">
        <v>0</v>
      </c>
      <c r="CY110" s="137" t="n">
        <v>0</v>
      </c>
      <c r="CZ110" s="137" t="n">
        <v>0</v>
      </c>
      <c r="DA110" s="137" t="n">
        <v>0</v>
      </c>
      <c r="DB110" s="137" t="n">
        <v>0</v>
      </c>
      <c r="DC110" s="137" t="n">
        <v>0</v>
      </c>
      <c r="DD110" s="137" t="n">
        <v>0</v>
      </c>
      <c r="DE110" s="137" t="n">
        <v>0</v>
      </c>
      <c r="DF110" s="137" t="n">
        <v>0</v>
      </c>
      <c r="DG110" s="138" t="n">
        <v>0</v>
      </c>
      <c r="DI110" s="135" t="n">
        <f aca="false">BB23</f>
        <v>2014</v>
      </c>
      <c r="DJ110" s="136" t="n">
        <v>0</v>
      </c>
      <c r="DK110" s="137" t="n">
        <v>0</v>
      </c>
      <c r="DL110" s="137" t="n">
        <v>0</v>
      </c>
      <c r="DM110" s="137" t="n">
        <v>0</v>
      </c>
      <c r="DN110" s="137" t="n">
        <v>0</v>
      </c>
      <c r="DO110" s="137" t="n">
        <v>0</v>
      </c>
      <c r="DP110" s="137" t="n">
        <v>0</v>
      </c>
      <c r="DQ110" s="137" t="n">
        <v>0</v>
      </c>
      <c r="DR110" s="137" t="n">
        <v>0</v>
      </c>
      <c r="DS110" s="137" t="n">
        <v>0</v>
      </c>
      <c r="DT110" s="137" t="n">
        <v>0</v>
      </c>
      <c r="DU110" s="138" t="n">
        <v>0</v>
      </c>
    </row>
    <row r="111" customFormat="false" ht="12.75" hidden="false" customHeight="false" outlineLevel="0" collapsed="false">
      <c r="A111" s="0" t="n">
        <f aca="true">IF(ISERROR(MATCH(D111,iRefDt,0)),"",MATCH(D111,iRefDt,0))</f>
        <v>102</v>
      </c>
      <c r="B111" s="92" t="n">
        <f aca="false">MATCH(YEAR(D111),iSpreads)</f>
        <v>7</v>
      </c>
      <c r="C111" s="0" t="n">
        <f aca="false">MONTH(D111)</f>
        <v>7</v>
      </c>
      <c r="D111" s="93" t="n">
        <f aca="false">+EnergyCurve!D111</f>
        <v>39264</v>
      </c>
      <c r="E111" s="94" t="n">
        <f aca="false">VLOOKUP($D111,tblPriorPrice,2)</f>
        <v>38.3689994812012</v>
      </c>
      <c r="F111" s="95" t="n">
        <f aca="false">G111-E111</f>
        <v>5.18798827897626E-007</v>
      </c>
      <c r="G111" s="264" t="n">
        <f aca="false">IF(EnergyCurve!G111&lt;200,0.001*EnergyCurve!G111+1,1.2)*EnergyCurve!G111</f>
        <v>38.369</v>
      </c>
      <c r="H111" s="96" t="n">
        <f aca="false">IF(EnergyCurve!H111&lt;200,0.001*EnergyCurve!H111+1,1.2)*EnergyCurve!H111</f>
        <v>33.024</v>
      </c>
      <c r="I111" s="96" t="n">
        <f aca="false">IF(EnergyCurve!I111&lt;200,0.001*EnergyCurve!I111+1,1.2)*EnergyCurve!I111</f>
        <v>61.364</v>
      </c>
      <c r="J111" s="94" t="n">
        <f aca="false">VLOOKUP($D111,tblPriorPrice,3)</f>
        <v>0</v>
      </c>
      <c r="K111" s="95" t="n">
        <f aca="false">L111-J111</f>
        <v>0</v>
      </c>
      <c r="L111" s="264" t="n">
        <v>0</v>
      </c>
      <c r="M111" s="96" t="n">
        <f aca="false">L111</f>
        <v>0</v>
      </c>
      <c r="N111" s="96" t="n">
        <f aca="false">L111</f>
        <v>0</v>
      </c>
      <c r="O111" s="58" t="n">
        <f aca="true">IF($A111="",0,INDEX(tblPosn,$A111,2))</f>
        <v>0</v>
      </c>
      <c r="P111" s="59" t="n">
        <f aca="true">IF($A111="",0,INDEX(tblPosn,$A111,3))</f>
        <v>0</v>
      </c>
      <c r="Q111" s="59" t="n">
        <f aca="true">IF($A111="",0,INDEX(tblPosn,$A111,4))</f>
        <v>0</v>
      </c>
      <c r="R111" s="59" t="n">
        <f aca="true">IF($A111="",0,INDEX(tblPosn,$A111,5))</f>
        <v>0</v>
      </c>
      <c r="S111" s="59" t="n">
        <f aca="true">IF($A111="",0,INDEX(tblPosn,$A111,6))</f>
        <v>0</v>
      </c>
      <c r="T111" s="98" t="n">
        <f aca="false">O111*F111+P111*K111+R111*AC111+S111*AH111/0.72+Q111*X111</f>
        <v>0</v>
      </c>
      <c r="V111" s="161" t="n">
        <f aca="false">D111</f>
        <v>39264</v>
      </c>
      <c r="W111" s="94" t="n">
        <f aca="false">VLOOKUP($D111,tblPriorPrice,4)</f>
        <v>0</v>
      </c>
      <c r="X111" s="162"/>
      <c r="Y111" s="176" t="n">
        <f aca="false">L111</f>
        <v>0</v>
      </c>
      <c r="Z111" s="177" t="n">
        <f aca="false">Y111</f>
        <v>0</v>
      </c>
      <c r="AA111" s="177" t="n">
        <f aca="false">Y111</f>
        <v>0</v>
      </c>
      <c r="AB111" s="94" t="n">
        <f aca="false">VLOOKUP($D111,tblPriorPrice,5)</f>
        <v>0</v>
      </c>
      <c r="AC111" s="162"/>
      <c r="AD111" s="176" t="n">
        <f aca="false">L111</f>
        <v>0</v>
      </c>
      <c r="AE111" s="96" t="n">
        <f aca="false">AD111</f>
        <v>0</v>
      </c>
      <c r="AF111" s="97" t="n">
        <f aca="false">AD111</f>
        <v>0</v>
      </c>
      <c r="AG111" s="94" t="n">
        <f aca="false">VLOOKUP($D111,tblPriorPrice,6)</f>
        <v>0</v>
      </c>
      <c r="AH111" s="182"/>
      <c r="AI111" s="189" t="n">
        <f aca="false">AG111+AH111</f>
        <v>0</v>
      </c>
      <c r="AJ111" s="96" t="n">
        <f aca="false">AI111</f>
        <v>0</v>
      </c>
      <c r="AK111" s="97" t="n">
        <f aca="false">AI111</f>
        <v>0</v>
      </c>
      <c r="AL111" s="178" t="n">
        <v>27</v>
      </c>
      <c r="AM111" s="165" t="n">
        <v>0.4</v>
      </c>
      <c r="AN111" s="166" t="n">
        <f aca="false">EnergyCurve!AN111*2</f>
        <v>0.435</v>
      </c>
      <c r="AO111" s="166" t="n">
        <f aca="false">EnergyCurve!AO111</f>
        <v>0.19575</v>
      </c>
      <c r="AP111" s="166" t="n">
        <f aca="false">AN111*1.25</f>
        <v>0.54375</v>
      </c>
      <c r="AQ111" s="166" t="n">
        <f aca="false">EnergyCurve!AQ111*2</f>
        <v>0.435</v>
      </c>
      <c r="AR111" s="166" t="n">
        <f aca="false">EnergyCurve!AR111</f>
        <v>0.174</v>
      </c>
      <c r="AS111" s="166" t="n">
        <f aca="false">EnergyCurve!AS111*1.25</f>
        <v>0.32625</v>
      </c>
      <c r="AT111" s="168" t="n">
        <f aca="false">EnergyCurve!AT111*2*2</f>
        <v>7.75576329559925</v>
      </c>
      <c r="AU111" s="169" t="n">
        <f aca="false">EnergyCurve!AU111</f>
        <v>-0.484735205974953</v>
      </c>
      <c r="AV111" s="169" t="n">
        <f aca="false">AT111*1.25</f>
        <v>9.69470411949907</v>
      </c>
      <c r="AW111" s="168" t="n">
        <f aca="false">EnergyCurve!AW111*2*2</f>
        <v>9.9276</v>
      </c>
      <c r="AX111" s="169" t="n">
        <f aca="false">EnergyCurve!AX111</f>
        <v>-0.620475</v>
      </c>
      <c r="AY111" s="169" t="n">
        <f aca="false">AW111*1.25</f>
        <v>12.4095</v>
      </c>
      <c r="AZ111" s="167" t="n">
        <v>0</v>
      </c>
      <c r="BA111" s="74"/>
      <c r="BQ111" s="108" t="n">
        <v>36907.7428240741</v>
      </c>
      <c r="BR111" s="109" t="n">
        <v>36907.7434490741</v>
      </c>
      <c r="BS111" s="110" t="n">
        <v>39479</v>
      </c>
      <c r="BT111" s="111" t="n">
        <v>0</v>
      </c>
      <c r="BU111" s="112" t="n">
        <v>0</v>
      </c>
      <c r="BV111" s="112" t="n">
        <v>0</v>
      </c>
      <c r="BW111" s="112" t="n">
        <v>0</v>
      </c>
      <c r="BX111" s="113" t="n">
        <v>0</v>
      </c>
      <c r="BZ111" s="110" t="n">
        <v>39264</v>
      </c>
      <c r="CA111" s="116" t="n">
        <v>38.3689994812012</v>
      </c>
      <c r="CB111" s="116" t="n">
        <v>0</v>
      </c>
      <c r="CC111" s="116" t="n">
        <v>0</v>
      </c>
      <c r="CD111" s="116" t="n">
        <v>0</v>
      </c>
      <c r="CE111" s="117" t="n">
        <v>0</v>
      </c>
      <c r="CG111" s="135" t="n">
        <f aca="false">BB24</f>
        <v>2015</v>
      </c>
      <c r="CH111" s="136" t="n">
        <v>0</v>
      </c>
      <c r="CI111" s="137" t="n">
        <v>0</v>
      </c>
      <c r="CJ111" s="137" t="n">
        <v>0</v>
      </c>
      <c r="CK111" s="137" t="n">
        <v>0</v>
      </c>
      <c r="CL111" s="137" t="n">
        <v>0</v>
      </c>
      <c r="CM111" s="137" t="n">
        <v>0</v>
      </c>
      <c r="CN111" s="137" t="n">
        <v>0</v>
      </c>
      <c r="CO111" s="137" t="n">
        <v>0</v>
      </c>
      <c r="CP111" s="137" t="n">
        <v>0</v>
      </c>
      <c r="CQ111" s="137" t="n">
        <v>0</v>
      </c>
      <c r="CR111" s="137" t="n">
        <v>0</v>
      </c>
      <c r="CS111" s="138" t="n">
        <v>0</v>
      </c>
      <c r="CU111" s="135" t="n">
        <f aca="false">BB24</f>
        <v>2015</v>
      </c>
      <c r="CV111" s="136" t="n">
        <v>0</v>
      </c>
      <c r="CW111" s="137" t="n">
        <v>0</v>
      </c>
      <c r="CX111" s="137" t="n">
        <v>0</v>
      </c>
      <c r="CY111" s="137" t="n">
        <v>0</v>
      </c>
      <c r="CZ111" s="137" t="n">
        <v>0</v>
      </c>
      <c r="DA111" s="137" t="n">
        <v>0</v>
      </c>
      <c r="DB111" s="137" t="n">
        <v>0</v>
      </c>
      <c r="DC111" s="137" t="n">
        <v>0</v>
      </c>
      <c r="DD111" s="137" t="n">
        <v>0</v>
      </c>
      <c r="DE111" s="137" t="n">
        <v>0</v>
      </c>
      <c r="DF111" s="137" t="n">
        <v>0</v>
      </c>
      <c r="DG111" s="138" t="n">
        <v>0</v>
      </c>
      <c r="DI111" s="135" t="n">
        <f aca="false">BB24</f>
        <v>2015</v>
      </c>
      <c r="DJ111" s="136" t="n">
        <v>0</v>
      </c>
      <c r="DK111" s="137" t="n">
        <v>0</v>
      </c>
      <c r="DL111" s="137" t="n">
        <v>0</v>
      </c>
      <c r="DM111" s="137" t="n">
        <v>0</v>
      </c>
      <c r="DN111" s="137" t="n">
        <v>0</v>
      </c>
      <c r="DO111" s="137" t="n">
        <v>0</v>
      </c>
      <c r="DP111" s="137" t="n">
        <v>0</v>
      </c>
      <c r="DQ111" s="137" t="n">
        <v>0</v>
      </c>
      <c r="DR111" s="137" t="n">
        <v>0</v>
      </c>
      <c r="DS111" s="137" t="n">
        <v>0</v>
      </c>
      <c r="DT111" s="137" t="n">
        <v>0</v>
      </c>
      <c r="DU111" s="138" t="n">
        <v>0</v>
      </c>
    </row>
    <row r="112" customFormat="false" ht="12.75" hidden="false" customHeight="false" outlineLevel="0" collapsed="false">
      <c r="A112" s="0" t="n">
        <f aca="true">IF(ISERROR(MATCH(D112,iRefDt,0)),"",MATCH(D112,iRefDt,0))</f>
        <v>103</v>
      </c>
      <c r="B112" s="92" t="n">
        <f aca="false">MATCH(YEAR(D112),iSpreads)</f>
        <v>7</v>
      </c>
      <c r="C112" s="0" t="n">
        <f aca="false">MONTH(D112)</f>
        <v>8</v>
      </c>
      <c r="D112" s="93" t="n">
        <f aca="false">+EnergyCurve!D112</f>
        <v>39295</v>
      </c>
      <c r="E112" s="94" t="n">
        <f aca="false">VLOOKUP($D112,tblPriorPrice,2)</f>
        <v>40.5209999084473</v>
      </c>
      <c r="F112" s="95" t="n">
        <f aca="false">G112-E112</f>
        <v>9.15527280653805E-008</v>
      </c>
      <c r="G112" s="264" t="n">
        <f aca="false">IF(EnergyCurve!G112&lt;200,0.001*EnergyCurve!G112+1,1.2)*EnergyCurve!G112</f>
        <v>40.521</v>
      </c>
      <c r="H112" s="96" t="n">
        <f aca="false">IF(EnergyCurve!H112&lt;200,0.001*EnergyCurve!H112+1,1.2)*EnergyCurve!H112</f>
        <v>35.156</v>
      </c>
      <c r="I112" s="96" t="n">
        <f aca="false">IF(EnergyCurve!I112&lt;200,0.001*EnergyCurve!I112+1,1.2)*EnergyCurve!I112</f>
        <v>63.6</v>
      </c>
      <c r="J112" s="94" t="n">
        <f aca="false">VLOOKUP($D112,tblPriorPrice,3)</f>
        <v>0</v>
      </c>
      <c r="K112" s="95" t="n">
        <f aca="false">L112-J112</f>
        <v>0</v>
      </c>
      <c r="L112" s="264" t="n">
        <v>0</v>
      </c>
      <c r="M112" s="96" t="n">
        <f aca="false">L112</f>
        <v>0</v>
      </c>
      <c r="N112" s="96" t="n">
        <f aca="false">L112</f>
        <v>0</v>
      </c>
      <c r="O112" s="58" t="n">
        <f aca="true">IF($A112="",0,INDEX(tblPosn,$A112,2))</f>
        <v>0</v>
      </c>
      <c r="P112" s="59" t="n">
        <f aca="true">IF($A112="",0,INDEX(tblPosn,$A112,3))</f>
        <v>0</v>
      </c>
      <c r="Q112" s="59" t="n">
        <f aca="true">IF($A112="",0,INDEX(tblPosn,$A112,4))</f>
        <v>0</v>
      </c>
      <c r="R112" s="59" t="n">
        <f aca="true">IF($A112="",0,INDEX(tblPosn,$A112,5))</f>
        <v>0</v>
      </c>
      <c r="S112" s="59" t="n">
        <f aca="true">IF($A112="",0,INDEX(tblPosn,$A112,6))</f>
        <v>0</v>
      </c>
      <c r="T112" s="98" t="n">
        <f aca="false">O112*F112+P112*K112+R112*AC112+S112*AH112/0.72+Q112*X112</f>
        <v>0</v>
      </c>
      <c r="V112" s="161" t="n">
        <f aca="false">D112</f>
        <v>39295</v>
      </c>
      <c r="W112" s="94" t="n">
        <f aca="false">VLOOKUP($D112,tblPriorPrice,4)</f>
        <v>0</v>
      </c>
      <c r="X112" s="162"/>
      <c r="Y112" s="176" t="n">
        <f aca="false">L112</f>
        <v>0</v>
      </c>
      <c r="Z112" s="177" t="n">
        <f aca="false">Y112</f>
        <v>0</v>
      </c>
      <c r="AA112" s="177" t="n">
        <f aca="false">Y112</f>
        <v>0</v>
      </c>
      <c r="AB112" s="94" t="n">
        <f aca="false">VLOOKUP($D112,tblPriorPrice,5)</f>
        <v>0</v>
      </c>
      <c r="AC112" s="162"/>
      <c r="AD112" s="176" t="n">
        <f aca="false">L112</f>
        <v>0</v>
      </c>
      <c r="AE112" s="96" t="n">
        <f aca="false">AD112</f>
        <v>0</v>
      </c>
      <c r="AF112" s="97" t="n">
        <f aca="false">AD112</f>
        <v>0</v>
      </c>
      <c r="AG112" s="94" t="n">
        <f aca="false">VLOOKUP($D112,tblPriorPrice,6)</f>
        <v>0</v>
      </c>
      <c r="AH112" s="182"/>
      <c r="AI112" s="189" t="n">
        <f aca="false">AG112+AH112</f>
        <v>0</v>
      </c>
      <c r="AJ112" s="96" t="n">
        <f aca="false">AI112</f>
        <v>0</v>
      </c>
      <c r="AK112" s="97" t="n">
        <f aca="false">AI112</f>
        <v>0</v>
      </c>
      <c r="AL112" s="178" t="n">
        <v>27</v>
      </c>
      <c r="AM112" s="165" t="n">
        <v>0.4</v>
      </c>
      <c r="AN112" s="166" t="n">
        <f aca="false">EnergyCurve!AN112*2</f>
        <v>0.435</v>
      </c>
      <c r="AO112" s="166" t="n">
        <f aca="false">EnergyCurve!AO112</f>
        <v>0.19575</v>
      </c>
      <c r="AP112" s="166" t="n">
        <f aca="false">AN112*1.25</f>
        <v>0.54375</v>
      </c>
      <c r="AQ112" s="166" t="n">
        <f aca="false">EnergyCurve!AQ112*2</f>
        <v>0.435</v>
      </c>
      <c r="AR112" s="166" t="n">
        <f aca="false">EnergyCurve!AR112</f>
        <v>0.174</v>
      </c>
      <c r="AS112" s="166" t="n">
        <f aca="false">EnergyCurve!AS112*1.25</f>
        <v>0.32625</v>
      </c>
      <c r="AT112" s="168" t="n">
        <f aca="false">EnergyCurve!AT112*2*2</f>
        <v>8.27346121695085</v>
      </c>
      <c r="AU112" s="169" t="n">
        <f aca="false">EnergyCurve!AU112</f>
        <v>-0.517091326059428</v>
      </c>
      <c r="AV112" s="169" t="n">
        <f aca="false">AT112*1.25</f>
        <v>10.3418265211886</v>
      </c>
      <c r="AW112" s="168" t="n">
        <f aca="false">EnergyCurve!AW112*2*2</f>
        <v>9.7392</v>
      </c>
      <c r="AX112" s="169" t="n">
        <f aca="false">EnergyCurve!AX112</f>
        <v>-0.6087</v>
      </c>
      <c r="AY112" s="169" t="n">
        <f aca="false">AW112*1.25</f>
        <v>12.174</v>
      </c>
      <c r="AZ112" s="167" t="n">
        <v>0</v>
      </c>
      <c r="BA112" s="74"/>
      <c r="BB112" s="229" t="s">
        <v>128</v>
      </c>
      <c r="BC112" s="229"/>
      <c r="BD112" s="229"/>
      <c r="BO112" s="11"/>
      <c r="BQ112" s="108" t="n">
        <v>36907.7428240741</v>
      </c>
      <c r="BR112" s="109" t="n">
        <v>36907.7434490741</v>
      </c>
      <c r="BS112" s="110" t="n">
        <v>39508</v>
      </c>
      <c r="BT112" s="111" t="n">
        <v>0</v>
      </c>
      <c r="BU112" s="112" t="n">
        <v>0</v>
      </c>
      <c r="BV112" s="112" t="n">
        <v>0</v>
      </c>
      <c r="BW112" s="112" t="n">
        <v>0</v>
      </c>
      <c r="BX112" s="113" t="n">
        <v>0</v>
      </c>
      <c r="BZ112" s="110" t="n">
        <v>39295</v>
      </c>
      <c r="CA112" s="116" t="n">
        <v>40.5209999084473</v>
      </c>
      <c r="CB112" s="116" t="n">
        <v>0</v>
      </c>
      <c r="CC112" s="116" t="n">
        <v>0</v>
      </c>
      <c r="CD112" s="116" t="n">
        <v>0</v>
      </c>
      <c r="CE112" s="117" t="n">
        <v>0</v>
      </c>
      <c r="CG112" s="135" t="n">
        <f aca="false">BB25</f>
        <v>2016</v>
      </c>
      <c r="CH112" s="136" t="n">
        <v>0</v>
      </c>
      <c r="CI112" s="137" t="n">
        <v>0</v>
      </c>
      <c r="CJ112" s="137" t="n">
        <v>0</v>
      </c>
      <c r="CK112" s="137" t="n">
        <v>0</v>
      </c>
      <c r="CL112" s="137" t="n">
        <v>0</v>
      </c>
      <c r="CM112" s="137" t="n">
        <v>0</v>
      </c>
      <c r="CN112" s="137" t="n">
        <v>0</v>
      </c>
      <c r="CO112" s="137" t="n">
        <v>0</v>
      </c>
      <c r="CP112" s="137" t="n">
        <v>0</v>
      </c>
      <c r="CQ112" s="137" t="n">
        <v>0</v>
      </c>
      <c r="CR112" s="137" t="n">
        <v>0</v>
      </c>
      <c r="CS112" s="138" t="n">
        <v>0</v>
      </c>
      <c r="CU112" s="135" t="n">
        <f aca="false">BB25</f>
        <v>2016</v>
      </c>
      <c r="CV112" s="136" t="n">
        <v>0</v>
      </c>
      <c r="CW112" s="137" t="n">
        <v>0</v>
      </c>
      <c r="CX112" s="137" t="n">
        <v>0</v>
      </c>
      <c r="CY112" s="137" t="n">
        <v>0</v>
      </c>
      <c r="CZ112" s="137" t="n">
        <v>0</v>
      </c>
      <c r="DA112" s="137" t="n">
        <v>0</v>
      </c>
      <c r="DB112" s="137" t="n">
        <v>0</v>
      </c>
      <c r="DC112" s="137" t="n">
        <v>0</v>
      </c>
      <c r="DD112" s="137" t="n">
        <v>0</v>
      </c>
      <c r="DE112" s="137" t="n">
        <v>0</v>
      </c>
      <c r="DF112" s="137" t="n">
        <v>0</v>
      </c>
      <c r="DG112" s="138" t="n">
        <v>0</v>
      </c>
      <c r="DI112" s="135" t="n">
        <f aca="false">BB25</f>
        <v>2016</v>
      </c>
      <c r="DJ112" s="136" t="n">
        <v>0</v>
      </c>
      <c r="DK112" s="137" t="n">
        <v>0</v>
      </c>
      <c r="DL112" s="137" t="n">
        <v>0</v>
      </c>
      <c r="DM112" s="137" t="n">
        <v>0</v>
      </c>
      <c r="DN112" s="137" t="n">
        <v>0</v>
      </c>
      <c r="DO112" s="137" t="n">
        <v>0</v>
      </c>
      <c r="DP112" s="137" t="n">
        <v>0</v>
      </c>
      <c r="DQ112" s="137" t="n">
        <v>0</v>
      </c>
      <c r="DR112" s="137" t="n">
        <v>0</v>
      </c>
      <c r="DS112" s="137" t="n">
        <v>0</v>
      </c>
      <c r="DT112" s="137" t="n">
        <v>0</v>
      </c>
      <c r="DU112" s="138" t="n">
        <v>0</v>
      </c>
    </row>
    <row r="113" customFormat="false" ht="12.75" hidden="false" customHeight="false" outlineLevel="0" collapsed="false">
      <c r="A113" s="0" t="n">
        <f aca="true">IF(ISERROR(MATCH(D113,iRefDt,0)),"",MATCH(D113,iRefDt,0))</f>
        <v>104</v>
      </c>
      <c r="B113" s="92" t="n">
        <f aca="false">MATCH(YEAR(D113),iSpreads)</f>
        <v>7</v>
      </c>
      <c r="C113" s="0" t="n">
        <f aca="false">MONTH(D113)</f>
        <v>9</v>
      </c>
      <c r="D113" s="93" t="n">
        <f aca="false">+EnergyCurve!D113</f>
        <v>39326</v>
      </c>
      <c r="E113" s="94" t="n">
        <f aca="false">VLOOKUP($D113,tblPriorPrice,2)</f>
        <v>34.0890007019043</v>
      </c>
      <c r="F113" s="95" t="n">
        <f aca="false">G113-E113</f>
        <v>-7.01904298239242E-007</v>
      </c>
      <c r="G113" s="264" t="n">
        <f aca="false">IF(EnergyCurve!G113&lt;200,0.001*EnergyCurve!G113+1,1.2)*EnergyCurve!G113</f>
        <v>34.089</v>
      </c>
      <c r="H113" s="96" t="n">
        <f aca="false">IF(EnergyCurve!H113&lt;200,0.001*EnergyCurve!H113+1,1.2)*EnergyCurve!H113</f>
        <v>28.784</v>
      </c>
      <c r="I113" s="96" t="n">
        <f aca="false">IF(EnergyCurve!I113&lt;200,0.001*EnergyCurve!I113+1,1.2)*EnergyCurve!I113</f>
        <v>56.916</v>
      </c>
      <c r="J113" s="94" t="n">
        <f aca="false">VLOOKUP($D113,tblPriorPrice,3)</f>
        <v>0</v>
      </c>
      <c r="K113" s="95" t="n">
        <f aca="false">L113-J113</f>
        <v>0</v>
      </c>
      <c r="L113" s="264" t="n">
        <v>0</v>
      </c>
      <c r="M113" s="96" t="n">
        <f aca="false">L113</f>
        <v>0</v>
      </c>
      <c r="N113" s="96" t="n">
        <f aca="false">L113</f>
        <v>0</v>
      </c>
      <c r="O113" s="58" t="n">
        <f aca="true">IF($A113="",0,INDEX(tblPosn,$A113,2))</f>
        <v>0</v>
      </c>
      <c r="P113" s="59" t="n">
        <f aca="true">IF($A113="",0,INDEX(tblPosn,$A113,3))</f>
        <v>0</v>
      </c>
      <c r="Q113" s="59" t="n">
        <f aca="true">IF($A113="",0,INDEX(tblPosn,$A113,4))</f>
        <v>0</v>
      </c>
      <c r="R113" s="59" t="n">
        <f aca="true">IF($A113="",0,INDEX(tblPosn,$A113,5))</f>
        <v>0</v>
      </c>
      <c r="S113" s="59" t="n">
        <f aca="true">IF($A113="",0,INDEX(tblPosn,$A113,6))</f>
        <v>0</v>
      </c>
      <c r="T113" s="98" t="n">
        <f aca="false">O113*F113+P113*K113+R113*AC113+S113*AH113/0.72+Q113*X113</f>
        <v>0</v>
      </c>
      <c r="V113" s="161" t="n">
        <f aca="false">D113</f>
        <v>39326</v>
      </c>
      <c r="W113" s="94" t="n">
        <f aca="false">VLOOKUP($D113,tblPriorPrice,4)</f>
        <v>0</v>
      </c>
      <c r="X113" s="162"/>
      <c r="Y113" s="176" t="n">
        <f aca="false">L113</f>
        <v>0</v>
      </c>
      <c r="Z113" s="177" t="n">
        <f aca="false">Y113</f>
        <v>0</v>
      </c>
      <c r="AA113" s="177" t="n">
        <f aca="false">Y113</f>
        <v>0</v>
      </c>
      <c r="AB113" s="94" t="n">
        <f aca="false">VLOOKUP($D113,tblPriorPrice,5)</f>
        <v>0</v>
      </c>
      <c r="AC113" s="162"/>
      <c r="AD113" s="176" t="n">
        <f aca="false">L113</f>
        <v>0</v>
      </c>
      <c r="AE113" s="96" t="n">
        <f aca="false">AD113</f>
        <v>0</v>
      </c>
      <c r="AF113" s="97" t="n">
        <f aca="false">AD113</f>
        <v>0</v>
      </c>
      <c r="AG113" s="94" t="n">
        <f aca="false">VLOOKUP($D113,tblPriorPrice,6)</f>
        <v>0</v>
      </c>
      <c r="AH113" s="182"/>
      <c r="AI113" s="189" t="n">
        <f aca="false">AG113+AH113</f>
        <v>0</v>
      </c>
      <c r="AJ113" s="96" t="n">
        <f aca="false">AI113</f>
        <v>0</v>
      </c>
      <c r="AK113" s="97" t="n">
        <f aca="false">AI113</f>
        <v>0</v>
      </c>
      <c r="AL113" s="178" t="n">
        <v>27</v>
      </c>
      <c r="AM113" s="165" t="n">
        <v>0.4</v>
      </c>
      <c r="AN113" s="166" t="n">
        <f aca="false">EnergyCurve!AN113*2</f>
        <v>0.435</v>
      </c>
      <c r="AO113" s="166" t="n">
        <f aca="false">EnergyCurve!AO113</f>
        <v>0.19575</v>
      </c>
      <c r="AP113" s="166" t="n">
        <f aca="false">AN113*1.25</f>
        <v>0.54375</v>
      </c>
      <c r="AQ113" s="166" t="n">
        <f aca="false">EnergyCurve!AQ113*2</f>
        <v>0.435</v>
      </c>
      <c r="AR113" s="166" t="n">
        <f aca="false">EnergyCurve!AR113</f>
        <v>0.174</v>
      </c>
      <c r="AS113" s="166" t="n">
        <f aca="false">EnergyCurve!AS113*1.25</f>
        <v>0.32625</v>
      </c>
      <c r="AT113" s="168" t="n">
        <f aca="false">EnergyCurve!AT113*2*2</f>
        <v>6.88781730529552</v>
      </c>
      <c r="AU113" s="169" t="n">
        <f aca="false">EnergyCurve!AU113</f>
        <v>-0.43048858158097</v>
      </c>
      <c r="AV113" s="169" t="n">
        <f aca="false">AT113*1.25</f>
        <v>8.60977163161941</v>
      </c>
      <c r="AW113" s="168" t="n">
        <f aca="false">EnergyCurve!AW113*2*2</f>
        <v>10.3044</v>
      </c>
      <c r="AX113" s="169" t="n">
        <f aca="false">EnergyCurve!AX113</f>
        <v>-0.644025</v>
      </c>
      <c r="AY113" s="169" t="n">
        <f aca="false">AW113*1.25</f>
        <v>12.8805</v>
      </c>
      <c r="AZ113" s="167" t="n">
        <v>0</v>
      </c>
      <c r="BA113" s="74"/>
      <c r="BB113" s="230" t="s">
        <v>129</v>
      </c>
      <c r="BC113" s="231" t="n">
        <v>1</v>
      </c>
      <c r="BD113" s="232" t="n">
        <v>1</v>
      </c>
      <c r="BO113" s="11"/>
      <c r="BQ113" s="108" t="n">
        <v>36907.7428240741</v>
      </c>
      <c r="BR113" s="109" t="n">
        <v>36907.7434490741</v>
      </c>
      <c r="BS113" s="110" t="n">
        <v>39539</v>
      </c>
      <c r="BT113" s="111" t="n">
        <v>0</v>
      </c>
      <c r="BU113" s="112" t="n">
        <v>0</v>
      </c>
      <c r="BV113" s="112" t="n">
        <v>0</v>
      </c>
      <c r="BW113" s="112" t="n">
        <v>0</v>
      </c>
      <c r="BX113" s="113" t="n">
        <v>0</v>
      </c>
      <c r="BZ113" s="110" t="n">
        <v>39326</v>
      </c>
      <c r="CA113" s="116" t="n">
        <v>34.0890007019043</v>
      </c>
      <c r="CB113" s="116" t="n">
        <v>0</v>
      </c>
      <c r="CC113" s="116" t="n">
        <v>0</v>
      </c>
      <c r="CD113" s="116" t="n">
        <v>0</v>
      </c>
      <c r="CE113" s="117" t="n">
        <v>0</v>
      </c>
      <c r="CG113" s="135" t="n">
        <f aca="false">BB26</f>
        <v>2017</v>
      </c>
      <c r="CH113" s="136" t="n">
        <v>0</v>
      </c>
      <c r="CI113" s="137" t="n">
        <v>0</v>
      </c>
      <c r="CJ113" s="137" t="n">
        <v>0</v>
      </c>
      <c r="CK113" s="137" t="n">
        <v>0</v>
      </c>
      <c r="CL113" s="137" t="n">
        <v>0</v>
      </c>
      <c r="CM113" s="137" t="n">
        <v>0</v>
      </c>
      <c r="CN113" s="137" t="n">
        <v>0</v>
      </c>
      <c r="CO113" s="137" t="n">
        <v>0</v>
      </c>
      <c r="CP113" s="137" t="n">
        <v>0</v>
      </c>
      <c r="CQ113" s="137" t="n">
        <v>0</v>
      </c>
      <c r="CR113" s="137" t="n">
        <v>0</v>
      </c>
      <c r="CS113" s="138" t="n">
        <v>0</v>
      </c>
      <c r="CU113" s="135" t="n">
        <f aca="false">BB26</f>
        <v>2017</v>
      </c>
      <c r="CV113" s="136" t="n">
        <v>0</v>
      </c>
      <c r="CW113" s="137" t="n">
        <v>0</v>
      </c>
      <c r="CX113" s="137" t="n">
        <v>0</v>
      </c>
      <c r="CY113" s="137" t="n">
        <v>0</v>
      </c>
      <c r="CZ113" s="137" t="n">
        <v>0</v>
      </c>
      <c r="DA113" s="137" t="n">
        <v>0</v>
      </c>
      <c r="DB113" s="137" t="n">
        <v>0</v>
      </c>
      <c r="DC113" s="137" t="n">
        <v>0</v>
      </c>
      <c r="DD113" s="137" t="n">
        <v>0</v>
      </c>
      <c r="DE113" s="137" t="n">
        <v>0</v>
      </c>
      <c r="DF113" s="137" t="n">
        <v>0</v>
      </c>
      <c r="DG113" s="138" t="n">
        <v>0</v>
      </c>
      <c r="DI113" s="135" t="n">
        <f aca="false">BB26</f>
        <v>2017</v>
      </c>
      <c r="DJ113" s="136" t="n">
        <v>0</v>
      </c>
      <c r="DK113" s="137" t="n">
        <v>0</v>
      </c>
      <c r="DL113" s="137" t="n">
        <v>0</v>
      </c>
      <c r="DM113" s="137" t="n">
        <v>0</v>
      </c>
      <c r="DN113" s="137" t="n">
        <v>0</v>
      </c>
      <c r="DO113" s="137" t="n">
        <v>0</v>
      </c>
      <c r="DP113" s="137" t="n">
        <v>0</v>
      </c>
      <c r="DQ113" s="137" t="n">
        <v>0</v>
      </c>
      <c r="DR113" s="137" t="n">
        <v>0</v>
      </c>
      <c r="DS113" s="137" t="n">
        <v>0</v>
      </c>
      <c r="DT113" s="137" t="n">
        <v>0</v>
      </c>
      <c r="DU113" s="138" t="n">
        <v>0</v>
      </c>
    </row>
    <row r="114" customFormat="false" ht="12.75" hidden="false" customHeight="false" outlineLevel="0" collapsed="false">
      <c r="A114" s="0" t="n">
        <f aca="true">IF(ISERROR(MATCH(D114,iRefDt,0)),"",MATCH(D114,iRefDt,0))</f>
        <v>105</v>
      </c>
      <c r="B114" s="92" t="n">
        <f aca="false">MATCH(YEAR(D114),iSpreads)</f>
        <v>7</v>
      </c>
      <c r="C114" s="0" t="n">
        <f aca="false">MONTH(D114)</f>
        <v>10</v>
      </c>
      <c r="D114" s="93" t="n">
        <f aca="false">+EnergyCurve!D114</f>
        <v>39356</v>
      </c>
      <c r="E114" s="94" t="n">
        <f aca="false">VLOOKUP($D114,tblPriorPrice,2)</f>
        <v>36.2249984741211</v>
      </c>
      <c r="F114" s="95" t="n">
        <f aca="false">G114-E114</f>
        <v>1.52587890056566E-006</v>
      </c>
      <c r="G114" s="264" t="n">
        <f aca="false">IF(EnergyCurve!G114&lt;200,0.001*EnergyCurve!G114+1,1.2)*EnergyCurve!G114</f>
        <v>36.225</v>
      </c>
      <c r="H114" s="96" t="n">
        <f aca="false">IF(EnergyCurve!H114&lt;200,0.001*EnergyCurve!H114+1,1.2)*EnergyCurve!H114</f>
        <v>30.9</v>
      </c>
      <c r="I114" s="96" t="n">
        <f aca="false">IF(EnergyCurve!I114&lt;200,0.001*EnergyCurve!I114+1,1.2)*EnergyCurve!I114</f>
        <v>59.136</v>
      </c>
      <c r="J114" s="94" t="n">
        <f aca="false">VLOOKUP($D114,tblPriorPrice,3)</f>
        <v>0</v>
      </c>
      <c r="K114" s="95" t="n">
        <f aca="false">L114-J114</f>
        <v>0</v>
      </c>
      <c r="L114" s="264" t="n">
        <v>0</v>
      </c>
      <c r="M114" s="96" t="n">
        <f aca="false">L114</f>
        <v>0</v>
      </c>
      <c r="N114" s="96" t="n">
        <f aca="false">L114</f>
        <v>0</v>
      </c>
      <c r="O114" s="58" t="n">
        <f aca="true">IF($A114="",0,INDEX(tblPosn,$A114,2))</f>
        <v>0</v>
      </c>
      <c r="P114" s="59" t="n">
        <f aca="true">IF($A114="",0,INDEX(tblPosn,$A114,3))</f>
        <v>0</v>
      </c>
      <c r="Q114" s="59" t="n">
        <f aca="true">IF($A114="",0,INDEX(tblPosn,$A114,4))</f>
        <v>0</v>
      </c>
      <c r="R114" s="59" t="n">
        <f aca="true">IF($A114="",0,INDEX(tblPosn,$A114,5))</f>
        <v>0</v>
      </c>
      <c r="S114" s="59" t="n">
        <f aca="true">IF($A114="",0,INDEX(tblPosn,$A114,6))</f>
        <v>0</v>
      </c>
      <c r="T114" s="98" t="n">
        <f aca="false">O114*F114+P114*K114+R114*AC114+S114*AH114/0.72+Q114*X114</f>
        <v>0</v>
      </c>
      <c r="V114" s="161" t="n">
        <f aca="false">D114</f>
        <v>39356</v>
      </c>
      <c r="W114" s="94" t="n">
        <f aca="false">VLOOKUP($D114,tblPriorPrice,4)</f>
        <v>0</v>
      </c>
      <c r="X114" s="162"/>
      <c r="Y114" s="176" t="n">
        <f aca="false">L114</f>
        <v>0</v>
      </c>
      <c r="Z114" s="177" t="n">
        <f aca="false">Y114</f>
        <v>0</v>
      </c>
      <c r="AA114" s="177" t="n">
        <f aca="false">Y114</f>
        <v>0</v>
      </c>
      <c r="AB114" s="94" t="n">
        <f aca="false">VLOOKUP($D114,tblPriorPrice,5)</f>
        <v>0</v>
      </c>
      <c r="AC114" s="162"/>
      <c r="AD114" s="176" t="n">
        <f aca="false">L114</f>
        <v>0</v>
      </c>
      <c r="AE114" s="96" t="n">
        <f aca="false">AD114</f>
        <v>0</v>
      </c>
      <c r="AF114" s="97" t="n">
        <f aca="false">AD114</f>
        <v>0</v>
      </c>
      <c r="AG114" s="94" t="n">
        <f aca="false">VLOOKUP($D114,tblPriorPrice,6)</f>
        <v>0</v>
      </c>
      <c r="AH114" s="182"/>
      <c r="AI114" s="189" t="n">
        <f aca="false">AG114+AH114</f>
        <v>0</v>
      </c>
      <c r="AJ114" s="96" t="n">
        <f aca="false">AI114</f>
        <v>0</v>
      </c>
      <c r="AK114" s="97" t="n">
        <f aca="false">AI114</f>
        <v>0</v>
      </c>
      <c r="AL114" s="178" t="n">
        <v>28</v>
      </c>
      <c r="AM114" s="165" t="n">
        <v>0.4</v>
      </c>
      <c r="AN114" s="166" t="n">
        <f aca="false">EnergyCurve!AN114*2</f>
        <v>0.435</v>
      </c>
      <c r="AO114" s="166" t="n">
        <f aca="false">EnergyCurve!AO114</f>
        <v>0.19575</v>
      </c>
      <c r="AP114" s="166" t="n">
        <f aca="false">AN114*1.25</f>
        <v>0.54375</v>
      </c>
      <c r="AQ114" s="166" t="n">
        <f aca="false">EnergyCurve!AQ114*2</f>
        <v>0.435</v>
      </c>
      <c r="AR114" s="166" t="n">
        <f aca="false">EnergyCurve!AR114</f>
        <v>0.174</v>
      </c>
      <c r="AS114" s="166" t="n">
        <f aca="false">EnergyCurve!AS114*1.25</f>
        <v>0.32625</v>
      </c>
      <c r="AT114" s="168" t="n">
        <f aca="false">EnergyCurve!AT114*2*2</f>
        <v>7.29020125079811</v>
      </c>
      <c r="AU114" s="169" t="n">
        <f aca="false">EnergyCurve!AU114</f>
        <v>-0.455637578174882</v>
      </c>
      <c r="AV114" s="169" t="n">
        <f aca="false">AT114*1.25</f>
        <v>9.11275156349763</v>
      </c>
      <c r="AW114" s="168" t="n">
        <f aca="false">EnergyCurve!AW114*2*2</f>
        <v>10.116</v>
      </c>
      <c r="AX114" s="169" t="n">
        <f aca="false">EnergyCurve!AX114</f>
        <v>-0.63225</v>
      </c>
      <c r="AY114" s="169" t="n">
        <f aca="false">AW114*1.25</f>
        <v>12.645</v>
      </c>
      <c r="AZ114" s="167" t="n">
        <v>0</v>
      </c>
      <c r="BA114" s="74"/>
      <c r="BB114" s="233" t="s">
        <v>130</v>
      </c>
      <c r="BC114" s="234" t="n">
        <v>1</v>
      </c>
      <c r="BD114" s="235" t="n">
        <v>1</v>
      </c>
      <c r="BO114" s="11"/>
      <c r="BQ114" s="108" t="n">
        <v>36907.7428240741</v>
      </c>
      <c r="BR114" s="109" t="n">
        <v>36907.7434490741</v>
      </c>
      <c r="BS114" s="110" t="n">
        <v>39569</v>
      </c>
      <c r="BT114" s="111" t="n">
        <v>0</v>
      </c>
      <c r="BU114" s="112" t="n">
        <v>0</v>
      </c>
      <c r="BV114" s="112" t="n">
        <v>0</v>
      </c>
      <c r="BW114" s="112" t="n">
        <v>0</v>
      </c>
      <c r="BX114" s="113" t="n">
        <v>0</v>
      </c>
      <c r="BZ114" s="110" t="n">
        <v>39356</v>
      </c>
      <c r="CA114" s="116" t="n">
        <v>36.2249984741211</v>
      </c>
      <c r="CB114" s="116" t="n">
        <v>0</v>
      </c>
      <c r="CC114" s="116" t="n">
        <v>0</v>
      </c>
      <c r="CD114" s="116" t="n">
        <v>0</v>
      </c>
      <c r="CE114" s="117" t="n">
        <v>0</v>
      </c>
      <c r="CG114" s="135" t="n">
        <f aca="false">BB27</f>
        <v>2018</v>
      </c>
      <c r="CH114" s="136" t="n">
        <v>0</v>
      </c>
      <c r="CI114" s="137" t="n">
        <v>0</v>
      </c>
      <c r="CJ114" s="137" t="n">
        <v>0</v>
      </c>
      <c r="CK114" s="137" t="n">
        <v>0</v>
      </c>
      <c r="CL114" s="137" t="n">
        <v>0</v>
      </c>
      <c r="CM114" s="137" t="n">
        <v>0</v>
      </c>
      <c r="CN114" s="137" t="n">
        <v>0</v>
      </c>
      <c r="CO114" s="137" t="n">
        <v>0</v>
      </c>
      <c r="CP114" s="137" t="n">
        <v>0</v>
      </c>
      <c r="CQ114" s="137" t="n">
        <v>0</v>
      </c>
      <c r="CR114" s="137" t="n">
        <v>0</v>
      </c>
      <c r="CS114" s="138" t="n">
        <v>0</v>
      </c>
      <c r="CU114" s="135" t="n">
        <f aca="false">BB27</f>
        <v>2018</v>
      </c>
      <c r="CV114" s="136" t="n">
        <v>0</v>
      </c>
      <c r="CW114" s="137" t="n">
        <v>0</v>
      </c>
      <c r="CX114" s="137" t="n">
        <v>0</v>
      </c>
      <c r="CY114" s="137" t="n">
        <v>0</v>
      </c>
      <c r="CZ114" s="137" t="n">
        <v>0</v>
      </c>
      <c r="DA114" s="137" t="n">
        <v>0</v>
      </c>
      <c r="DB114" s="137" t="n">
        <v>0</v>
      </c>
      <c r="DC114" s="137" t="n">
        <v>0</v>
      </c>
      <c r="DD114" s="137" t="n">
        <v>0</v>
      </c>
      <c r="DE114" s="137" t="n">
        <v>0</v>
      </c>
      <c r="DF114" s="137" t="n">
        <v>0</v>
      </c>
      <c r="DG114" s="138" t="n">
        <v>0</v>
      </c>
      <c r="DI114" s="135" t="n">
        <f aca="false">BB27</f>
        <v>2018</v>
      </c>
      <c r="DJ114" s="136" t="n">
        <v>0</v>
      </c>
      <c r="DK114" s="137" t="n">
        <v>0</v>
      </c>
      <c r="DL114" s="137" t="n">
        <v>0</v>
      </c>
      <c r="DM114" s="137" t="n">
        <v>0</v>
      </c>
      <c r="DN114" s="137" t="n">
        <v>0</v>
      </c>
      <c r="DO114" s="137" t="n">
        <v>0</v>
      </c>
      <c r="DP114" s="137" t="n">
        <v>0</v>
      </c>
      <c r="DQ114" s="137" t="n">
        <v>0</v>
      </c>
      <c r="DR114" s="137" t="n">
        <v>0</v>
      </c>
      <c r="DS114" s="137" t="n">
        <v>0</v>
      </c>
      <c r="DT114" s="137" t="n">
        <v>0</v>
      </c>
      <c r="DU114" s="138" t="n">
        <v>0</v>
      </c>
    </row>
    <row r="115" customFormat="false" ht="12.75" hidden="false" customHeight="false" outlineLevel="0" collapsed="false">
      <c r="A115" s="0" t="n">
        <f aca="true">IF(ISERROR(MATCH(D115,iRefDt,0)),"",MATCH(D115,iRefDt,0))</f>
        <v>106</v>
      </c>
      <c r="B115" s="92" t="n">
        <f aca="false">MATCH(YEAR(D115),iSpreads)</f>
        <v>7</v>
      </c>
      <c r="C115" s="0" t="n">
        <f aca="false">MONTH(D115)</f>
        <v>11</v>
      </c>
      <c r="D115" s="93" t="n">
        <f aca="false">+EnergyCurve!D115</f>
        <v>39387</v>
      </c>
      <c r="E115" s="94" t="n">
        <f aca="false">VLOOKUP($D115,tblPriorPrice,2)</f>
        <v>31.9610004425049</v>
      </c>
      <c r="F115" s="95" t="n">
        <f aca="false">G115-E115</f>
        <v>-4.42504884290429E-007</v>
      </c>
      <c r="G115" s="264" t="n">
        <f aca="false">IF(EnergyCurve!G115&lt;200,0.001*EnergyCurve!G115+1,1.2)*EnergyCurve!G115</f>
        <v>31.961</v>
      </c>
      <c r="H115" s="96" t="n">
        <f aca="false">IF(EnergyCurve!H115&lt;200,0.001*EnergyCurve!H115+1,1.2)*EnergyCurve!H115</f>
        <v>26.676</v>
      </c>
      <c r="I115" s="96" t="n">
        <f aca="false">IF(EnergyCurve!I115&lt;200,0.001*EnergyCurve!I115+1,1.2)*EnergyCurve!I115</f>
        <v>54.704</v>
      </c>
      <c r="J115" s="94" t="n">
        <f aca="false">VLOOKUP($D115,tblPriorPrice,3)</f>
        <v>0</v>
      </c>
      <c r="K115" s="95" t="n">
        <f aca="false">L115-J115</f>
        <v>0</v>
      </c>
      <c r="L115" s="264" t="n">
        <v>0</v>
      </c>
      <c r="M115" s="96" t="n">
        <f aca="false">L115</f>
        <v>0</v>
      </c>
      <c r="N115" s="96" t="n">
        <f aca="false">L115</f>
        <v>0</v>
      </c>
      <c r="O115" s="58" t="n">
        <f aca="true">IF($A115="",0,INDEX(tblPosn,$A115,2))</f>
        <v>0</v>
      </c>
      <c r="P115" s="59" t="n">
        <f aca="true">IF($A115="",0,INDEX(tblPosn,$A115,3))</f>
        <v>0</v>
      </c>
      <c r="Q115" s="59" t="n">
        <f aca="true">IF($A115="",0,INDEX(tblPosn,$A115,4))</f>
        <v>0</v>
      </c>
      <c r="R115" s="59" t="n">
        <f aca="true">IF($A115="",0,INDEX(tblPosn,$A115,5))</f>
        <v>0</v>
      </c>
      <c r="S115" s="59" t="n">
        <f aca="true">IF($A115="",0,INDEX(tblPosn,$A115,6))</f>
        <v>0</v>
      </c>
      <c r="T115" s="98" t="n">
        <f aca="false">O115*F115+P115*K115+R115*AC115+S115*AH115/0.72+Q115*X115</f>
        <v>0</v>
      </c>
      <c r="V115" s="161" t="n">
        <f aca="false">D115</f>
        <v>39387</v>
      </c>
      <c r="W115" s="94" t="n">
        <f aca="false">VLOOKUP($D115,tblPriorPrice,4)</f>
        <v>0</v>
      </c>
      <c r="X115" s="162"/>
      <c r="Y115" s="176" t="n">
        <f aca="false">L115</f>
        <v>0</v>
      </c>
      <c r="Z115" s="177" t="n">
        <f aca="false">Y115</f>
        <v>0</v>
      </c>
      <c r="AA115" s="177" t="n">
        <f aca="false">Y115</f>
        <v>0</v>
      </c>
      <c r="AB115" s="94" t="n">
        <f aca="false">VLOOKUP($D115,tblPriorPrice,5)</f>
        <v>0</v>
      </c>
      <c r="AC115" s="162"/>
      <c r="AD115" s="176" t="n">
        <f aca="false">L115</f>
        <v>0</v>
      </c>
      <c r="AE115" s="96" t="n">
        <f aca="false">AD115</f>
        <v>0</v>
      </c>
      <c r="AF115" s="97" t="n">
        <f aca="false">AD115</f>
        <v>0</v>
      </c>
      <c r="AG115" s="94" t="n">
        <f aca="false">VLOOKUP($D115,tblPriorPrice,6)</f>
        <v>0</v>
      </c>
      <c r="AH115" s="182"/>
      <c r="AI115" s="189" t="n">
        <f aca="false">AG115+AH115</f>
        <v>0</v>
      </c>
      <c r="AJ115" s="96" t="n">
        <f aca="false">AI115</f>
        <v>0</v>
      </c>
      <c r="AK115" s="97" t="n">
        <f aca="false">AI115</f>
        <v>0</v>
      </c>
      <c r="AL115" s="178" t="n">
        <v>28</v>
      </c>
      <c r="AM115" s="165" t="n">
        <v>0.4</v>
      </c>
      <c r="AN115" s="166" t="n">
        <f aca="false">EnergyCurve!AN115*2</f>
        <v>0.435</v>
      </c>
      <c r="AO115" s="166" t="n">
        <f aca="false">EnergyCurve!AO115</f>
        <v>0.19575</v>
      </c>
      <c r="AP115" s="166" t="n">
        <f aca="false">AN115*1.25</f>
        <v>0.54375</v>
      </c>
      <c r="AQ115" s="166" t="n">
        <f aca="false">EnergyCurve!AQ115*2</f>
        <v>0.435</v>
      </c>
      <c r="AR115" s="166" t="n">
        <f aca="false">EnergyCurve!AR115</f>
        <v>0.174</v>
      </c>
      <c r="AS115" s="166" t="n">
        <f aca="false">EnergyCurve!AS115*1.25</f>
        <v>0.32625</v>
      </c>
      <c r="AT115" s="168" t="n">
        <f aca="false">EnergyCurve!AT115*2*2</f>
        <v>6.56235962744143</v>
      </c>
      <c r="AU115" s="169" t="n">
        <f aca="false">EnergyCurve!AU115</f>
        <v>-0.410147476715089</v>
      </c>
      <c r="AV115" s="169" t="n">
        <f aca="false">AT115*1.25</f>
        <v>8.20294953430178</v>
      </c>
      <c r="AW115" s="168" t="n">
        <f aca="false">EnergyCurve!AW115*2*2</f>
        <v>10.4928</v>
      </c>
      <c r="AX115" s="169" t="n">
        <f aca="false">EnergyCurve!AX115</f>
        <v>-0.6558</v>
      </c>
      <c r="AY115" s="169" t="n">
        <f aca="false">AW115*1.25</f>
        <v>13.116</v>
      </c>
      <c r="AZ115" s="167" t="n">
        <v>0</v>
      </c>
      <c r="BA115" s="74"/>
      <c r="BB115" s="236"/>
      <c r="BC115" s="237" t="s">
        <v>131</v>
      </c>
      <c r="BD115" s="238" t="s">
        <v>132</v>
      </c>
      <c r="BO115" s="11"/>
      <c r="BQ115" s="108" t="n">
        <v>36907.7428240741</v>
      </c>
      <c r="BR115" s="109" t="n">
        <v>36907.7434490741</v>
      </c>
      <c r="BS115" s="110" t="n">
        <v>39600</v>
      </c>
      <c r="BT115" s="111" t="n">
        <v>0</v>
      </c>
      <c r="BU115" s="112" t="n">
        <v>0</v>
      </c>
      <c r="BV115" s="112" t="n">
        <v>0</v>
      </c>
      <c r="BW115" s="112" t="n">
        <v>0</v>
      </c>
      <c r="BX115" s="113" t="n">
        <v>0</v>
      </c>
      <c r="BZ115" s="110" t="n">
        <v>39387</v>
      </c>
      <c r="CA115" s="116" t="n">
        <v>31.9610004425049</v>
      </c>
      <c r="CB115" s="116" t="n">
        <v>0</v>
      </c>
      <c r="CC115" s="116" t="n">
        <v>0</v>
      </c>
      <c r="CD115" s="116" t="n">
        <v>0</v>
      </c>
      <c r="CE115" s="117" t="n">
        <v>0</v>
      </c>
      <c r="CG115" s="135" t="n">
        <f aca="false">BB28</f>
        <v>2019</v>
      </c>
      <c r="CH115" s="136" t="n">
        <v>0</v>
      </c>
      <c r="CI115" s="137" t="n">
        <v>0</v>
      </c>
      <c r="CJ115" s="137" t="n">
        <v>0</v>
      </c>
      <c r="CK115" s="137" t="n">
        <v>0</v>
      </c>
      <c r="CL115" s="137" t="n">
        <v>0</v>
      </c>
      <c r="CM115" s="137" t="n">
        <v>0</v>
      </c>
      <c r="CN115" s="137" t="n">
        <v>0</v>
      </c>
      <c r="CO115" s="137" t="n">
        <v>0</v>
      </c>
      <c r="CP115" s="137" t="n">
        <v>0</v>
      </c>
      <c r="CQ115" s="137" t="n">
        <v>0</v>
      </c>
      <c r="CR115" s="137" t="n">
        <v>0</v>
      </c>
      <c r="CS115" s="138" t="n">
        <v>0</v>
      </c>
      <c r="CU115" s="135" t="n">
        <f aca="false">BB28</f>
        <v>2019</v>
      </c>
      <c r="CV115" s="136" t="n">
        <v>0</v>
      </c>
      <c r="CW115" s="137" t="n">
        <v>0</v>
      </c>
      <c r="CX115" s="137" t="n">
        <v>0</v>
      </c>
      <c r="CY115" s="137" t="n">
        <v>0</v>
      </c>
      <c r="CZ115" s="137" t="n">
        <v>0</v>
      </c>
      <c r="DA115" s="137" t="n">
        <v>0</v>
      </c>
      <c r="DB115" s="137" t="n">
        <v>0</v>
      </c>
      <c r="DC115" s="137" t="n">
        <v>0</v>
      </c>
      <c r="DD115" s="137" t="n">
        <v>0</v>
      </c>
      <c r="DE115" s="137" t="n">
        <v>0</v>
      </c>
      <c r="DF115" s="137" t="n">
        <v>0</v>
      </c>
      <c r="DG115" s="138" t="n">
        <v>0</v>
      </c>
      <c r="DI115" s="135" t="n">
        <f aca="false">BB28</f>
        <v>2019</v>
      </c>
      <c r="DJ115" s="136" t="n">
        <v>0</v>
      </c>
      <c r="DK115" s="137" t="n">
        <v>0</v>
      </c>
      <c r="DL115" s="137" t="n">
        <v>0</v>
      </c>
      <c r="DM115" s="137" t="n">
        <v>0</v>
      </c>
      <c r="DN115" s="137" t="n">
        <v>0</v>
      </c>
      <c r="DO115" s="137" t="n">
        <v>0</v>
      </c>
      <c r="DP115" s="137" t="n">
        <v>0</v>
      </c>
      <c r="DQ115" s="137" t="n">
        <v>0</v>
      </c>
      <c r="DR115" s="137" t="n">
        <v>0</v>
      </c>
      <c r="DS115" s="137" t="n">
        <v>0</v>
      </c>
      <c r="DT115" s="137" t="n">
        <v>0</v>
      </c>
      <c r="DU115" s="138" t="n">
        <v>0</v>
      </c>
    </row>
    <row r="116" customFormat="false" ht="12.75" hidden="false" customHeight="false" outlineLevel="0" collapsed="false">
      <c r="A116" s="0" t="n">
        <f aca="true">IF(ISERROR(MATCH(D116,iRefDt,0)),"",MATCH(D116,iRefDt,0))</f>
        <v>107</v>
      </c>
      <c r="B116" s="92" t="n">
        <f aca="false">MATCH(YEAR(D116),iSpreads)</f>
        <v>7</v>
      </c>
      <c r="C116" s="0" t="n">
        <f aca="false">MONTH(D116)</f>
        <v>12</v>
      </c>
      <c r="D116" s="93" t="n">
        <f aca="false">+EnergyCurve!D116</f>
        <v>39417</v>
      </c>
      <c r="E116" s="94" t="n">
        <f aca="false">VLOOKUP($D116,tblPriorPrice,2)</f>
        <v>30.8999996185303</v>
      </c>
      <c r="F116" s="95" t="n">
        <f aca="false">G116-E116</f>
        <v>3.81469728694128E-007</v>
      </c>
      <c r="G116" s="264" t="n">
        <f aca="false">IF(EnergyCurve!G116&lt;200,0.001*EnergyCurve!G116+1,1.2)*EnergyCurve!G116</f>
        <v>30.9</v>
      </c>
      <c r="H116" s="96" t="n">
        <f aca="false">IF(EnergyCurve!H116&lt;200,0.001*EnergyCurve!H116+1,1.2)*EnergyCurve!H116</f>
        <v>25.625</v>
      </c>
      <c r="I116" s="96" t="n">
        <f aca="false">IF(EnergyCurve!I116&lt;200,0.001*EnergyCurve!I116+1,1.2)*EnergyCurve!I116</f>
        <v>53.601</v>
      </c>
      <c r="J116" s="94" t="n">
        <f aca="false">VLOOKUP($D116,tblPriorPrice,3)</f>
        <v>0</v>
      </c>
      <c r="K116" s="95" t="n">
        <f aca="false">L116-J116</f>
        <v>0</v>
      </c>
      <c r="L116" s="264" t="n">
        <v>0</v>
      </c>
      <c r="M116" s="96" t="n">
        <f aca="false">L116</f>
        <v>0</v>
      </c>
      <c r="N116" s="96" t="n">
        <f aca="false">L116</f>
        <v>0</v>
      </c>
      <c r="O116" s="58" t="n">
        <f aca="true">IF($A116="",0,INDEX(tblPosn,$A116,2))</f>
        <v>0</v>
      </c>
      <c r="P116" s="59" t="n">
        <f aca="true">IF($A116="",0,INDEX(tblPosn,$A116,3))</f>
        <v>0</v>
      </c>
      <c r="Q116" s="59" t="n">
        <f aca="true">IF($A116="",0,INDEX(tblPosn,$A116,4))</f>
        <v>0</v>
      </c>
      <c r="R116" s="59" t="n">
        <f aca="true">IF($A116="",0,INDEX(tblPosn,$A116,5))</f>
        <v>0</v>
      </c>
      <c r="S116" s="59" t="n">
        <f aca="true">IF($A116="",0,INDEX(tblPosn,$A116,6))</f>
        <v>0</v>
      </c>
      <c r="T116" s="98" t="n">
        <f aca="false">O116*F116+P116*K116+R116*AC116+S116*AH116/0.72+Q116*X116</f>
        <v>0</v>
      </c>
      <c r="V116" s="161" t="n">
        <f aca="false">D116</f>
        <v>39417</v>
      </c>
      <c r="W116" s="94" t="n">
        <f aca="false">VLOOKUP($D116,tblPriorPrice,4)</f>
        <v>0</v>
      </c>
      <c r="X116" s="162"/>
      <c r="Y116" s="176" t="n">
        <f aca="false">L116</f>
        <v>0</v>
      </c>
      <c r="Z116" s="177" t="n">
        <f aca="false">Y116</f>
        <v>0</v>
      </c>
      <c r="AA116" s="177" t="n">
        <f aca="false">Y116</f>
        <v>0</v>
      </c>
      <c r="AB116" s="94" t="n">
        <f aca="false">VLOOKUP($D116,tblPriorPrice,5)</f>
        <v>0</v>
      </c>
      <c r="AC116" s="162"/>
      <c r="AD116" s="176" t="n">
        <f aca="false">L116</f>
        <v>0</v>
      </c>
      <c r="AE116" s="96" t="n">
        <f aca="false">AD116</f>
        <v>0</v>
      </c>
      <c r="AF116" s="97" t="n">
        <f aca="false">AD116</f>
        <v>0</v>
      </c>
      <c r="AG116" s="94" t="n">
        <f aca="false">VLOOKUP($D116,tblPriorPrice,6)</f>
        <v>0</v>
      </c>
      <c r="AH116" s="182"/>
      <c r="AI116" s="189" t="n">
        <f aca="false">AG116+AH116</f>
        <v>0</v>
      </c>
      <c r="AJ116" s="96" t="n">
        <f aca="false">AI116</f>
        <v>0</v>
      </c>
      <c r="AK116" s="97" t="n">
        <f aca="false">AI116</f>
        <v>0</v>
      </c>
      <c r="AL116" s="178" t="n">
        <v>28</v>
      </c>
      <c r="AM116" s="165" t="n">
        <v>0.4</v>
      </c>
      <c r="AN116" s="166" t="n">
        <f aca="false">EnergyCurve!AN116*2</f>
        <v>0.435</v>
      </c>
      <c r="AO116" s="166" t="n">
        <f aca="false">EnergyCurve!AO116</f>
        <v>0.19575</v>
      </c>
      <c r="AP116" s="166" t="n">
        <f aca="false">AN116*1.25</f>
        <v>0.54375</v>
      </c>
      <c r="AQ116" s="166" t="n">
        <f aca="false">EnergyCurve!AQ116*2</f>
        <v>0.435</v>
      </c>
      <c r="AR116" s="166" t="n">
        <f aca="false">EnergyCurve!AR116</f>
        <v>0.174</v>
      </c>
      <c r="AS116" s="166" t="n">
        <f aca="false">EnergyCurve!AS116*1.25</f>
        <v>0.32625</v>
      </c>
      <c r="AT116" s="168" t="n">
        <f aca="false">EnergyCurve!AT116*2*2</f>
        <v>6.43371807382396</v>
      </c>
      <c r="AU116" s="169" t="n">
        <f aca="false">EnergyCurve!AU116</f>
        <v>-0.402107379613998</v>
      </c>
      <c r="AV116" s="169" t="n">
        <f aca="false">AT116*1.25</f>
        <v>8.04214759227995</v>
      </c>
      <c r="AW116" s="168" t="n">
        <f aca="false">EnergyCurve!AW116*2*2</f>
        <v>10.6812</v>
      </c>
      <c r="AX116" s="169" t="n">
        <f aca="false">EnergyCurve!AX116</f>
        <v>-0.667575</v>
      </c>
      <c r="AY116" s="169" t="n">
        <f aca="false">AW116*1.25</f>
        <v>13.3515</v>
      </c>
      <c r="AZ116" s="167" t="n">
        <v>0</v>
      </c>
      <c r="BA116" s="74"/>
      <c r="BB116" s="239" t="s">
        <v>133</v>
      </c>
      <c r="BC116" s="240" t="n">
        <v>700</v>
      </c>
      <c r="BD116" s="241" t="n">
        <v>2200</v>
      </c>
      <c r="BO116" s="11"/>
      <c r="BQ116" s="108" t="n">
        <v>36907.7428240741</v>
      </c>
      <c r="BR116" s="109" t="n">
        <v>36907.7434490741</v>
      </c>
      <c r="BS116" s="110" t="n">
        <v>39630</v>
      </c>
      <c r="BT116" s="111" t="n">
        <v>0</v>
      </c>
      <c r="BU116" s="112" t="n">
        <v>0</v>
      </c>
      <c r="BV116" s="112" t="n">
        <v>0</v>
      </c>
      <c r="BW116" s="112" t="n">
        <v>0</v>
      </c>
      <c r="BX116" s="113" t="n">
        <v>0</v>
      </c>
      <c r="BZ116" s="110" t="n">
        <v>39417</v>
      </c>
      <c r="CA116" s="116" t="n">
        <v>30.8999996185303</v>
      </c>
      <c r="CB116" s="116" t="n">
        <v>0</v>
      </c>
      <c r="CC116" s="116" t="n">
        <v>0</v>
      </c>
      <c r="CD116" s="116" t="n">
        <v>0</v>
      </c>
      <c r="CE116" s="117" t="n">
        <v>0</v>
      </c>
      <c r="CG116" s="152" t="n">
        <f aca="false">BB29</f>
        <v>2020</v>
      </c>
      <c r="CH116" s="153" t="n">
        <v>0</v>
      </c>
      <c r="CI116" s="154" t="n">
        <v>0</v>
      </c>
      <c r="CJ116" s="154" t="n">
        <v>0</v>
      </c>
      <c r="CK116" s="154" t="n">
        <v>0</v>
      </c>
      <c r="CL116" s="154" t="n">
        <v>0</v>
      </c>
      <c r="CM116" s="154" t="n">
        <v>0</v>
      </c>
      <c r="CN116" s="154" t="n">
        <v>0</v>
      </c>
      <c r="CO116" s="154" t="n">
        <v>0</v>
      </c>
      <c r="CP116" s="154" t="n">
        <v>0</v>
      </c>
      <c r="CQ116" s="154" t="n">
        <v>0</v>
      </c>
      <c r="CR116" s="154" t="n">
        <v>0</v>
      </c>
      <c r="CS116" s="155" t="n">
        <v>0</v>
      </c>
      <c r="CU116" s="152" t="n">
        <f aca="false">BB29</f>
        <v>2020</v>
      </c>
      <c r="CV116" s="153" t="n">
        <v>0</v>
      </c>
      <c r="CW116" s="154" t="n">
        <v>0</v>
      </c>
      <c r="CX116" s="154" t="n">
        <v>0</v>
      </c>
      <c r="CY116" s="154" t="n">
        <v>0</v>
      </c>
      <c r="CZ116" s="154" t="n">
        <v>0</v>
      </c>
      <c r="DA116" s="154" t="n">
        <v>0</v>
      </c>
      <c r="DB116" s="154" t="n">
        <v>0</v>
      </c>
      <c r="DC116" s="154" t="n">
        <v>0</v>
      </c>
      <c r="DD116" s="154" t="n">
        <v>0</v>
      </c>
      <c r="DE116" s="154" t="n">
        <v>0</v>
      </c>
      <c r="DF116" s="154" t="n">
        <v>0</v>
      </c>
      <c r="DG116" s="155" t="n">
        <v>0</v>
      </c>
      <c r="DI116" s="152" t="n">
        <f aca="false">BB29</f>
        <v>2020</v>
      </c>
      <c r="DJ116" s="153" t="n">
        <v>0</v>
      </c>
      <c r="DK116" s="154" t="n">
        <v>0</v>
      </c>
      <c r="DL116" s="154" t="n">
        <v>0</v>
      </c>
      <c r="DM116" s="154" t="n">
        <v>0</v>
      </c>
      <c r="DN116" s="154" t="n">
        <v>0</v>
      </c>
      <c r="DO116" s="154" t="n">
        <v>0</v>
      </c>
      <c r="DP116" s="154" t="n">
        <v>0</v>
      </c>
      <c r="DQ116" s="154" t="n">
        <v>0</v>
      </c>
      <c r="DR116" s="154" t="n">
        <v>0</v>
      </c>
      <c r="DS116" s="154" t="n">
        <v>0</v>
      </c>
      <c r="DT116" s="154" t="n">
        <v>0</v>
      </c>
      <c r="DU116" s="155" t="n">
        <v>0</v>
      </c>
    </row>
    <row r="117" customFormat="false" ht="12.75" hidden="false" customHeight="false" outlineLevel="0" collapsed="false">
      <c r="A117" s="0" t="n">
        <f aca="true">IF(ISERROR(MATCH(D117,iRefDt,0)),"",MATCH(D117,iRefDt,0))</f>
        <v>108</v>
      </c>
      <c r="B117" s="92" t="n">
        <f aca="false">MATCH(YEAR(D117),iSpreads)</f>
        <v>8</v>
      </c>
      <c r="C117" s="0" t="n">
        <f aca="false">MONTH(D117)</f>
        <v>1</v>
      </c>
      <c r="D117" s="93" t="n">
        <f aca="false">+EnergyCurve!D117</f>
        <v>39448</v>
      </c>
      <c r="E117" s="94" t="n">
        <f aca="false">VLOOKUP($D117,tblPriorPrice,2)</f>
        <v>31.9610004425049</v>
      </c>
      <c r="F117" s="95" t="n">
        <f aca="false">G117-E117</f>
        <v>-4.42504884290429E-007</v>
      </c>
      <c r="G117" s="264" t="n">
        <f aca="false">IF(EnergyCurve!G117&lt;200,0.001*EnergyCurve!G117+1,1.2)*EnergyCurve!G117</f>
        <v>31.961</v>
      </c>
      <c r="H117" s="96" t="n">
        <f aca="false">IF(EnergyCurve!H117&lt;200,0.001*EnergyCurve!H117+1,1.2)*EnergyCurve!H117</f>
        <v>26.676</v>
      </c>
      <c r="I117" s="96" t="n">
        <f aca="false">IF(EnergyCurve!I117&lt;200,0.001*EnergyCurve!I117+1,1.2)*EnergyCurve!I117</f>
        <v>55.809</v>
      </c>
      <c r="J117" s="94" t="n">
        <f aca="false">VLOOKUP($D117,tblPriorPrice,3)</f>
        <v>0</v>
      </c>
      <c r="K117" s="95" t="n">
        <f aca="false">L117-J117</f>
        <v>0</v>
      </c>
      <c r="L117" s="264" t="n">
        <v>0</v>
      </c>
      <c r="M117" s="96" t="n">
        <f aca="false">L117</f>
        <v>0</v>
      </c>
      <c r="N117" s="96" t="n">
        <f aca="false">L117</f>
        <v>0</v>
      </c>
      <c r="O117" s="58" t="n">
        <f aca="true">IF($A117="",0,INDEX(tblPosn,$A117,2))</f>
        <v>0</v>
      </c>
      <c r="P117" s="59" t="n">
        <f aca="true">IF($A117="",0,INDEX(tblPosn,$A117,3))</f>
        <v>0</v>
      </c>
      <c r="Q117" s="59" t="n">
        <f aca="true">IF($A117="",0,INDEX(tblPosn,$A117,4))</f>
        <v>0</v>
      </c>
      <c r="R117" s="59" t="n">
        <f aca="true">IF($A117="",0,INDEX(tblPosn,$A117,5))</f>
        <v>0</v>
      </c>
      <c r="S117" s="59" t="n">
        <f aca="true">IF($A117="",0,INDEX(tblPosn,$A117,6))</f>
        <v>0</v>
      </c>
      <c r="T117" s="98" t="n">
        <f aca="false">O117*F117+P117*K117+R117*AC117+S117*AH117/0.72+Q117*X117</f>
        <v>0</v>
      </c>
      <c r="V117" s="161" t="n">
        <f aca="false">D117</f>
        <v>39448</v>
      </c>
      <c r="W117" s="94" t="n">
        <f aca="false">VLOOKUP($D117,tblPriorPrice,4)</f>
        <v>0</v>
      </c>
      <c r="X117" s="162"/>
      <c r="Y117" s="176" t="n">
        <f aca="false">L117</f>
        <v>0</v>
      </c>
      <c r="Z117" s="177" t="n">
        <f aca="false">Y117</f>
        <v>0</v>
      </c>
      <c r="AA117" s="177" t="n">
        <f aca="false">Y117</f>
        <v>0</v>
      </c>
      <c r="AB117" s="94" t="n">
        <f aca="false">VLOOKUP($D117,tblPriorPrice,5)</f>
        <v>0</v>
      </c>
      <c r="AC117" s="162"/>
      <c r="AD117" s="176" t="n">
        <f aca="false">L117</f>
        <v>0</v>
      </c>
      <c r="AE117" s="96" t="n">
        <f aca="false">AD117</f>
        <v>0</v>
      </c>
      <c r="AF117" s="97" t="n">
        <f aca="false">AD117</f>
        <v>0</v>
      </c>
      <c r="AG117" s="94" t="n">
        <f aca="false">VLOOKUP($D117,tblPriorPrice,6)</f>
        <v>0</v>
      </c>
      <c r="AH117" s="182"/>
      <c r="AI117" s="189" t="n">
        <f aca="false">AG117+AH117</f>
        <v>0</v>
      </c>
      <c r="AJ117" s="96" t="n">
        <f aca="false">AI117</f>
        <v>0</v>
      </c>
      <c r="AK117" s="97" t="n">
        <f aca="false">AI117</f>
        <v>0</v>
      </c>
      <c r="AL117" s="178" t="n">
        <v>29</v>
      </c>
      <c r="AM117" s="165" t="n">
        <v>0.4</v>
      </c>
      <c r="AN117" s="166" t="n">
        <f aca="false">EnergyCurve!AN117*2</f>
        <v>0.435</v>
      </c>
      <c r="AO117" s="166" t="n">
        <f aca="false">EnergyCurve!AO117</f>
        <v>0.19575</v>
      </c>
      <c r="AP117" s="166" t="n">
        <f aca="false">AN117*1.25</f>
        <v>0.54375</v>
      </c>
      <c r="AQ117" s="166" t="n">
        <f aca="false">EnergyCurve!AQ117*2</f>
        <v>0.435</v>
      </c>
      <c r="AR117" s="166" t="n">
        <f aca="false">EnergyCurve!AR117</f>
        <v>0.174</v>
      </c>
      <c r="AS117" s="166" t="n">
        <f aca="false">EnergyCurve!AS117*1.25</f>
        <v>0.32625</v>
      </c>
      <c r="AT117" s="168" t="n">
        <f aca="false">EnergyCurve!AT117*2*2</f>
        <v>6.56235962744143</v>
      </c>
      <c r="AU117" s="169" t="n">
        <f aca="false">EnergyCurve!AU117</f>
        <v>-0.410147476715089</v>
      </c>
      <c r="AV117" s="169" t="n">
        <f aca="false">AT117*1.25</f>
        <v>8.20294953430178</v>
      </c>
      <c r="AW117" s="168" t="n">
        <f aca="false">EnergyCurve!AW117*2*2</f>
        <v>10.4928</v>
      </c>
      <c r="AX117" s="169" t="n">
        <f aca="false">EnergyCurve!AX117</f>
        <v>-0.6558</v>
      </c>
      <c r="AY117" s="169" t="n">
        <f aca="false">AW117*1.25</f>
        <v>13.116</v>
      </c>
      <c r="AZ117" s="167" t="n">
        <v>0</v>
      </c>
      <c r="BA117" s="74"/>
      <c r="BB117" s="242" t="s">
        <v>134</v>
      </c>
      <c r="BC117" s="242"/>
      <c r="BD117" s="242"/>
      <c r="BE117" s="242"/>
      <c r="BF117" s="242"/>
      <c r="BG117" s="242"/>
      <c r="BH117" s="242"/>
      <c r="BI117" s="242"/>
      <c r="BJ117" s="242"/>
      <c r="BK117" s="242"/>
      <c r="BL117" s="242"/>
      <c r="BM117" s="242"/>
      <c r="BN117" s="242"/>
      <c r="BO117" s="243"/>
      <c r="BQ117" s="108" t="n">
        <v>36907.7428240741</v>
      </c>
      <c r="BR117" s="109" t="n">
        <v>36907.7434490741</v>
      </c>
      <c r="BS117" s="110" t="n">
        <v>39661</v>
      </c>
      <c r="BT117" s="111" t="n">
        <v>0</v>
      </c>
      <c r="BU117" s="112" t="n">
        <v>0</v>
      </c>
      <c r="BV117" s="112" t="n">
        <v>0</v>
      </c>
      <c r="BW117" s="112" t="n">
        <v>0</v>
      </c>
      <c r="BX117" s="113" t="n">
        <v>0</v>
      </c>
      <c r="BZ117" s="110" t="n">
        <v>39448</v>
      </c>
      <c r="CA117" s="116" t="n">
        <v>31.9610004425049</v>
      </c>
      <c r="CB117" s="116" t="n">
        <v>0</v>
      </c>
      <c r="CC117" s="116" t="n">
        <v>0</v>
      </c>
      <c r="CD117" s="116" t="n">
        <v>0</v>
      </c>
      <c r="CE117" s="117" t="n">
        <v>0</v>
      </c>
    </row>
    <row r="118" customFormat="false" ht="12.75" hidden="false" customHeight="false" outlineLevel="0" collapsed="false">
      <c r="A118" s="0" t="n">
        <f aca="true">IF(ISERROR(MATCH(D118,iRefDt,0)),"",MATCH(D118,iRefDt,0))</f>
        <v>109</v>
      </c>
      <c r="B118" s="92" t="n">
        <f aca="false">MATCH(YEAR(D118),iSpreads)</f>
        <v>8</v>
      </c>
      <c r="C118" s="0" t="n">
        <f aca="false">MONTH(D118)</f>
        <v>2</v>
      </c>
      <c r="D118" s="93" t="n">
        <f aca="false">+EnergyCurve!D118</f>
        <v>39479</v>
      </c>
      <c r="E118" s="94" t="n">
        <f aca="false">VLOOKUP($D118,tblPriorPrice,2)</f>
        <v>30.8999996185303</v>
      </c>
      <c r="F118" s="95" t="n">
        <f aca="false">G118-E118</f>
        <v>3.81469728694128E-007</v>
      </c>
      <c r="G118" s="264" t="n">
        <f aca="false">IF(EnergyCurve!G118&lt;200,0.001*EnergyCurve!G118+1,1.2)*EnergyCurve!G118</f>
        <v>30.9</v>
      </c>
      <c r="H118" s="96" t="n">
        <f aca="false">IF(EnergyCurve!H118&lt;200,0.001*EnergyCurve!H118+1,1.2)*EnergyCurve!H118</f>
        <v>25.625</v>
      </c>
      <c r="I118" s="96" t="n">
        <f aca="false">IF(EnergyCurve!I118&lt;200,0.001*EnergyCurve!I118+1,1.2)*EnergyCurve!I118</f>
        <v>54.704</v>
      </c>
      <c r="J118" s="94" t="n">
        <f aca="false">VLOOKUP($D118,tblPriorPrice,3)</f>
        <v>0</v>
      </c>
      <c r="K118" s="95" t="n">
        <f aca="false">L118-J118</f>
        <v>0</v>
      </c>
      <c r="L118" s="264" t="n">
        <v>0</v>
      </c>
      <c r="M118" s="96" t="n">
        <f aca="false">L118</f>
        <v>0</v>
      </c>
      <c r="N118" s="96" t="n">
        <f aca="false">L118</f>
        <v>0</v>
      </c>
      <c r="O118" s="58" t="n">
        <f aca="true">IF($A118="",0,INDEX(tblPosn,$A118,2))</f>
        <v>0</v>
      </c>
      <c r="P118" s="59" t="n">
        <f aca="true">IF($A118="",0,INDEX(tblPosn,$A118,3))</f>
        <v>0</v>
      </c>
      <c r="Q118" s="59" t="n">
        <f aca="true">IF($A118="",0,INDEX(tblPosn,$A118,4))</f>
        <v>0</v>
      </c>
      <c r="R118" s="59" t="n">
        <f aca="true">IF($A118="",0,INDEX(tblPosn,$A118,5))</f>
        <v>0</v>
      </c>
      <c r="S118" s="59" t="n">
        <f aca="true">IF($A118="",0,INDEX(tblPosn,$A118,6))</f>
        <v>0</v>
      </c>
      <c r="T118" s="98" t="n">
        <f aca="false">O118*F118+P118*K118+R118*AC118+S118*AH118/0.72+Q118*X118</f>
        <v>0</v>
      </c>
      <c r="V118" s="161" t="n">
        <f aca="false">D118</f>
        <v>39479</v>
      </c>
      <c r="W118" s="94" t="n">
        <f aca="false">VLOOKUP($D118,tblPriorPrice,4)</f>
        <v>0</v>
      </c>
      <c r="X118" s="162"/>
      <c r="Y118" s="176" t="n">
        <f aca="false">L118</f>
        <v>0</v>
      </c>
      <c r="Z118" s="177" t="n">
        <f aca="false">Y118</f>
        <v>0</v>
      </c>
      <c r="AA118" s="177" t="n">
        <f aca="false">Y118</f>
        <v>0</v>
      </c>
      <c r="AB118" s="94" t="n">
        <f aca="false">VLOOKUP($D118,tblPriorPrice,5)</f>
        <v>0</v>
      </c>
      <c r="AC118" s="162"/>
      <c r="AD118" s="176" t="n">
        <f aca="false">L118</f>
        <v>0</v>
      </c>
      <c r="AE118" s="96" t="n">
        <f aca="false">AD118</f>
        <v>0</v>
      </c>
      <c r="AF118" s="97" t="n">
        <f aca="false">AD118</f>
        <v>0</v>
      </c>
      <c r="AG118" s="94" t="n">
        <f aca="false">VLOOKUP($D118,tblPriorPrice,6)</f>
        <v>0</v>
      </c>
      <c r="AH118" s="182"/>
      <c r="AI118" s="189" t="n">
        <f aca="false">AG118+AH118</f>
        <v>0</v>
      </c>
      <c r="AJ118" s="96" t="n">
        <f aca="false">AI118</f>
        <v>0</v>
      </c>
      <c r="AK118" s="97" t="n">
        <f aca="false">AI118</f>
        <v>0</v>
      </c>
      <c r="AL118" s="178" t="n">
        <v>29</v>
      </c>
      <c r="AM118" s="165" t="n">
        <v>0.4</v>
      </c>
      <c r="AN118" s="166" t="n">
        <f aca="false">EnergyCurve!AN118*2</f>
        <v>0.425</v>
      </c>
      <c r="AO118" s="166" t="n">
        <f aca="false">EnergyCurve!AO118</f>
        <v>0.19125</v>
      </c>
      <c r="AP118" s="166" t="n">
        <f aca="false">AN118*1.25</f>
        <v>0.53125</v>
      </c>
      <c r="AQ118" s="166" t="n">
        <f aca="false">EnergyCurve!AQ118*2</f>
        <v>0.425</v>
      </c>
      <c r="AR118" s="166" t="n">
        <f aca="false">EnergyCurve!AR118</f>
        <v>0.17</v>
      </c>
      <c r="AS118" s="166" t="n">
        <f aca="false">EnergyCurve!AS118*1.25</f>
        <v>0.31875</v>
      </c>
      <c r="AT118" s="168" t="n">
        <f aca="false">EnergyCurve!AT118*2*2</f>
        <v>6.43371807382396</v>
      </c>
      <c r="AU118" s="169" t="n">
        <f aca="false">EnergyCurve!AU118</f>
        <v>-0.402107379613998</v>
      </c>
      <c r="AV118" s="169" t="n">
        <f aca="false">AT118*1.25</f>
        <v>8.04214759227995</v>
      </c>
      <c r="AW118" s="168" t="n">
        <f aca="false">EnergyCurve!AW118*2*2</f>
        <v>10.587</v>
      </c>
      <c r="AX118" s="169" t="n">
        <f aca="false">EnergyCurve!AX118</f>
        <v>-0.6616875</v>
      </c>
      <c r="AY118" s="169" t="n">
        <f aca="false">AW118*1.25</f>
        <v>13.23375</v>
      </c>
      <c r="AZ118" s="167" t="n">
        <v>0</v>
      </c>
      <c r="BA118" s="74"/>
      <c r="BB118" s="244" t="s">
        <v>135</v>
      </c>
      <c r="BC118" s="245" t="s">
        <v>100</v>
      </c>
      <c r="BD118" s="246" t="s">
        <v>101</v>
      </c>
      <c r="BE118" s="246" t="s">
        <v>102</v>
      </c>
      <c r="BF118" s="246" t="s">
        <v>103</v>
      </c>
      <c r="BG118" s="246" t="s">
        <v>104</v>
      </c>
      <c r="BH118" s="246" t="s">
        <v>105</v>
      </c>
      <c r="BI118" s="246" t="s">
        <v>106</v>
      </c>
      <c r="BJ118" s="246" t="s">
        <v>107</v>
      </c>
      <c r="BK118" s="246" t="s">
        <v>108</v>
      </c>
      <c r="BL118" s="246" t="s">
        <v>109</v>
      </c>
      <c r="BM118" s="246" t="s">
        <v>110</v>
      </c>
      <c r="BN118" s="246" t="s">
        <v>111</v>
      </c>
      <c r="BO118" s="247" t="s">
        <v>136</v>
      </c>
      <c r="BQ118" s="108" t="n">
        <v>36907.7428240741</v>
      </c>
      <c r="BR118" s="109" t="n">
        <v>36907.7434490741</v>
      </c>
      <c r="BS118" s="110" t="n">
        <v>39692</v>
      </c>
      <c r="BT118" s="111" t="n">
        <v>0</v>
      </c>
      <c r="BU118" s="112" t="n">
        <v>0</v>
      </c>
      <c r="BV118" s="112" t="n">
        <v>0</v>
      </c>
      <c r="BW118" s="112" t="n">
        <v>0</v>
      </c>
      <c r="BX118" s="113" t="n">
        <v>0</v>
      </c>
      <c r="BZ118" s="110" t="n">
        <v>39479</v>
      </c>
      <c r="CA118" s="116" t="n">
        <v>30.8999996185303</v>
      </c>
      <c r="CB118" s="116" t="n">
        <v>0</v>
      </c>
      <c r="CC118" s="116" t="n">
        <v>0</v>
      </c>
      <c r="CD118" s="116" t="n">
        <v>0</v>
      </c>
      <c r="CE118" s="117" t="n">
        <v>0</v>
      </c>
    </row>
    <row r="119" customFormat="false" ht="12.75" hidden="false" customHeight="false" outlineLevel="0" collapsed="false">
      <c r="A119" s="0" t="n">
        <f aca="true">IF(ISERROR(MATCH(D119,iRefDt,0)),"",MATCH(D119,iRefDt,0))</f>
        <v>110</v>
      </c>
      <c r="B119" s="92" t="n">
        <f aca="false">MATCH(YEAR(D119),iSpreads)</f>
        <v>8</v>
      </c>
      <c r="C119" s="0" t="n">
        <f aca="false">MONTH(D119)</f>
        <v>3</v>
      </c>
      <c r="D119" s="93" t="n">
        <f aca="false">+EnergyCurve!D119</f>
        <v>39508</v>
      </c>
      <c r="E119" s="94" t="n">
        <f aca="false">VLOOKUP($D119,tblPriorPrice,2)</f>
        <v>29.8409996032715</v>
      </c>
      <c r="F119" s="95" t="n">
        <f aca="false">G119-E119</f>
        <v>3.96728513152311E-007</v>
      </c>
      <c r="G119" s="264" t="n">
        <f aca="false">IF(EnergyCurve!G119&lt;200,0.001*EnergyCurve!G119+1,1.2)*EnergyCurve!G119</f>
        <v>29.841</v>
      </c>
      <c r="H119" s="96" t="n">
        <f aca="false">IF(EnergyCurve!H119&lt;200,0.001*EnergyCurve!H119+1,1.2)*EnergyCurve!H119</f>
        <v>24.576</v>
      </c>
      <c r="I119" s="96" t="n">
        <f aca="false">IF(EnergyCurve!I119&lt;200,0.001*EnergyCurve!I119+1,1.2)*EnergyCurve!I119</f>
        <v>53.601</v>
      </c>
      <c r="J119" s="94" t="n">
        <f aca="false">VLOOKUP($D119,tblPriorPrice,3)</f>
        <v>0</v>
      </c>
      <c r="K119" s="95" t="n">
        <f aca="false">L119-J119</f>
        <v>0</v>
      </c>
      <c r="L119" s="264" t="n">
        <v>0</v>
      </c>
      <c r="M119" s="96" t="n">
        <f aca="false">L119</f>
        <v>0</v>
      </c>
      <c r="N119" s="96" t="n">
        <f aca="false">L119</f>
        <v>0</v>
      </c>
      <c r="O119" s="58" t="n">
        <f aca="true">IF($A119="",0,INDEX(tblPosn,$A119,2))</f>
        <v>0</v>
      </c>
      <c r="P119" s="59" t="n">
        <f aca="true">IF($A119="",0,INDEX(tblPosn,$A119,3))</f>
        <v>0</v>
      </c>
      <c r="Q119" s="59" t="n">
        <f aca="true">IF($A119="",0,INDEX(tblPosn,$A119,4))</f>
        <v>0</v>
      </c>
      <c r="R119" s="59" t="n">
        <f aca="true">IF($A119="",0,INDEX(tblPosn,$A119,5))</f>
        <v>0</v>
      </c>
      <c r="S119" s="59" t="n">
        <f aca="true">IF($A119="",0,INDEX(tblPosn,$A119,6))</f>
        <v>0</v>
      </c>
      <c r="T119" s="98" t="n">
        <f aca="false">O119*F119+P119*K119+R119*AC119+S119*AH119/0.72+Q119*X119</f>
        <v>0</v>
      </c>
      <c r="V119" s="161" t="n">
        <f aca="false">D119</f>
        <v>39508</v>
      </c>
      <c r="W119" s="94" t="n">
        <f aca="false">VLOOKUP($D119,tblPriorPrice,4)</f>
        <v>0</v>
      </c>
      <c r="X119" s="162"/>
      <c r="Y119" s="176" t="n">
        <f aca="false">L119</f>
        <v>0</v>
      </c>
      <c r="Z119" s="177" t="n">
        <f aca="false">Y119</f>
        <v>0</v>
      </c>
      <c r="AA119" s="177" t="n">
        <f aca="false">Y119</f>
        <v>0</v>
      </c>
      <c r="AB119" s="94" t="n">
        <f aca="false">VLOOKUP($D119,tblPriorPrice,5)</f>
        <v>0</v>
      </c>
      <c r="AC119" s="162"/>
      <c r="AD119" s="176" t="n">
        <f aca="false">L119</f>
        <v>0</v>
      </c>
      <c r="AE119" s="96" t="n">
        <f aca="false">AD119</f>
        <v>0</v>
      </c>
      <c r="AF119" s="97" t="n">
        <f aca="false">AD119</f>
        <v>0</v>
      </c>
      <c r="AG119" s="94" t="n">
        <f aca="false">VLOOKUP($D119,tblPriorPrice,6)</f>
        <v>0</v>
      </c>
      <c r="AH119" s="182"/>
      <c r="AI119" s="189" t="n">
        <f aca="false">AG119+AH119</f>
        <v>0</v>
      </c>
      <c r="AJ119" s="96" t="n">
        <f aca="false">AI119</f>
        <v>0</v>
      </c>
      <c r="AK119" s="97" t="n">
        <f aca="false">AI119</f>
        <v>0</v>
      </c>
      <c r="AL119" s="178" t="n">
        <v>29</v>
      </c>
      <c r="AM119" s="165" t="n">
        <v>0.4</v>
      </c>
      <c r="AN119" s="166" t="n">
        <f aca="false">EnergyCurve!AN119*2</f>
        <v>0.415</v>
      </c>
      <c r="AO119" s="166" t="n">
        <f aca="false">EnergyCurve!AO119</f>
        <v>0.18675</v>
      </c>
      <c r="AP119" s="166" t="n">
        <f aca="false">AN119*1.25</f>
        <v>0.51875</v>
      </c>
      <c r="AQ119" s="166" t="n">
        <f aca="false">EnergyCurve!AQ119*2</f>
        <v>0.415</v>
      </c>
      <c r="AR119" s="166" t="n">
        <f aca="false">EnergyCurve!AR119</f>
        <v>0.166</v>
      </c>
      <c r="AS119" s="166" t="n">
        <f aca="false">EnergyCurve!AS119*1.25</f>
        <v>0.31125</v>
      </c>
      <c r="AT119" s="168" t="n">
        <f aca="false">EnergyCurve!AT119*2*2</f>
        <v>6.33113623762127</v>
      </c>
      <c r="AU119" s="169" t="n">
        <f aca="false">EnergyCurve!AU119</f>
        <v>-0.395696014851329</v>
      </c>
      <c r="AV119" s="169" t="n">
        <f aca="false">AT119*1.25</f>
        <v>7.91392029702658</v>
      </c>
      <c r="AW119" s="168" t="n">
        <f aca="false">EnergyCurve!AW119*2*2</f>
        <v>10.6812</v>
      </c>
      <c r="AX119" s="169" t="n">
        <f aca="false">EnergyCurve!AX119</f>
        <v>-0.667575</v>
      </c>
      <c r="AY119" s="169" t="n">
        <f aca="false">AW119*1.25</f>
        <v>13.3515</v>
      </c>
      <c r="AZ119" s="167" t="n">
        <v>0</v>
      </c>
      <c r="BA119" s="74"/>
      <c r="BB119" s="128" t="n">
        <v>100</v>
      </c>
      <c r="BC119" s="248" t="n">
        <v>1</v>
      </c>
      <c r="BD119" s="249" t="n">
        <v>1</v>
      </c>
      <c r="BE119" s="249" t="n">
        <v>1</v>
      </c>
      <c r="BF119" s="249" t="n">
        <v>1</v>
      </c>
      <c r="BG119" s="249" t="n">
        <v>1</v>
      </c>
      <c r="BH119" s="249" t="n">
        <v>1</v>
      </c>
      <c r="BI119" s="249" t="n">
        <v>1</v>
      </c>
      <c r="BJ119" s="249" t="n">
        <v>1</v>
      </c>
      <c r="BK119" s="249" t="n">
        <v>1</v>
      </c>
      <c r="BL119" s="249" t="n">
        <v>1</v>
      </c>
      <c r="BM119" s="249" t="n">
        <v>1</v>
      </c>
      <c r="BN119" s="250" t="n">
        <v>1</v>
      </c>
      <c r="BO119" s="251" t="str">
        <f aca="false">IF(AND(BB119&gt;=BC$116,BB119&lt;=BD$116),"1","2")</f>
        <v>2</v>
      </c>
      <c r="BQ119" s="108" t="n">
        <v>36907.7428240741</v>
      </c>
      <c r="BR119" s="109" t="n">
        <v>36907.7434490741</v>
      </c>
      <c r="BS119" s="110" t="n">
        <v>39722</v>
      </c>
      <c r="BT119" s="111" t="n">
        <v>0</v>
      </c>
      <c r="BU119" s="112" t="n">
        <v>0</v>
      </c>
      <c r="BV119" s="112" t="n">
        <v>0</v>
      </c>
      <c r="BW119" s="112" t="n">
        <v>0</v>
      </c>
      <c r="BX119" s="113" t="n">
        <v>0</v>
      </c>
      <c r="BZ119" s="110" t="n">
        <v>39508</v>
      </c>
      <c r="CA119" s="116" t="n">
        <v>29.8409996032715</v>
      </c>
      <c r="CB119" s="116" t="n">
        <v>0</v>
      </c>
      <c r="CC119" s="116" t="n">
        <v>0</v>
      </c>
      <c r="CD119" s="116" t="n">
        <v>0</v>
      </c>
      <c r="CE119" s="117" t="n">
        <v>0</v>
      </c>
    </row>
    <row r="120" customFormat="false" ht="12.75" hidden="false" customHeight="false" outlineLevel="0" collapsed="false">
      <c r="A120" s="0" t="n">
        <f aca="true">IF(ISERROR(MATCH(D120,iRefDt,0)),"",MATCH(D120,iRefDt,0))</f>
        <v>111</v>
      </c>
      <c r="B120" s="92" t="n">
        <f aca="false">MATCH(YEAR(D120),iSpreads)</f>
        <v>8</v>
      </c>
      <c r="C120" s="0" t="n">
        <f aca="false">MONTH(D120)</f>
        <v>4</v>
      </c>
      <c r="D120" s="93" t="n">
        <f aca="false">+EnergyCurve!D120</f>
        <v>39539</v>
      </c>
      <c r="E120" s="94" t="n">
        <f aca="false">VLOOKUP($D120,tblPriorPrice,2)</f>
        <v>28.7840003967285</v>
      </c>
      <c r="F120" s="95" t="n">
        <f aca="false">G120-E120</f>
        <v>-3.96728516705025E-007</v>
      </c>
      <c r="G120" s="264" t="n">
        <f aca="false">IF(EnergyCurve!G120&lt;200,0.001*EnergyCurve!G120+1,1.2)*EnergyCurve!G120</f>
        <v>28.784</v>
      </c>
      <c r="H120" s="96" t="n">
        <f aca="false">IF(EnergyCurve!H120&lt;200,0.001*EnergyCurve!H120+1,1.2)*EnergyCurve!H120</f>
        <v>23.529</v>
      </c>
      <c r="I120" s="96" t="n">
        <f aca="false">IF(EnergyCurve!I120&lt;200,0.001*EnergyCurve!I120+1,1.2)*EnergyCurve!I120</f>
        <v>52.5</v>
      </c>
      <c r="J120" s="94" t="n">
        <f aca="false">VLOOKUP($D120,tblPriorPrice,3)</f>
        <v>0</v>
      </c>
      <c r="K120" s="95" t="n">
        <f aca="false">L120-J120</f>
        <v>0</v>
      </c>
      <c r="L120" s="264" t="n">
        <v>0</v>
      </c>
      <c r="M120" s="96" t="n">
        <f aca="false">L120</f>
        <v>0</v>
      </c>
      <c r="N120" s="96" t="n">
        <f aca="false">L120</f>
        <v>0</v>
      </c>
      <c r="O120" s="58" t="n">
        <f aca="true">IF($A120="",0,INDEX(tblPosn,$A120,2))</f>
        <v>0</v>
      </c>
      <c r="P120" s="59" t="n">
        <f aca="true">IF($A120="",0,INDEX(tblPosn,$A120,3))</f>
        <v>0</v>
      </c>
      <c r="Q120" s="59" t="n">
        <f aca="true">IF($A120="",0,INDEX(tblPosn,$A120,4))</f>
        <v>0</v>
      </c>
      <c r="R120" s="59" t="n">
        <f aca="true">IF($A120="",0,INDEX(tblPosn,$A120,5))</f>
        <v>0</v>
      </c>
      <c r="S120" s="59" t="n">
        <f aca="true">IF($A120="",0,INDEX(tblPosn,$A120,6))</f>
        <v>0</v>
      </c>
      <c r="T120" s="98" t="n">
        <f aca="false">O120*F120+P120*K120+R120*AC120+S120*AH120/0.72+Q120*X120</f>
        <v>0</v>
      </c>
      <c r="V120" s="161" t="n">
        <f aca="false">D120</f>
        <v>39539</v>
      </c>
      <c r="W120" s="94" t="n">
        <f aca="false">VLOOKUP($D120,tblPriorPrice,4)</f>
        <v>0</v>
      </c>
      <c r="X120" s="162"/>
      <c r="Y120" s="176" t="n">
        <f aca="false">L120</f>
        <v>0</v>
      </c>
      <c r="Z120" s="177" t="n">
        <f aca="false">Y120</f>
        <v>0</v>
      </c>
      <c r="AA120" s="177" t="n">
        <f aca="false">Y120</f>
        <v>0</v>
      </c>
      <c r="AB120" s="94" t="n">
        <f aca="false">VLOOKUP($D120,tblPriorPrice,5)</f>
        <v>0</v>
      </c>
      <c r="AC120" s="162"/>
      <c r="AD120" s="176" t="n">
        <f aca="false">L120</f>
        <v>0</v>
      </c>
      <c r="AE120" s="96" t="n">
        <f aca="false">AD120</f>
        <v>0</v>
      </c>
      <c r="AF120" s="97" t="n">
        <f aca="false">AD120</f>
        <v>0</v>
      </c>
      <c r="AG120" s="94" t="n">
        <f aca="false">VLOOKUP($D120,tblPriorPrice,6)</f>
        <v>0</v>
      </c>
      <c r="AH120" s="182"/>
      <c r="AI120" s="189" t="n">
        <f aca="false">AG120+AH120</f>
        <v>0</v>
      </c>
      <c r="AJ120" s="96" t="n">
        <f aca="false">AI120</f>
        <v>0</v>
      </c>
      <c r="AK120" s="97" t="n">
        <f aca="false">AI120</f>
        <v>0</v>
      </c>
      <c r="AL120" s="178" t="n">
        <v>30</v>
      </c>
      <c r="AM120" s="165" t="n">
        <v>0.4</v>
      </c>
      <c r="AN120" s="166" t="n">
        <f aca="false">EnergyCurve!AN120*2</f>
        <v>0.415</v>
      </c>
      <c r="AO120" s="166" t="n">
        <f aca="false">EnergyCurve!AO120</f>
        <v>0.18675</v>
      </c>
      <c r="AP120" s="166" t="n">
        <f aca="false">AN120*1.25</f>
        <v>0.51875</v>
      </c>
      <c r="AQ120" s="166" t="n">
        <f aca="false">EnergyCurve!AQ120*2</f>
        <v>0.415</v>
      </c>
      <c r="AR120" s="166" t="n">
        <f aca="false">EnergyCurve!AR120</f>
        <v>0.166</v>
      </c>
      <c r="AS120" s="166" t="n">
        <f aca="false">EnergyCurve!AS120*1.25</f>
        <v>0.31125</v>
      </c>
      <c r="AT120" s="168" t="n">
        <f aca="false">EnergyCurve!AT120*2*2</f>
        <v>6.25752988188016</v>
      </c>
      <c r="AU120" s="169" t="n">
        <f aca="false">EnergyCurve!AU120</f>
        <v>-0.39109561761751</v>
      </c>
      <c r="AV120" s="169" t="n">
        <f aca="false">AT120*1.25</f>
        <v>7.8219123523502</v>
      </c>
      <c r="AW120" s="168" t="n">
        <f aca="false">EnergyCurve!AW120*2*2</f>
        <v>10.7754</v>
      </c>
      <c r="AX120" s="169" t="n">
        <f aca="false">EnergyCurve!AX120</f>
        <v>-0.6734625</v>
      </c>
      <c r="AY120" s="169" t="n">
        <f aca="false">AW120*1.25</f>
        <v>13.46925</v>
      </c>
      <c r="AZ120" s="167" t="n">
        <v>0</v>
      </c>
      <c r="BA120" s="74"/>
      <c r="BB120" s="135" t="n">
        <v>200</v>
      </c>
      <c r="BC120" s="252" t="n">
        <v>1</v>
      </c>
      <c r="BD120" s="253" t="n">
        <v>1</v>
      </c>
      <c r="BE120" s="253" t="n">
        <v>1</v>
      </c>
      <c r="BF120" s="253" t="n">
        <v>1</v>
      </c>
      <c r="BG120" s="253" t="n">
        <v>1</v>
      </c>
      <c r="BH120" s="253" t="n">
        <v>1</v>
      </c>
      <c r="BI120" s="253" t="n">
        <v>1</v>
      </c>
      <c r="BJ120" s="253" t="n">
        <v>1</v>
      </c>
      <c r="BK120" s="253" t="n">
        <v>1</v>
      </c>
      <c r="BL120" s="253" t="n">
        <v>1</v>
      </c>
      <c r="BM120" s="253" t="n">
        <v>1</v>
      </c>
      <c r="BN120" s="254" t="n">
        <v>1</v>
      </c>
      <c r="BO120" s="251" t="str">
        <f aca="false">IF(AND(BB120&gt;=BC$116,BB120&lt;=BD$116),"1","2")</f>
        <v>2</v>
      </c>
      <c r="BQ120" s="108" t="n">
        <v>36907.7428240741</v>
      </c>
      <c r="BR120" s="109" t="n">
        <v>36907.7434490741</v>
      </c>
      <c r="BS120" s="110" t="n">
        <v>39753</v>
      </c>
      <c r="BT120" s="111" t="n">
        <v>0</v>
      </c>
      <c r="BU120" s="112" t="n">
        <v>0</v>
      </c>
      <c r="BV120" s="112" t="n">
        <v>0</v>
      </c>
      <c r="BW120" s="112" t="n">
        <v>0</v>
      </c>
      <c r="BX120" s="113" t="n">
        <v>0</v>
      </c>
      <c r="BZ120" s="110" t="n">
        <v>39539</v>
      </c>
      <c r="CA120" s="116" t="n">
        <v>28.7840003967285</v>
      </c>
      <c r="CB120" s="116" t="n">
        <v>0</v>
      </c>
      <c r="CC120" s="116" t="n">
        <v>0</v>
      </c>
      <c r="CD120" s="116" t="n">
        <v>0</v>
      </c>
      <c r="CE120" s="117" t="n">
        <v>0</v>
      </c>
    </row>
    <row r="121" customFormat="false" ht="12.75" hidden="false" customHeight="false" outlineLevel="0" collapsed="false">
      <c r="A121" s="0" t="n">
        <f aca="true">IF(ISERROR(MATCH(D121,iRefDt,0)),"",MATCH(D121,iRefDt,0))</f>
        <v>112</v>
      </c>
      <c r="B121" s="92" t="n">
        <f aca="false">MATCH(YEAR(D121),iSpreads)</f>
        <v>8</v>
      </c>
      <c r="C121" s="0" t="n">
        <f aca="false">MONTH(D121)</f>
        <v>5</v>
      </c>
      <c r="D121" s="93" t="n">
        <f aca="false">+EnergyCurve!D121</f>
        <v>39569</v>
      </c>
      <c r="E121" s="94" t="n">
        <f aca="false">VLOOKUP($D121,tblPriorPrice,2)</f>
        <v>31.9610004425049</v>
      </c>
      <c r="F121" s="95" t="n">
        <f aca="false">G121-E121</f>
        <v>-4.42504884290429E-007</v>
      </c>
      <c r="G121" s="264" t="n">
        <f aca="false">IF(EnergyCurve!G121&lt;200,0.001*EnergyCurve!G121+1,1.2)*EnergyCurve!G121</f>
        <v>31.961</v>
      </c>
      <c r="H121" s="96" t="n">
        <f aca="false">IF(EnergyCurve!H121&lt;200,0.001*EnergyCurve!H121+1,1.2)*EnergyCurve!H121</f>
        <v>26.676</v>
      </c>
      <c r="I121" s="96" t="n">
        <f aca="false">IF(EnergyCurve!I121&lt;200,0.001*EnergyCurve!I121+1,1.2)*EnergyCurve!I121</f>
        <v>55.809</v>
      </c>
      <c r="J121" s="94" t="n">
        <f aca="false">VLOOKUP($D121,tblPriorPrice,3)</f>
        <v>0</v>
      </c>
      <c r="K121" s="95" t="n">
        <f aca="false">L121-J121</f>
        <v>0</v>
      </c>
      <c r="L121" s="264" t="n">
        <v>0</v>
      </c>
      <c r="M121" s="96" t="n">
        <f aca="false">L121</f>
        <v>0</v>
      </c>
      <c r="N121" s="96" t="n">
        <f aca="false">L121</f>
        <v>0</v>
      </c>
      <c r="O121" s="58" t="n">
        <f aca="true">IF($A121="",0,INDEX(tblPosn,$A121,2))</f>
        <v>0</v>
      </c>
      <c r="P121" s="59" t="n">
        <f aca="true">IF($A121="",0,INDEX(tblPosn,$A121,3))</f>
        <v>0</v>
      </c>
      <c r="Q121" s="59" t="n">
        <f aca="true">IF($A121="",0,INDEX(tblPosn,$A121,4))</f>
        <v>0</v>
      </c>
      <c r="R121" s="59" t="n">
        <f aca="true">IF($A121="",0,INDEX(tblPosn,$A121,5))</f>
        <v>0</v>
      </c>
      <c r="S121" s="59" t="n">
        <f aca="true">IF($A121="",0,INDEX(tblPosn,$A121,6))</f>
        <v>0</v>
      </c>
      <c r="T121" s="98" t="n">
        <f aca="false">O121*F121+P121*K121+R121*AC121+S121*AH121/0.72+Q121*X121</f>
        <v>0</v>
      </c>
      <c r="V121" s="161" t="n">
        <f aca="false">D121</f>
        <v>39569</v>
      </c>
      <c r="W121" s="94" t="n">
        <f aca="false">VLOOKUP($D121,tblPriorPrice,4)</f>
        <v>0</v>
      </c>
      <c r="X121" s="162"/>
      <c r="Y121" s="176" t="n">
        <f aca="false">L121</f>
        <v>0</v>
      </c>
      <c r="Z121" s="177" t="n">
        <f aca="false">Y121</f>
        <v>0</v>
      </c>
      <c r="AA121" s="177" t="n">
        <f aca="false">Y121</f>
        <v>0</v>
      </c>
      <c r="AB121" s="94" t="n">
        <f aca="false">VLOOKUP($D121,tblPriorPrice,5)</f>
        <v>0</v>
      </c>
      <c r="AC121" s="162"/>
      <c r="AD121" s="176" t="n">
        <f aca="false">L121</f>
        <v>0</v>
      </c>
      <c r="AE121" s="96" t="n">
        <f aca="false">AD121</f>
        <v>0</v>
      </c>
      <c r="AF121" s="97" t="n">
        <f aca="false">AD121</f>
        <v>0</v>
      </c>
      <c r="AG121" s="94" t="n">
        <f aca="false">VLOOKUP($D121,tblPriorPrice,6)</f>
        <v>0</v>
      </c>
      <c r="AH121" s="182"/>
      <c r="AI121" s="189" t="n">
        <f aca="false">AG121+AH121</f>
        <v>0</v>
      </c>
      <c r="AJ121" s="96" t="n">
        <f aca="false">AI121</f>
        <v>0</v>
      </c>
      <c r="AK121" s="97" t="n">
        <f aca="false">AI121</f>
        <v>0</v>
      </c>
      <c r="AL121" s="178" t="n">
        <v>30</v>
      </c>
      <c r="AM121" s="165" t="n">
        <v>0.4</v>
      </c>
      <c r="AN121" s="166" t="n">
        <f aca="false">EnergyCurve!AN121*2</f>
        <v>0.415</v>
      </c>
      <c r="AO121" s="166" t="n">
        <f aca="false">EnergyCurve!AO121</f>
        <v>0.18675</v>
      </c>
      <c r="AP121" s="166" t="n">
        <f aca="false">AN121*1.25</f>
        <v>0.51875</v>
      </c>
      <c r="AQ121" s="166" t="n">
        <f aca="false">EnergyCurve!AQ121*2</f>
        <v>0.415</v>
      </c>
      <c r="AR121" s="166" t="n">
        <f aca="false">EnergyCurve!AR121</f>
        <v>0.166</v>
      </c>
      <c r="AS121" s="166" t="n">
        <f aca="false">EnergyCurve!AS121*1.25</f>
        <v>0.31125</v>
      </c>
      <c r="AT121" s="168" t="n">
        <f aca="false">EnergyCurve!AT121*2*2</f>
        <v>6.56235962744143</v>
      </c>
      <c r="AU121" s="169" t="n">
        <f aca="false">EnergyCurve!AU121</f>
        <v>-0.410147476715089</v>
      </c>
      <c r="AV121" s="169" t="n">
        <f aca="false">AT121*1.25</f>
        <v>8.20294953430178</v>
      </c>
      <c r="AW121" s="168" t="n">
        <f aca="false">EnergyCurve!AW121*2*2</f>
        <v>10.4928</v>
      </c>
      <c r="AX121" s="169" t="n">
        <f aca="false">EnergyCurve!AX121</f>
        <v>-0.6558</v>
      </c>
      <c r="AY121" s="169" t="n">
        <f aca="false">AW121*1.25</f>
        <v>13.116</v>
      </c>
      <c r="AZ121" s="167" t="n">
        <v>0</v>
      </c>
      <c r="BA121" s="74"/>
      <c r="BB121" s="135" t="n">
        <v>300</v>
      </c>
      <c r="BC121" s="252" t="n">
        <v>1</v>
      </c>
      <c r="BD121" s="253" t="n">
        <v>1</v>
      </c>
      <c r="BE121" s="253" t="n">
        <v>1</v>
      </c>
      <c r="BF121" s="253" t="n">
        <v>1</v>
      </c>
      <c r="BG121" s="253" t="n">
        <v>1</v>
      </c>
      <c r="BH121" s="253" t="n">
        <v>1</v>
      </c>
      <c r="BI121" s="253" t="n">
        <v>1</v>
      </c>
      <c r="BJ121" s="253" t="n">
        <v>1</v>
      </c>
      <c r="BK121" s="253" t="n">
        <v>1</v>
      </c>
      <c r="BL121" s="253" t="n">
        <v>1</v>
      </c>
      <c r="BM121" s="253" t="n">
        <v>1</v>
      </c>
      <c r="BN121" s="254" t="n">
        <v>1</v>
      </c>
      <c r="BO121" s="251" t="str">
        <f aca="false">IF(AND(BB121&gt;=BC$116,BB121&lt;=BD$116),"1","2")</f>
        <v>2</v>
      </c>
      <c r="BQ121" s="108" t="n">
        <v>36907.7428240741</v>
      </c>
      <c r="BR121" s="109" t="n">
        <v>36907.7434490741</v>
      </c>
      <c r="BS121" s="110" t="n">
        <v>39783</v>
      </c>
      <c r="BT121" s="111" t="n">
        <v>0</v>
      </c>
      <c r="BU121" s="112" t="n">
        <v>0</v>
      </c>
      <c r="BV121" s="112" t="n">
        <v>0</v>
      </c>
      <c r="BW121" s="112" t="n">
        <v>0</v>
      </c>
      <c r="BX121" s="113" t="n">
        <v>0</v>
      </c>
      <c r="BZ121" s="110" t="n">
        <v>39569</v>
      </c>
      <c r="CA121" s="116" t="n">
        <v>31.9610004425049</v>
      </c>
      <c r="CB121" s="116" t="n">
        <v>0</v>
      </c>
      <c r="CC121" s="116" t="n">
        <v>0</v>
      </c>
      <c r="CD121" s="116" t="n">
        <v>0</v>
      </c>
      <c r="CE121" s="117" t="n">
        <v>0</v>
      </c>
    </row>
    <row r="122" customFormat="false" ht="12.75" hidden="false" customHeight="false" outlineLevel="0" collapsed="false">
      <c r="A122" s="0" t="n">
        <f aca="true">IF(ISERROR(MATCH(D122,iRefDt,0)),"",MATCH(D122,iRefDt,0))</f>
        <v>113</v>
      </c>
      <c r="B122" s="92" t="n">
        <f aca="false">MATCH(YEAR(D122),iSpreads)</f>
        <v>8</v>
      </c>
      <c r="C122" s="0" t="n">
        <f aca="false">MONTH(D122)</f>
        <v>6</v>
      </c>
      <c r="D122" s="93" t="n">
        <f aca="false">+EnergyCurve!D122</f>
        <v>39600</v>
      </c>
      <c r="E122" s="94" t="n">
        <f aca="false">VLOOKUP($D122,tblPriorPrice,2)</f>
        <v>39.4440002441406</v>
      </c>
      <c r="F122" s="95" t="n">
        <f aca="false">G122-E122</f>
        <v>-2.44140622385203E-007</v>
      </c>
      <c r="G122" s="264" t="n">
        <f aca="false">IF(EnergyCurve!G122&lt;200,0.001*EnergyCurve!G122+1,1.2)*EnergyCurve!G122</f>
        <v>39.444</v>
      </c>
      <c r="H122" s="96" t="n">
        <f aca="false">IF(EnergyCurve!H122&lt;200,0.001*EnergyCurve!H122+1,1.2)*EnergyCurve!H122</f>
        <v>34.089</v>
      </c>
      <c r="I122" s="96" t="n">
        <f aca="false">IF(EnergyCurve!I122&lt;200,0.001*EnergyCurve!I122+1,1.2)*EnergyCurve!I122</f>
        <v>63.6</v>
      </c>
      <c r="J122" s="94" t="n">
        <f aca="false">VLOOKUP($D122,tblPriorPrice,3)</f>
        <v>0</v>
      </c>
      <c r="K122" s="95" t="n">
        <f aca="false">L122-J122</f>
        <v>0</v>
      </c>
      <c r="L122" s="264" t="n">
        <v>0</v>
      </c>
      <c r="M122" s="96" t="n">
        <f aca="false">L122</f>
        <v>0</v>
      </c>
      <c r="N122" s="96" t="n">
        <f aca="false">L122</f>
        <v>0</v>
      </c>
      <c r="O122" s="58" t="n">
        <f aca="true">IF($A122="",0,INDEX(tblPosn,$A122,2))</f>
        <v>0</v>
      </c>
      <c r="P122" s="59" t="n">
        <f aca="true">IF($A122="",0,INDEX(tblPosn,$A122,3))</f>
        <v>0</v>
      </c>
      <c r="Q122" s="59" t="n">
        <f aca="true">IF($A122="",0,INDEX(tblPosn,$A122,4))</f>
        <v>0</v>
      </c>
      <c r="R122" s="59" t="n">
        <f aca="true">IF($A122="",0,INDEX(tblPosn,$A122,5))</f>
        <v>0</v>
      </c>
      <c r="S122" s="59" t="n">
        <f aca="true">IF($A122="",0,INDEX(tblPosn,$A122,6))</f>
        <v>0</v>
      </c>
      <c r="T122" s="98" t="n">
        <f aca="false">O122*F122+P122*K122+R122*AC122+S122*AH122/0.72+Q122*X122</f>
        <v>0</v>
      </c>
      <c r="V122" s="161" t="n">
        <f aca="false">D122</f>
        <v>39600</v>
      </c>
      <c r="W122" s="94" t="n">
        <f aca="false">VLOOKUP($D122,tblPriorPrice,4)</f>
        <v>0</v>
      </c>
      <c r="X122" s="162"/>
      <c r="Y122" s="176" t="n">
        <f aca="false">L122</f>
        <v>0</v>
      </c>
      <c r="Z122" s="177" t="n">
        <f aca="false">Y122</f>
        <v>0</v>
      </c>
      <c r="AA122" s="177" t="n">
        <f aca="false">Y122</f>
        <v>0</v>
      </c>
      <c r="AB122" s="94" t="n">
        <f aca="false">VLOOKUP($D122,tblPriorPrice,5)</f>
        <v>0</v>
      </c>
      <c r="AC122" s="162"/>
      <c r="AD122" s="176" t="n">
        <f aca="false">L122</f>
        <v>0</v>
      </c>
      <c r="AE122" s="96" t="n">
        <f aca="false">AD122</f>
        <v>0</v>
      </c>
      <c r="AF122" s="97" t="n">
        <f aca="false">AD122</f>
        <v>0</v>
      </c>
      <c r="AG122" s="94" t="n">
        <f aca="false">VLOOKUP($D122,tblPriorPrice,6)</f>
        <v>0</v>
      </c>
      <c r="AH122" s="182"/>
      <c r="AI122" s="189" t="n">
        <f aca="false">AG122+AH122</f>
        <v>0</v>
      </c>
      <c r="AJ122" s="96" t="n">
        <f aca="false">AI122</f>
        <v>0</v>
      </c>
      <c r="AK122" s="97" t="n">
        <f aca="false">AI122</f>
        <v>0</v>
      </c>
      <c r="AL122" s="178" t="n">
        <v>30</v>
      </c>
      <c r="AM122" s="165" t="n">
        <v>0.4</v>
      </c>
      <c r="AN122" s="166" t="n">
        <f aca="false">EnergyCurve!AN122*2</f>
        <v>0.415</v>
      </c>
      <c r="AO122" s="166" t="n">
        <f aca="false">EnergyCurve!AO122</f>
        <v>0.18675</v>
      </c>
      <c r="AP122" s="166" t="n">
        <f aca="false">AN122*1.25</f>
        <v>0.51875</v>
      </c>
      <c r="AQ122" s="166" t="n">
        <f aca="false">EnergyCurve!AQ122*2</f>
        <v>0.415</v>
      </c>
      <c r="AR122" s="166" t="n">
        <f aca="false">EnergyCurve!AR122</f>
        <v>0.166</v>
      </c>
      <c r="AS122" s="166" t="n">
        <f aca="false">EnergyCurve!AS122*1.25</f>
        <v>0.31125</v>
      </c>
      <c r="AT122" s="168" t="n">
        <f aca="false">EnergyCurve!AT122*2*2</f>
        <v>8.00869790580275</v>
      </c>
      <c r="AU122" s="169" t="n">
        <f aca="false">EnergyCurve!AU122</f>
        <v>-0.500543619112672</v>
      </c>
      <c r="AV122" s="169" t="n">
        <f aca="false">AT122*1.25</f>
        <v>10.0108723822534</v>
      </c>
      <c r="AW122" s="168" t="n">
        <f aca="false">EnergyCurve!AW122*2*2</f>
        <v>9.8334</v>
      </c>
      <c r="AX122" s="169" t="n">
        <f aca="false">EnergyCurve!AX122</f>
        <v>-0.6145875</v>
      </c>
      <c r="AY122" s="169" t="n">
        <f aca="false">AW122*1.25</f>
        <v>12.29175</v>
      </c>
      <c r="AZ122" s="167" t="n">
        <v>0</v>
      </c>
      <c r="BA122" s="74"/>
      <c r="BB122" s="135" t="n">
        <v>400</v>
      </c>
      <c r="BC122" s="252" t="n">
        <v>1</v>
      </c>
      <c r="BD122" s="253" t="n">
        <v>1</v>
      </c>
      <c r="BE122" s="253" t="n">
        <v>1</v>
      </c>
      <c r="BF122" s="253" t="n">
        <v>1</v>
      </c>
      <c r="BG122" s="253" t="n">
        <v>1</v>
      </c>
      <c r="BH122" s="253" t="n">
        <v>1</v>
      </c>
      <c r="BI122" s="253" t="n">
        <v>1</v>
      </c>
      <c r="BJ122" s="253" t="n">
        <v>1</v>
      </c>
      <c r="BK122" s="253" t="n">
        <v>1</v>
      </c>
      <c r="BL122" s="253" t="n">
        <v>1</v>
      </c>
      <c r="BM122" s="253" t="n">
        <v>1</v>
      </c>
      <c r="BN122" s="254" t="n">
        <v>1</v>
      </c>
      <c r="BO122" s="251" t="str">
        <f aca="false">IF(AND(BB122&gt;=BC$116,BB122&lt;=BD$116),"1","2")</f>
        <v>2</v>
      </c>
      <c r="BQ122" s="108" t="n">
        <v>36907.7428240741</v>
      </c>
      <c r="BR122" s="109" t="n">
        <v>36907.7434490741</v>
      </c>
      <c r="BS122" s="110" t="n">
        <v>39814</v>
      </c>
      <c r="BT122" s="111" t="n">
        <v>0</v>
      </c>
      <c r="BU122" s="112" t="n">
        <v>0</v>
      </c>
      <c r="BV122" s="112" t="n">
        <v>0</v>
      </c>
      <c r="BW122" s="112" t="n">
        <v>0</v>
      </c>
      <c r="BX122" s="113" t="n">
        <v>0</v>
      </c>
      <c r="BZ122" s="110" t="n">
        <v>39600</v>
      </c>
      <c r="CA122" s="116" t="n">
        <v>39.4440002441406</v>
      </c>
      <c r="CB122" s="116" t="n">
        <v>0</v>
      </c>
      <c r="CC122" s="116" t="n">
        <v>0</v>
      </c>
      <c r="CD122" s="116" t="n">
        <v>0</v>
      </c>
      <c r="CE122" s="117" t="n">
        <v>0</v>
      </c>
    </row>
    <row r="123" customFormat="false" ht="12.75" hidden="false" customHeight="false" outlineLevel="0" collapsed="false">
      <c r="A123" s="0" t="n">
        <f aca="true">IF(ISERROR(MATCH(D123,iRefDt,0)),"",MATCH(D123,iRefDt,0))</f>
        <v>114</v>
      </c>
      <c r="B123" s="92" t="n">
        <f aca="false">MATCH(YEAR(D123),iSpreads)</f>
        <v>8</v>
      </c>
      <c r="C123" s="0" t="n">
        <f aca="false">MONTH(D123)</f>
        <v>7</v>
      </c>
      <c r="D123" s="93" t="n">
        <f aca="false">+EnergyCurve!D123</f>
        <v>39630</v>
      </c>
      <c r="E123" s="94" t="n">
        <f aca="false">VLOOKUP($D123,tblPriorPrice,2)</f>
        <v>39.4440002441406</v>
      </c>
      <c r="F123" s="95" t="n">
        <f aca="false">G123-E123</f>
        <v>-2.44140622385203E-007</v>
      </c>
      <c r="G123" s="264" t="n">
        <f aca="false">IF(EnergyCurve!G123&lt;200,0.001*EnergyCurve!G123+1,1.2)*EnergyCurve!G123</f>
        <v>39.444</v>
      </c>
      <c r="H123" s="96" t="n">
        <f aca="false">IF(EnergyCurve!H123&lt;200,0.001*EnergyCurve!H123+1,1.2)*EnergyCurve!H123</f>
        <v>34.089</v>
      </c>
      <c r="I123" s="96" t="n">
        <f aca="false">IF(EnergyCurve!I123&lt;200,0.001*EnergyCurve!I123+1,1.2)*EnergyCurve!I123</f>
        <v>63.6</v>
      </c>
      <c r="J123" s="94" t="n">
        <f aca="false">VLOOKUP($D123,tblPriorPrice,3)</f>
        <v>0</v>
      </c>
      <c r="K123" s="95" t="n">
        <f aca="false">L123-J123</f>
        <v>0</v>
      </c>
      <c r="L123" s="264" t="n">
        <v>0</v>
      </c>
      <c r="M123" s="96" t="n">
        <f aca="false">L123</f>
        <v>0</v>
      </c>
      <c r="N123" s="96" t="n">
        <f aca="false">L123</f>
        <v>0</v>
      </c>
      <c r="O123" s="58" t="n">
        <f aca="true">IF($A123="",0,INDEX(tblPosn,$A123,2))</f>
        <v>0</v>
      </c>
      <c r="P123" s="59" t="n">
        <f aca="true">IF($A123="",0,INDEX(tblPosn,$A123,3))</f>
        <v>0</v>
      </c>
      <c r="Q123" s="59" t="n">
        <f aca="true">IF($A123="",0,INDEX(tblPosn,$A123,4))</f>
        <v>0</v>
      </c>
      <c r="R123" s="59" t="n">
        <f aca="true">IF($A123="",0,INDEX(tblPosn,$A123,5))</f>
        <v>0</v>
      </c>
      <c r="S123" s="59" t="n">
        <f aca="true">IF($A123="",0,INDEX(tblPosn,$A123,6))</f>
        <v>0</v>
      </c>
      <c r="T123" s="98" t="n">
        <f aca="false">O123*F123+P123*K123+R123*AC123+S123*AH123/0.72+Q123*X123</f>
        <v>0</v>
      </c>
      <c r="V123" s="161" t="n">
        <f aca="false">D123</f>
        <v>39630</v>
      </c>
      <c r="W123" s="94" t="n">
        <f aca="false">VLOOKUP($D123,tblPriorPrice,4)</f>
        <v>0</v>
      </c>
      <c r="X123" s="162"/>
      <c r="Y123" s="176" t="n">
        <f aca="false">L123</f>
        <v>0</v>
      </c>
      <c r="Z123" s="177" t="n">
        <f aca="false">Y123</f>
        <v>0</v>
      </c>
      <c r="AA123" s="177" t="n">
        <f aca="false">Y123</f>
        <v>0</v>
      </c>
      <c r="AB123" s="94" t="n">
        <f aca="false">VLOOKUP($D123,tblPriorPrice,5)</f>
        <v>0</v>
      </c>
      <c r="AC123" s="162"/>
      <c r="AD123" s="176" t="n">
        <f aca="false">L123</f>
        <v>0</v>
      </c>
      <c r="AE123" s="96" t="n">
        <f aca="false">AD123</f>
        <v>0</v>
      </c>
      <c r="AF123" s="97" t="n">
        <f aca="false">AD123</f>
        <v>0</v>
      </c>
      <c r="AG123" s="94" t="n">
        <f aca="false">VLOOKUP($D123,tblPriorPrice,6)</f>
        <v>0</v>
      </c>
      <c r="AH123" s="182"/>
      <c r="AI123" s="189" t="n">
        <f aca="false">AG123+AH123</f>
        <v>0</v>
      </c>
      <c r="AJ123" s="96" t="n">
        <f aca="false">AI123</f>
        <v>0</v>
      </c>
      <c r="AK123" s="97" t="n">
        <f aca="false">AI123</f>
        <v>0</v>
      </c>
      <c r="AL123" s="178" t="n">
        <v>31</v>
      </c>
      <c r="AM123" s="165" t="n">
        <v>0.4</v>
      </c>
      <c r="AN123" s="166" t="n">
        <f aca="false">EnergyCurve!AN123*2</f>
        <v>0.405</v>
      </c>
      <c r="AO123" s="166" t="n">
        <f aca="false">EnergyCurve!AO123</f>
        <v>0.18225</v>
      </c>
      <c r="AP123" s="166" t="n">
        <f aca="false">AN123*1.25</f>
        <v>0.50625</v>
      </c>
      <c r="AQ123" s="166" t="n">
        <f aca="false">EnergyCurve!AQ123*2</f>
        <v>0.405</v>
      </c>
      <c r="AR123" s="166" t="n">
        <f aca="false">EnergyCurve!AR123</f>
        <v>0.162</v>
      </c>
      <c r="AS123" s="166" t="n">
        <f aca="false">EnergyCurve!AS123*1.25</f>
        <v>0.30375</v>
      </c>
      <c r="AT123" s="168" t="n">
        <f aca="false">EnergyCurve!AT123*2*2</f>
        <v>8.00869790580275</v>
      </c>
      <c r="AU123" s="169" t="n">
        <f aca="false">EnergyCurve!AU123</f>
        <v>-0.500543619112672</v>
      </c>
      <c r="AV123" s="169" t="n">
        <f aca="false">AT123*1.25</f>
        <v>10.0108723822534</v>
      </c>
      <c r="AW123" s="168" t="n">
        <f aca="false">EnergyCurve!AW123*2*2</f>
        <v>9.8334</v>
      </c>
      <c r="AX123" s="169" t="n">
        <f aca="false">EnergyCurve!AX123</f>
        <v>-0.6145875</v>
      </c>
      <c r="AY123" s="169" t="n">
        <f aca="false">AW123*1.25</f>
        <v>12.29175</v>
      </c>
      <c r="AZ123" s="167" t="n">
        <v>0</v>
      </c>
      <c r="BA123" s="74"/>
      <c r="BB123" s="135" t="n">
        <v>500</v>
      </c>
      <c r="BC123" s="252" t="n">
        <v>1</v>
      </c>
      <c r="BD123" s="253" t="n">
        <v>1</v>
      </c>
      <c r="BE123" s="253" t="n">
        <v>1</v>
      </c>
      <c r="BF123" s="253" t="n">
        <v>1</v>
      </c>
      <c r="BG123" s="253" t="n">
        <v>1</v>
      </c>
      <c r="BH123" s="253" t="n">
        <v>1</v>
      </c>
      <c r="BI123" s="253" t="n">
        <v>1</v>
      </c>
      <c r="BJ123" s="253" t="n">
        <v>1</v>
      </c>
      <c r="BK123" s="253" t="n">
        <v>1</v>
      </c>
      <c r="BL123" s="253" t="n">
        <v>1</v>
      </c>
      <c r="BM123" s="253" t="n">
        <v>1</v>
      </c>
      <c r="BN123" s="254" t="n">
        <v>1</v>
      </c>
      <c r="BO123" s="251" t="str">
        <f aca="false">IF(AND(BB123&gt;=BC$116,BB123&lt;=BD$116),"1","2")</f>
        <v>2</v>
      </c>
      <c r="BQ123" s="108" t="n">
        <v>36907.7428240741</v>
      </c>
      <c r="BR123" s="109" t="n">
        <v>36907.7434490741</v>
      </c>
      <c r="BS123" s="110" t="n">
        <v>39845</v>
      </c>
      <c r="BT123" s="111" t="n">
        <v>0</v>
      </c>
      <c r="BU123" s="112" t="n">
        <v>0</v>
      </c>
      <c r="BV123" s="112" t="n">
        <v>0</v>
      </c>
      <c r="BW123" s="112" t="n">
        <v>0</v>
      </c>
      <c r="BX123" s="113" t="n">
        <v>0</v>
      </c>
      <c r="BZ123" s="110" t="n">
        <v>39630</v>
      </c>
      <c r="CA123" s="116" t="n">
        <v>39.4440002441406</v>
      </c>
      <c r="CB123" s="116" t="n">
        <v>0</v>
      </c>
      <c r="CC123" s="116" t="n">
        <v>0</v>
      </c>
      <c r="CD123" s="116" t="n">
        <v>0</v>
      </c>
      <c r="CE123" s="117" t="n">
        <v>0</v>
      </c>
    </row>
    <row r="124" customFormat="false" ht="12.75" hidden="false" customHeight="false" outlineLevel="0" collapsed="false">
      <c r="A124" s="0" t="n">
        <f aca="true">IF(ISERROR(MATCH(D124,iRefDt,0)),"",MATCH(D124,iRefDt,0))</f>
        <v>115</v>
      </c>
      <c r="B124" s="92" t="n">
        <f aca="false">MATCH(YEAR(D124),iSpreads)</f>
        <v>8</v>
      </c>
      <c r="C124" s="0" t="n">
        <f aca="false">MONTH(D124)</f>
        <v>8</v>
      </c>
      <c r="D124" s="93" t="n">
        <f aca="false">+EnergyCurve!D124</f>
        <v>39661</v>
      </c>
      <c r="E124" s="94" t="n">
        <f aca="false">VLOOKUP($D124,tblPriorPrice,2)</f>
        <v>40.5209999084473</v>
      </c>
      <c r="F124" s="95" t="n">
        <f aca="false">G124-E124</f>
        <v>9.15527280653805E-008</v>
      </c>
      <c r="G124" s="264" t="n">
        <f aca="false">IF(EnergyCurve!G124&lt;200,0.001*EnergyCurve!G124+1,1.2)*EnergyCurve!G124</f>
        <v>40.521</v>
      </c>
      <c r="H124" s="96" t="n">
        <f aca="false">IF(EnergyCurve!H124&lt;200,0.001*EnergyCurve!H124+1,1.2)*EnergyCurve!H124</f>
        <v>35.156</v>
      </c>
      <c r="I124" s="96" t="n">
        <f aca="false">IF(EnergyCurve!I124&lt;200,0.001*EnergyCurve!I124+1,1.2)*EnergyCurve!I124</f>
        <v>64.721</v>
      </c>
      <c r="J124" s="94" t="n">
        <f aca="false">VLOOKUP($D124,tblPriorPrice,3)</f>
        <v>0</v>
      </c>
      <c r="K124" s="95" t="n">
        <f aca="false">L124-J124</f>
        <v>0</v>
      </c>
      <c r="L124" s="264" t="n">
        <v>0</v>
      </c>
      <c r="M124" s="96" t="n">
        <f aca="false">L124</f>
        <v>0</v>
      </c>
      <c r="N124" s="96" t="n">
        <f aca="false">L124</f>
        <v>0</v>
      </c>
      <c r="O124" s="58" t="n">
        <f aca="true">IF($A124="",0,INDEX(tblPosn,$A124,2))</f>
        <v>0</v>
      </c>
      <c r="P124" s="59" t="n">
        <f aca="true">IF($A124="",0,INDEX(tblPosn,$A124,3))</f>
        <v>0</v>
      </c>
      <c r="Q124" s="59" t="n">
        <f aca="true">IF($A124="",0,INDEX(tblPosn,$A124,4))</f>
        <v>0</v>
      </c>
      <c r="R124" s="59" t="n">
        <f aca="true">IF($A124="",0,INDEX(tblPosn,$A124,5))</f>
        <v>0</v>
      </c>
      <c r="S124" s="59" t="n">
        <f aca="true">IF($A124="",0,INDEX(tblPosn,$A124,6))</f>
        <v>0</v>
      </c>
      <c r="T124" s="98" t="n">
        <f aca="false">O124*F124+P124*K124+R124*AC124+S124*AH124/0.72+Q124*X124</f>
        <v>0</v>
      </c>
      <c r="V124" s="161" t="n">
        <f aca="false">D124</f>
        <v>39661</v>
      </c>
      <c r="W124" s="94" t="n">
        <f aca="false">VLOOKUP($D124,tblPriorPrice,4)</f>
        <v>0</v>
      </c>
      <c r="X124" s="162"/>
      <c r="Y124" s="176" t="n">
        <f aca="false">L124</f>
        <v>0</v>
      </c>
      <c r="Z124" s="177" t="n">
        <f aca="false">Y124</f>
        <v>0</v>
      </c>
      <c r="AA124" s="177" t="n">
        <f aca="false">Y124</f>
        <v>0</v>
      </c>
      <c r="AB124" s="94" t="n">
        <f aca="false">VLOOKUP($D124,tblPriorPrice,5)</f>
        <v>0</v>
      </c>
      <c r="AC124" s="162"/>
      <c r="AD124" s="176" t="n">
        <f aca="false">L124</f>
        <v>0</v>
      </c>
      <c r="AE124" s="96" t="n">
        <f aca="false">AD124</f>
        <v>0</v>
      </c>
      <c r="AF124" s="97" t="n">
        <f aca="false">AD124</f>
        <v>0</v>
      </c>
      <c r="AG124" s="94" t="n">
        <f aca="false">VLOOKUP($D124,tblPriorPrice,6)</f>
        <v>0</v>
      </c>
      <c r="AH124" s="182"/>
      <c r="AI124" s="189" t="n">
        <f aca="false">AG124+AH124</f>
        <v>0</v>
      </c>
      <c r="AJ124" s="96" t="n">
        <f aca="false">AI124</f>
        <v>0</v>
      </c>
      <c r="AK124" s="97" t="n">
        <f aca="false">AI124</f>
        <v>0</v>
      </c>
      <c r="AL124" s="178" t="n">
        <v>31</v>
      </c>
      <c r="AM124" s="165" t="n">
        <v>0.4</v>
      </c>
      <c r="AN124" s="166" t="n">
        <f aca="false">EnergyCurve!AN124*2</f>
        <v>0.405</v>
      </c>
      <c r="AO124" s="166" t="n">
        <f aca="false">EnergyCurve!AO124</f>
        <v>0.18225</v>
      </c>
      <c r="AP124" s="166" t="n">
        <f aca="false">AN124*1.25</f>
        <v>0.50625</v>
      </c>
      <c r="AQ124" s="166" t="n">
        <f aca="false">EnergyCurve!AQ124*2</f>
        <v>0.405</v>
      </c>
      <c r="AR124" s="166" t="n">
        <f aca="false">EnergyCurve!AR124</f>
        <v>0.162</v>
      </c>
      <c r="AS124" s="166" t="n">
        <f aca="false">EnergyCurve!AS124*1.25</f>
        <v>0.30375</v>
      </c>
      <c r="AT124" s="168" t="n">
        <f aca="false">EnergyCurve!AT124*2*2</f>
        <v>8.27346121695085</v>
      </c>
      <c r="AU124" s="169" t="n">
        <f aca="false">EnergyCurve!AU124</f>
        <v>-0.517091326059428</v>
      </c>
      <c r="AV124" s="169" t="n">
        <f aca="false">AT124*1.25</f>
        <v>10.3418265211886</v>
      </c>
      <c r="AW124" s="168" t="n">
        <f aca="false">EnergyCurve!AW124*2*2</f>
        <v>9.7392</v>
      </c>
      <c r="AX124" s="169" t="n">
        <f aca="false">EnergyCurve!AX124</f>
        <v>-0.6087</v>
      </c>
      <c r="AY124" s="169" t="n">
        <f aca="false">AW124*1.25</f>
        <v>12.174</v>
      </c>
      <c r="AZ124" s="167" t="n">
        <v>0</v>
      </c>
      <c r="BA124" s="74"/>
      <c r="BB124" s="135" t="n">
        <v>600</v>
      </c>
      <c r="BC124" s="252" t="n">
        <v>1</v>
      </c>
      <c r="BD124" s="253" t="n">
        <v>1</v>
      </c>
      <c r="BE124" s="253" t="n">
        <v>1</v>
      </c>
      <c r="BF124" s="253" t="n">
        <v>1</v>
      </c>
      <c r="BG124" s="253" t="n">
        <v>1</v>
      </c>
      <c r="BH124" s="253" t="n">
        <v>1</v>
      </c>
      <c r="BI124" s="253" t="n">
        <v>1</v>
      </c>
      <c r="BJ124" s="253" t="n">
        <v>1</v>
      </c>
      <c r="BK124" s="253" t="n">
        <v>1</v>
      </c>
      <c r="BL124" s="253" t="n">
        <v>1</v>
      </c>
      <c r="BM124" s="253" t="n">
        <v>1</v>
      </c>
      <c r="BN124" s="254" t="n">
        <v>1</v>
      </c>
      <c r="BO124" s="251" t="str">
        <f aca="false">IF(AND(BB124&gt;=BC$116,BB124&lt;=BD$116),"1","2")</f>
        <v>2</v>
      </c>
      <c r="BQ124" s="108" t="n">
        <v>36907.7428240741</v>
      </c>
      <c r="BR124" s="109" t="n">
        <v>36907.7434490741</v>
      </c>
      <c r="BS124" s="110" t="n">
        <v>39873</v>
      </c>
      <c r="BT124" s="111" t="n">
        <v>0</v>
      </c>
      <c r="BU124" s="112" t="n">
        <v>0</v>
      </c>
      <c r="BV124" s="112" t="n">
        <v>0</v>
      </c>
      <c r="BW124" s="112" t="n">
        <v>0</v>
      </c>
      <c r="BX124" s="113" t="n">
        <v>0</v>
      </c>
      <c r="BZ124" s="110" t="n">
        <v>39661</v>
      </c>
      <c r="CA124" s="116" t="n">
        <v>40.5209999084473</v>
      </c>
      <c r="CB124" s="116" t="n">
        <v>0</v>
      </c>
      <c r="CC124" s="116" t="n">
        <v>0</v>
      </c>
      <c r="CD124" s="116" t="n">
        <v>0</v>
      </c>
      <c r="CE124" s="117" t="n">
        <v>0</v>
      </c>
    </row>
    <row r="125" customFormat="false" ht="12.75" hidden="false" customHeight="false" outlineLevel="0" collapsed="false">
      <c r="A125" s="0" t="n">
        <f aca="true">IF(ISERROR(MATCH(D125,iRefDt,0)),"",MATCH(D125,iRefDt,0))</f>
        <v>116</v>
      </c>
      <c r="B125" s="92" t="n">
        <f aca="false">MATCH(YEAR(D125),iSpreads)</f>
        <v>8</v>
      </c>
      <c r="C125" s="0" t="n">
        <f aca="false">MONTH(D125)</f>
        <v>9</v>
      </c>
      <c r="D125" s="93" t="n">
        <f aca="false">+EnergyCurve!D125</f>
        <v>39692</v>
      </c>
      <c r="E125" s="94" t="n">
        <f aca="false">VLOOKUP($D125,tblPriorPrice,2)</f>
        <v>34.0890007019043</v>
      </c>
      <c r="F125" s="95" t="n">
        <f aca="false">G125-E125</f>
        <v>-7.01904298239242E-007</v>
      </c>
      <c r="G125" s="264" t="n">
        <f aca="false">IF(EnergyCurve!G125&lt;200,0.001*EnergyCurve!G125+1,1.2)*EnergyCurve!G125</f>
        <v>34.089</v>
      </c>
      <c r="H125" s="96" t="n">
        <f aca="false">IF(EnergyCurve!H125&lt;200,0.001*EnergyCurve!H125+1,1.2)*EnergyCurve!H125</f>
        <v>28.784</v>
      </c>
      <c r="I125" s="96" t="n">
        <f aca="false">IF(EnergyCurve!I125&lt;200,0.001*EnergyCurve!I125+1,1.2)*EnergyCurve!I125</f>
        <v>58.025</v>
      </c>
      <c r="J125" s="94" t="n">
        <f aca="false">VLOOKUP($D125,tblPriorPrice,3)</f>
        <v>0</v>
      </c>
      <c r="K125" s="95" t="n">
        <f aca="false">L125-J125</f>
        <v>0</v>
      </c>
      <c r="L125" s="264" t="n">
        <v>0</v>
      </c>
      <c r="M125" s="96" t="n">
        <f aca="false">L125</f>
        <v>0</v>
      </c>
      <c r="N125" s="96" t="n">
        <f aca="false">L125</f>
        <v>0</v>
      </c>
      <c r="O125" s="58" t="n">
        <f aca="true">IF($A125="",0,INDEX(tblPosn,$A125,2))</f>
        <v>0</v>
      </c>
      <c r="P125" s="59" t="n">
        <f aca="true">IF($A125="",0,INDEX(tblPosn,$A125,3))</f>
        <v>0</v>
      </c>
      <c r="Q125" s="59" t="n">
        <f aca="true">IF($A125="",0,INDEX(tblPosn,$A125,4))</f>
        <v>0</v>
      </c>
      <c r="R125" s="59" t="n">
        <f aca="true">IF($A125="",0,INDEX(tblPosn,$A125,5))</f>
        <v>0</v>
      </c>
      <c r="S125" s="59" t="n">
        <f aca="true">IF($A125="",0,INDEX(tblPosn,$A125,6))</f>
        <v>0</v>
      </c>
      <c r="T125" s="98" t="n">
        <f aca="false">O125*F125+P125*K125+R125*AC125+S125*AH125/0.72+Q125*X125</f>
        <v>0</v>
      </c>
      <c r="V125" s="161" t="n">
        <f aca="false">D125</f>
        <v>39692</v>
      </c>
      <c r="W125" s="94" t="n">
        <f aca="false">VLOOKUP($D125,tblPriorPrice,4)</f>
        <v>0</v>
      </c>
      <c r="X125" s="162"/>
      <c r="Y125" s="176" t="n">
        <f aca="false">L125</f>
        <v>0</v>
      </c>
      <c r="Z125" s="177" t="n">
        <f aca="false">Y125</f>
        <v>0</v>
      </c>
      <c r="AA125" s="177" t="n">
        <f aca="false">Y125</f>
        <v>0</v>
      </c>
      <c r="AB125" s="94" t="n">
        <f aca="false">VLOOKUP($D125,tblPriorPrice,5)</f>
        <v>0</v>
      </c>
      <c r="AC125" s="162"/>
      <c r="AD125" s="176" t="n">
        <f aca="false">L125</f>
        <v>0</v>
      </c>
      <c r="AE125" s="96" t="n">
        <f aca="false">AD125</f>
        <v>0</v>
      </c>
      <c r="AF125" s="97" t="n">
        <f aca="false">AD125</f>
        <v>0</v>
      </c>
      <c r="AG125" s="94" t="n">
        <f aca="false">VLOOKUP($D125,tblPriorPrice,6)</f>
        <v>0</v>
      </c>
      <c r="AH125" s="182"/>
      <c r="AI125" s="189" t="n">
        <f aca="false">AG125+AH125</f>
        <v>0</v>
      </c>
      <c r="AJ125" s="96" t="n">
        <f aca="false">AI125</f>
        <v>0</v>
      </c>
      <c r="AK125" s="97" t="n">
        <f aca="false">AI125</f>
        <v>0</v>
      </c>
      <c r="AL125" s="178" t="n">
        <v>31</v>
      </c>
      <c r="AM125" s="165" t="n">
        <v>0.4</v>
      </c>
      <c r="AN125" s="166" t="n">
        <f aca="false">EnergyCurve!AN125*2</f>
        <v>0.405</v>
      </c>
      <c r="AO125" s="166" t="n">
        <f aca="false">EnergyCurve!AO125</f>
        <v>0.18225</v>
      </c>
      <c r="AP125" s="166" t="n">
        <f aca="false">AN125*1.25</f>
        <v>0.50625</v>
      </c>
      <c r="AQ125" s="166" t="n">
        <f aca="false">EnergyCurve!AQ125*2</f>
        <v>0.405</v>
      </c>
      <c r="AR125" s="166" t="n">
        <f aca="false">EnergyCurve!AR125</f>
        <v>0.162</v>
      </c>
      <c r="AS125" s="166" t="n">
        <f aca="false">EnergyCurve!AS125*1.25</f>
        <v>0.30375</v>
      </c>
      <c r="AT125" s="168" t="n">
        <f aca="false">EnergyCurve!AT125*2*2</f>
        <v>6.88781730529552</v>
      </c>
      <c r="AU125" s="169" t="n">
        <f aca="false">EnergyCurve!AU125</f>
        <v>-0.43048858158097</v>
      </c>
      <c r="AV125" s="169" t="n">
        <f aca="false">AT125*1.25</f>
        <v>8.60977163161941</v>
      </c>
      <c r="AW125" s="168" t="n">
        <f aca="false">EnergyCurve!AW125*2*2</f>
        <v>10.3044</v>
      </c>
      <c r="AX125" s="169" t="n">
        <f aca="false">EnergyCurve!AX125</f>
        <v>-0.644025</v>
      </c>
      <c r="AY125" s="169" t="n">
        <f aca="false">AW125*1.25</f>
        <v>12.8805</v>
      </c>
      <c r="AZ125" s="167" t="n">
        <v>0</v>
      </c>
      <c r="BA125" s="74"/>
      <c r="BB125" s="135" t="n">
        <v>700</v>
      </c>
      <c r="BC125" s="252" t="n">
        <v>1</v>
      </c>
      <c r="BD125" s="253" t="n">
        <v>1</v>
      </c>
      <c r="BE125" s="253" t="n">
        <v>1</v>
      </c>
      <c r="BF125" s="253" t="n">
        <v>1</v>
      </c>
      <c r="BG125" s="253" t="n">
        <v>1</v>
      </c>
      <c r="BH125" s="253" t="n">
        <v>1</v>
      </c>
      <c r="BI125" s="253" t="n">
        <v>1</v>
      </c>
      <c r="BJ125" s="253" t="n">
        <v>1</v>
      </c>
      <c r="BK125" s="253" t="n">
        <v>1</v>
      </c>
      <c r="BL125" s="253" t="n">
        <v>1</v>
      </c>
      <c r="BM125" s="253" t="n">
        <v>1</v>
      </c>
      <c r="BN125" s="254" t="n">
        <v>1</v>
      </c>
      <c r="BO125" s="251" t="str">
        <f aca="false">IF(AND(BB125&gt;=BC$116,BB125&lt;=BD$116),"1","2")</f>
        <v>1</v>
      </c>
      <c r="BQ125" s="108" t="n">
        <v>36907.7428240741</v>
      </c>
      <c r="BR125" s="109" t="n">
        <v>36907.7434490741</v>
      </c>
      <c r="BS125" s="110" t="n">
        <v>39904</v>
      </c>
      <c r="BT125" s="111" t="n">
        <v>0</v>
      </c>
      <c r="BU125" s="112" t="n">
        <v>0</v>
      </c>
      <c r="BV125" s="112" t="n">
        <v>0</v>
      </c>
      <c r="BW125" s="112" t="n">
        <v>0</v>
      </c>
      <c r="BX125" s="113" t="n">
        <v>0</v>
      </c>
      <c r="BZ125" s="110" t="n">
        <v>39692</v>
      </c>
      <c r="CA125" s="116" t="n">
        <v>34.0890007019043</v>
      </c>
      <c r="CB125" s="116" t="n">
        <v>0</v>
      </c>
      <c r="CC125" s="116" t="n">
        <v>0</v>
      </c>
      <c r="CD125" s="116" t="n">
        <v>0</v>
      </c>
      <c r="CE125" s="117" t="n">
        <v>0</v>
      </c>
    </row>
    <row r="126" customFormat="false" ht="12.75" hidden="false" customHeight="false" outlineLevel="0" collapsed="false">
      <c r="A126" s="0" t="n">
        <f aca="true">IF(ISERROR(MATCH(D126,iRefDt,0)),"",MATCH(D126,iRefDt,0))</f>
        <v>117</v>
      </c>
      <c r="B126" s="92" t="n">
        <f aca="false">MATCH(YEAR(D126),iSpreads)</f>
        <v>8</v>
      </c>
      <c r="C126" s="0" t="n">
        <f aca="false">MONTH(D126)</f>
        <v>10</v>
      </c>
      <c r="D126" s="93" t="n">
        <f aca="false">+EnergyCurve!D126</f>
        <v>39722</v>
      </c>
      <c r="E126" s="94" t="n">
        <f aca="false">VLOOKUP($D126,tblPriorPrice,2)</f>
        <v>37.2960014343262</v>
      </c>
      <c r="F126" s="95" t="n">
        <f aca="false">G126-E126</f>
        <v>-1.43432617250028E-006</v>
      </c>
      <c r="G126" s="264" t="n">
        <f aca="false">IF(EnergyCurve!G126&lt;200,0.001*EnergyCurve!G126+1,1.2)*EnergyCurve!G126</f>
        <v>37.296</v>
      </c>
      <c r="H126" s="96" t="n">
        <f aca="false">IF(EnergyCurve!H126&lt;200,0.001*EnergyCurve!H126+1,1.2)*EnergyCurve!H126</f>
        <v>31.961</v>
      </c>
      <c r="I126" s="96" t="n">
        <f aca="false">IF(EnergyCurve!I126&lt;200,0.001*EnergyCurve!I126+1,1.2)*EnergyCurve!I126</f>
        <v>61.364</v>
      </c>
      <c r="J126" s="94" t="n">
        <f aca="false">VLOOKUP($D126,tblPriorPrice,3)</f>
        <v>0</v>
      </c>
      <c r="K126" s="95" t="n">
        <f aca="false">L126-J126</f>
        <v>0</v>
      </c>
      <c r="L126" s="264" t="n">
        <v>0</v>
      </c>
      <c r="M126" s="96" t="n">
        <f aca="false">L126</f>
        <v>0</v>
      </c>
      <c r="N126" s="96" t="n">
        <f aca="false">L126</f>
        <v>0</v>
      </c>
      <c r="O126" s="58" t="n">
        <f aca="true">IF($A126="",0,INDEX(tblPosn,$A126,2))</f>
        <v>0</v>
      </c>
      <c r="P126" s="59" t="n">
        <f aca="true">IF($A126="",0,INDEX(tblPosn,$A126,3))</f>
        <v>0</v>
      </c>
      <c r="Q126" s="59" t="n">
        <f aca="true">IF($A126="",0,INDEX(tblPosn,$A126,4))</f>
        <v>0</v>
      </c>
      <c r="R126" s="59" t="n">
        <f aca="true">IF($A126="",0,INDEX(tblPosn,$A126,5))</f>
        <v>0</v>
      </c>
      <c r="S126" s="59" t="n">
        <f aca="true">IF($A126="",0,INDEX(tblPosn,$A126,6))</f>
        <v>0</v>
      </c>
      <c r="T126" s="98" t="n">
        <f aca="false">O126*F126+P126*K126+R126*AC126+S126*AH126/0.72+Q126*X126</f>
        <v>0</v>
      </c>
      <c r="V126" s="161" t="n">
        <f aca="false">D126</f>
        <v>39722</v>
      </c>
      <c r="W126" s="94" t="n">
        <f aca="false">VLOOKUP($D126,tblPriorPrice,4)</f>
        <v>0</v>
      </c>
      <c r="X126" s="162"/>
      <c r="Y126" s="176" t="n">
        <f aca="false">L126</f>
        <v>0</v>
      </c>
      <c r="Z126" s="177" t="n">
        <f aca="false">Y126</f>
        <v>0</v>
      </c>
      <c r="AA126" s="177" t="n">
        <f aca="false">Y126</f>
        <v>0</v>
      </c>
      <c r="AB126" s="94" t="n">
        <f aca="false">VLOOKUP($D126,tblPriorPrice,5)</f>
        <v>0</v>
      </c>
      <c r="AC126" s="162"/>
      <c r="AD126" s="176" t="n">
        <f aca="false">L126</f>
        <v>0</v>
      </c>
      <c r="AE126" s="96" t="n">
        <f aca="false">AD126</f>
        <v>0</v>
      </c>
      <c r="AF126" s="97" t="n">
        <f aca="false">AD126</f>
        <v>0</v>
      </c>
      <c r="AG126" s="94" t="n">
        <f aca="false">VLOOKUP($D126,tblPriorPrice,6)</f>
        <v>0</v>
      </c>
      <c r="AH126" s="182"/>
      <c r="AI126" s="189" t="n">
        <f aca="false">AG126+AH126</f>
        <v>0</v>
      </c>
      <c r="AJ126" s="96" t="n">
        <f aca="false">AI126</f>
        <v>0</v>
      </c>
      <c r="AK126" s="97" t="n">
        <f aca="false">AI126</f>
        <v>0</v>
      </c>
      <c r="AL126" s="178" t="n">
        <v>32</v>
      </c>
      <c r="AM126" s="165" t="n">
        <v>0.4</v>
      </c>
      <c r="AN126" s="166" t="n">
        <f aca="false">EnergyCurve!AN126*2</f>
        <v>0.405</v>
      </c>
      <c r="AO126" s="166" t="n">
        <f aca="false">EnergyCurve!AO126</f>
        <v>0.18225</v>
      </c>
      <c r="AP126" s="166" t="n">
        <f aca="false">AN126*1.25</f>
        <v>0.50625</v>
      </c>
      <c r="AQ126" s="166" t="n">
        <f aca="false">EnergyCurve!AQ126*2</f>
        <v>0.405</v>
      </c>
      <c r="AR126" s="166" t="n">
        <f aca="false">EnergyCurve!AR126</f>
        <v>0.162</v>
      </c>
      <c r="AS126" s="166" t="n">
        <f aca="false">EnergyCurve!AS126*1.25</f>
        <v>0.30375</v>
      </c>
      <c r="AT126" s="168" t="n">
        <f aca="false">EnergyCurve!AT126*2*2</f>
        <v>7.51583037003162</v>
      </c>
      <c r="AU126" s="169" t="n">
        <f aca="false">EnergyCurve!AU126</f>
        <v>-0.469739398126976</v>
      </c>
      <c r="AV126" s="169" t="n">
        <f aca="false">AT126*1.25</f>
        <v>9.39478796253952</v>
      </c>
      <c r="AW126" s="168" t="n">
        <f aca="false">EnergyCurve!AW126*2*2</f>
        <v>10.0218</v>
      </c>
      <c r="AX126" s="169" t="n">
        <f aca="false">EnergyCurve!AX126</f>
        <v>-0.6263625</v>
      </c>
      <c r="AY126" s="169" t="n">
        <f aca="false">AW126*1.25</f>
        <v>12.52725</v>
      </c>
      <c r="AZ126" s="167" t="n">
        <v>0</v>
      </c>
      <c r="BA126" s="74"/>
      <c r="BB126" s="135" t="n">
        <v>800</v>
      </c>
      <c r="BC126" s="252" t="n">
        <v>1</v>
      </c>
      <c r="BD126" s="253" t="n">
        <v>1</v>
      </c>
      <c r="BE126" s="253" t="n">
        <v>1</v>
      </c>
      <c r="BF126" s="253" t="n">
        <v>1</v>
      </c>
      <c r="BG126" s="253" t="n">
        <v>1</v>
      </c>
      <c r="BH126" s="253" t="n">
        <v>1</v>
      </c>
      <c r="BI126" s="253" t="n">
        <v>1</v>
      </c>
      <c r="BJ126" s="253" t="n">
        <v>1</v>
      </c>
      <c r="BK126" s="253" t="n">
        <v>1</v>
      </c>
      <c r="BL126" s="253" t="n">
        <v>1</v>
      </c>
      <c r="BM126" s="253" t="n">
        <v>1</v>
      </c>
      <c r="BN126" s="254" t="n">
        <v>1</v>
      </c>
      <c r="BO126" s="251" t="str">
        <f aca="false">IF(AND(BB126&gt;=BC$116,BB126&lt;=BD$116),"1","2")</f>
        <v>1</v>
      </c>
      <c r="BQ126" s="108" t="n">
        <v>36907.7428240741</v>
      </c>
      <c r="BR126" s="109" t="n">
        <v>36907.7434490741</v>
      </c>
      <c r="BS126" s="110" t="n">
        <v>39934</v>
      </c>
      <c r="BT126" s="111" t="n">
        <v>0</v>
      </c>
      <c r="BU126" s="112" t="n">
        <v>0</v>
      </c>
      <c r="BV126" s="112" t="n">
        <v>0</v>
      </c>
      <c r="BW126" s="112" t="n">
        <v>0</v>
      </c>
      <c r="BX126" s="113" t="n">
        <v>0</v>
      </c>
      <c r="BZ126" s="110" t="n">
        <v>39722</v>
      </c>
      <c r="CA126" s="116" t="n">
        <v>37.2960014343262</v>
      </c>
      <c r="CB126" s="116" t="n">
        <v>0</v>
      </c>
      <c r="CC126" s="116" t="n">
        <v>0</v>
      </c>
      <c r="CD126" s="116" t="n">
        <v>0</v>
      </c>
      <c r="CE126" s="117" t="n">
        <v>0</v>
      </c>
    </row>
    <row r="127" customFormat="false" ht="12.75" hidden="false" customHeight="false" outlineLevel="0" collapsed="false">
      <c r="A127" s="0" t="n">
        <f aca="true">IF(ISERROR(MATCH(D127,iRefDt,0)),"",MATCH(D127,iRefDt,0))</f>
        <v>118</v>
      </c>
      <c r="B127" s="92" t="n">
        <f aca="false">MATCH(YEAR(D127),iSpreads)</f>
        <v>8</v>
      </c>
      <c r="C127" s="0" t="n">
        <f aca="false">MONTH(D127)</f>
        <v>11</v>
      </c>
      <c r="D127" s="93" t="n">
        <f aca="false">+EnergyCurve!D127</f>
        <v>39753</v>
      </c>
      <c r="E127" s="94" t="n">
        <f aca="false">VLOOKUP($D127,tblPriorPrice,2)</f>
        <v>31.9610004425049</v>
      </c>
      <c r="F127" s="95" t="n">
        <f aca="false">G127-E127</f>
        <v>-4.42504884290429E-007</v>
      </c>
      <c r="G127" s="264" t="n">
        <f aca="false">IF(EnergyCurve!G127&lt;200,0.001*EnergyCurve!G127+1,1.2)*EnergyCurve!G127</f>
        <v>31.961</v>
      </c>
      <c r="H127" s="96" t="n">
        <f aca="false">IF(EnergyCurve!H127&lt;200,0.001*EnergyCurve!H127+1,1.2)*EnergyCurve!H127</f>
        <v>26.676</v>
      </c>
      <c r="I127" s="96" t="n">
        <f aca="false">IF(EnergyCurve!I127&lt;200,0.001*EnergyCurve!I127+1,1.2)*EnergyCurve!I127</f>
        <v>55.809</v>
      </c>
      <c r="J127" s="94" t="n">
        <f aca="false">VLOOKUP($D127,tblPriorPrice,3)</f>
        <v>0</v>
      </c>
      <c r="K127" s="95" t="n">
        <f aca="false">L127-J127</f>
        <v>0</v>
      </c>
      <c r="L127" s="264" t="n">
        <v>0</v>
      </c>
      <c r="M127" s="96" t="n">
        <f aca="false">L127</f>
        <v>0</v>
      </c>
      <c r="N127" s="96" t="n">
        <f aca="false">L127</f>
        <v>0</v>
      </c>
      <c r="O127" s="58" t="n">
        <f aca="true">IF($A127="",0,INDEX(tblPosn,$A127,2))</f>
        <v>0</v>
      </c>
      <c r="P127" s="59" t="n">
        <f aca="true">IF($A127="",0,INDEX(tblPosn,$A127,3))</f>
        <v>0</v>
      </c>
      <c r="Q127" s="59" t="n">
        <f aca="true">IF($A127="",0,INDEX(tblPosn,$A127,4))</f>
        <v>0</v>
      </c>
      <c r="R127" s="59" t="n">
        <f aca="true">IF($A127="",0,INDEX(tblPosn,$A127,5))</f>
        <v>0</v>
      </c>
      <c r="S127" s="59" t="n">
        <f aca="true">IF($A127="",0,INDEX(tblPosn,$A127,6))</f>
        <v>0</v>
      </c>
      <c r="T127" s="98" t="n">
        <f aca="false">O127*F127+P127*K127+R127*AC127+S127*AH127/0.72+Q127*X127</f>
        <v>0</v>
      </c>
      <c r="V127" s="161" t="n">
        <f aca="false">D127</f>
        <v>39753</v>
      </c>
      <c r="W127" s="94" t="n">
        <f aca="false">VLOOKUP($D127,tblPriorPrice,4)</f>
        <v>0</v>
      </c>
      <c r="X127" s="162"/>
      <c r="Y127" s="176" t="n">
        <f aca="false">L127</f>
        <v>0</v>
      </c>
      <c r="Z127" s="177" t="n">
        <f aca="false">Y127</f>
        <v>0</v>
      </c>
      <c r="AA127" s="177" t="n">
        <f aca="false">Y127</f>
        <v>0</v>
      </c>
      <c r="AB127" s="94" t="n">
        <f aca="false">VLOOKUP($D127,tblPriorPrice,5)</f>
        <v>0</v>
      </c>
      <c r="AC127" s="162"/>
      <c r="AD127" s="176" t="n">
        <f aca="false">L127</f>
        <v>0</v>
      </c>
      <c r="AE127" s="96" t="n">
        <f aca="false">AD127</f>
        <v>0</v>
      </c>
      <c r="AF127" s="97" t="n">
        <f aca="false">AD127</f>
        <v>0</v>
      </c>
      <c r="AG127" s="94" t="n">
        <f aca="false">VLOOKUP($D127,tblPriorPrice,6)</f>
        <v>0</v>
      </c>
      <c r="AH127" s="182"/>
      <c r="AI127" s="189" t="n">
        <f aca="false">AG127+AH127</f>
        <v>0</v>
      </c>
      <c r="AJ127" s="96" t="n">
        <f aca="false">AI127</f>
        <v>0</v>
      </c>
      <c r="AK127" s="97" t="n">
        <f aca="false">AI127</f>
        <v>0</v>
      </c>
      <c r="AL127" s="178" t="n">
        <v>32</v>
      </c>
      <c r="AM127" s="165" t="n">
        <v>0.4</v>
      </c>
      <c r="AN127" s="166" t="n">
        <f aca="false">EnergyCurve!AN127*2</f>
        <v>0.405</v>
      </c>
      <c r="AO127" s="166" t="n">
        <f aca="false">EnergyCurve!AO127</f>
        <v>0.18225</v>
      </c>
      <c r="AP127" s="166" t="n">
        <f aca="false">AN127*1.25</f>
        <v>0.50625</v>
      </c>
      <c r="AQ127" s="166" t="n">
        <f aca="false">EnergyCurve!AQ127*2</f>
        <v>0.405</v>
      </c>
      <c r="AR127" s="166" t="n">
        <f aca="false">EnergyCurve!AR127</f>
        <v>0.162</v>
      </c>
      <c r="AS127" s="166" t="n">
        <f aca="false">EnergyCurve!AS127*1.25</f>
        <v>0.30375</v>
      </c>
      <c r="AT127" s="168" t="n">
        <f aca="false">EnergyCurve!AT127*2*2</f>
        <v>6.56235962744143</v>
      </c>
      <c r="AU127" s="169" t="n">
        <f aca="false">EnergyCurve!AU127</f>
        <v>-0.410147476715089</v>
      </c>
      <c r="AV127" s="169" t="n">
        <f aca="false">AT127*1.25</f>
        <v>8.20294953430178</v>
      </c>
      <c r="AW127" s="168" t="n">
        <f aca="false">EnergyCurve!AW127*2*2</f>
        <v>10.4928</v>
      </c>
      <c r="AX127" s="169" t="n">
        <f aca="false">EnergyCurve!AX127</f>
        <v>-0.6558</v>
      </c>
      <c r="AY127" s="169" t="n">
        <f aca="false">AW127*1.25</f>
        <v>13.116</v>
      </c>
      <c r="AZ127" s="167" t="n">
        <v>0</v>
      </c>
      <c r="BA127" s="74"/>
      <c r="BB127" s="135" t="n">
        <v>900</v>
      </c>
      <c r="BC127" s="252" t="n">
        <v>1</v>
      </c>
      <c r="BD127" s="253" t="n">
        <v>1</v>
      </c>
      <c r="BE127" s="253" t="n">
        <v>1</v>
      </c>
      <c r="BF127" s="253" t="n">
        <v>1</v>
      </c>
      <c r="BG127" s="253" t="n">
        <v>1</v>
      </c>
      <c r="BH127" s="253" t="n">
        <v>1</v>
      </c>
      <c r="BI127" s="253" t="n">
        <v>1</v>
      </c>
      <c r="BJ127" s="253" t="n">
        <v>1</v>
      </c>
      <c r="BK127" s="253" t="n">
        <v>1</v>
      </c>
      <c r="BL127" s="253" t="n">
        <v>1</v>
      </c>
      <c r="BM127" s="253" t="n">
        <v>1</v>
      </c>
      <c r="BN127" s="254" t="n">
        <v>1</v>
      </c>
      <c r="BO127" s="251" t="str">
        <f aca="false">IF(AND(BB127&gt;=BC$116,BB127&lt;=BD$116),"1","2")</f>
        <v>1</v>
      </c>
      <c r="BQ127" s="108" t="n">
        <v>36907.7428240741</v>
      </c>
      <c r="BR127" s="109" t="n">
        <v>36907.7434490741</v>
      </c>
      <c r="BS127" s="110" t="n">
        <v>39965</v>
      </c>
      <c r="BT127" s="111" t="n">
        <v>0</v>
      </c>
      <c r="BU127" s="112" t="n">
        <v>0</v>
      </c>
      <c r="BV127" s="112" t="n">
        <v>0</v>
      </c>
      <c r="BW127" s="112" t="n">
        <v>0</v>
      </c>
      <c r="BX127" s="113" t="n">
        <v>0</v>
      </c>
      <c r="BZ127" s="110" t="n">
        <v>39753</v>
      </c>
      <c r="CA127" s="116" t="n">
        <v>31.9610004425049</v>
      </c>
      <c r="CB127" s="116" t="n">
        <v>0</v>
      </c>
      <c r="CC127" s="116" t="n">
        <v>0</v>
      </c>
      <c r="CD127" s="116" t="n">
        <v>0</v>
      </c>
      <c r="CE127" s="117" t="n">
        <v>0</v>
      </c>
    </row>
    <row r="128" customFormat="false" ht="12.75" hidden="false" customHeight="false" outlineLevel="0" collapsed="false">
      <c r="A128" s="0" t="n">
        <f aca="true">IF(ISERROR(MATCH(D128,iRefDt,0)),"",MATCH(D128,iRefDt,0))</f>
        <v>119</v>
      </c>
      <c r="B128" s="92" t="n">
        <f aca="false">MATCH(YEAR(D128),iSpreads)</f>
        <v>8</v>
      </c>
      <c r="C128" s="0" t="n">
        <f aca="false">MONTH(D128)</f>
        <v>12</v>
      </c>
      <c r="D128" s="93" t="n">
        <f aca="false">+EnergyCurve!D128</f>
        <v>39783</v>
      </c>
      <c r="E128" s="94" t="n">
        <f aca="false">VLOOKUP($D128,tblPriorPrice,2)</f>
        <v>30.8999996185303</v>
      </c>
      <c r="F128" s="95" t="n">
        <f aca="false">G128-E128</f>
        <v>3.81469728694128E-007</v>
      </c>
      <c r="G128" s="264" t="n">
        <f aca="false">IF(EnergyCurve!G128&lt;200,0.001*EnergyCurve!G128+1,1.2)*EnergyCurve!G128</f>
        <v>30.9</v>
      </c>
      <c r="H128" s="96" t="n">
        <f aca="false">IF(EnergyCurve!H128&lt;200,0.001*EnergyCurve!H128+1,1.2)*EnergyCurve!H128</f>
        <v>25.625</v>
      </c>
      <c r="I128" s="96" t="n">
        <f aca="false">IF(EnergyCurve!I128&lt;200,0.001*EnergyCurve!I128+1,1.2)*EnergyCurve!I128</f>
        <v>54.704</v>
      </c>
      <c r="J128" s="94" t="n">
        <f aca="false">VLOOKUP($D128,tblPriorPrice,3)</f>
        <v>0</v>
      </c>
      <c r="K128" s="95" t="n">
        <f aca="false">L128-J128</f>
        <v>0</v>
      </c>
      <c r="L128" s="264" t="n">
        <v>0</v>
      </c>
      <c r="M128" s="96" t="n">
        <f aca="false">L128</f>
        <v>0</v>
      </c>
      <c r="N128" s="96" t="n">
        <f aca="false">L128</f>
        <v>0</v>
      </c>
      <c r="O128" s="58" t="n">
        <f aca="true">IF($A128="",0,INDEX(tblPosn,$A128,2))</f>
        <v>0</v>
      </c>
      <c r="P128" s="59" t="n">
        <f aca="true">IF($A128="",0,INDEX(tblPosn,$A128,3))</f>
        <v>0</v>
      </c>
      <c r="Q128" s="59" t="n">
        <f aca="true">IF($A128="",0,INDEX(tblPosn,$A128,4))</f>
        <v>0</v>
      </c>
      <c r="R128" s="59" t="n">
        <f aca="true">IF($A128="",0,INDEX(tblPosn,$A128,5))</f>
        <v>0</v>
      </c>
      <c r="S128" s="59" t="n">
        <f aca="true">IF($A128="",0,INDEX(tblPosn,$A128,6))</f>
        <v>0</v>
      </c>
      <c r="T128" s="98" t="n">
        <f aca="false">O128*F128+P128*K128+R128*AC128+S128*AH128/0.72+Q128*X128</f>
        <v>0</v>
      </c>
      <c r="V128" s="161" t="n">
        <f aca="false">D128</f>
        <v>39783</v>
      </c>
      <c r="W128" s="94" t="n">
        <f aca="false">VLOOKUP($D128,tblPriorPrice,4)</f>
        <v>0</v>
      </c>
      <c r="X128" s="162"/>
      <c r="Y128" s="176" t="n">
        <f aca="false">L128</f>
        <v>0</v>
      </c>
      <c r="Z128" s="177" t="n">
        <f aca="false">Y128</f>
        <v>0</v>
      </c>
      <c r="AA128" s="177" t="n">
        <f aca="false">Y128</f>
        <v>0</v>
      </c>
      <c r="AB128" s="94" t="n">
        <f aca="false">VLOOKUP($D128,tblPriorPrice,5)</f>
        <v>0</v>
      </c>
      <c r="AC128" s="162"/>
      <c r="AD128" s="176" t="n">
        <f aca="false">L128</f>
        <v>0</v>
      </c>
      <c r="AE128" s="96" t="n">
        <f aca="false">AD128</f>
        <v>0</v>
      </c>
      <c r="AF128" s="97" t="n">
        <f aca="false">AD128</f>
        <v>0</v>
      </c>
      <c r="AG128" s="94" t="n">
        <f aca="false">VLOOKUP($D128,tblPriorPrice,6)</f>
        <v>0</v>
      </c>
      <c r="AH128" s="182"/>
      <c r="AI128" s="189" t="n">
        <f aca="false">AG128+AH128</f>
        <v>0</v>
      </c>
      <c r="AJ128" s="96" t="n">
        <f aca="false">AI128</f>
        <v>0</v>
      </c>
      <c r="AK128" s="97" t="n">
        <f aca="false">AI128</f>
        <v>0</v>
      </c>
      <c r="AL128" s="178" t="n">
        <v>32</v>
      </c>
      <c r="AM128" s="165" t="n">
        <v>0.4</v>
      </c>
      <c r="AN128" s="166" t="n">
        <f aca="false">EnergyCurve!AN128*2</f>
        <v>0.41</v>
      </c>
      <c r="AO128" s="166" t="n">
        <f aca="false">EnergyCurve!AO128</f>
        <v>0.1845</v>
      </c>
      <c r="AP128" s="166" t="n">
        <f aca="false">AN128*1.25</f>
        <v>0.5125</v>
      </c>
      <c r="AQ128" s="166" t="n">
        <f aca="false">EnergyCurve!AQ128*2</f>
        <v>0.41</v>
      </c>
      <c r="AR128" s="166" t="n">
        <f aca="false">EnergyCurve!AR128</f>
        <v>0.164</v>
      </c>
      <c r="AS128" s="166" t="n">
        <f aca="false">EnergyCurve!AS128*1.25</f>
        <v>0.3075</v>
      </c>
      <c r="AT128" s="168" t="n">
        <f aca="false">EnergyCurve!AT128*2*2</f>
        <v>6.43371807382396</v>
      </c>
      <c r="AU128" s="169" t="n">
        <f aca="false">EnergyCurve!AU128</f>
        <v>-0.402107379613998</v>
      </c>
      <c r="AV128" s="169" t="n">
        <f aca="false">AT128*1.25</f>
        <v>8.04214759227995</v>
      </c>
      <c r="AW128" s="168" t="n">
        <f aca="false">EnergyCurve!AW128*2*2</f>
        <v>10.587</v>
      </c>
      <c r="AX128" s="169" t="n">
        <f aca="false">EnergyCurve!AX128</f>
        <v>-0.6616875</v>
      </c>
      <c r="AY128" s="169" t="n">
        <f aca="false">AW128*1.25</f>
        <v>13.23375</v>
      </c>
      <c r="AZ128" s="167" t="n">
        <v>0</v>
      </c>
      <c r="BA128" s="74"/>
      <c r="BB128" s="135" t="n">
        <v>1000</v>
      </c>
      <c r="BC128" s="252" t="n">
        <v>1</v>
      </c>
      <c r="BD128" s="253" t="n">
        <v>1</v>
      </c>
      <c r="BE128" s="253" t="n">
        <v>1</v>
      </c>
      <c r="BF128" s="253" t="n">
        <v>1</v>
      </c>
      <c r="BG128" s="253" t="n">
        <v>1</v>
      </c>
      <c r="BH128" s="253" t="n">
        <v>1</v>
      </c>
      <c r="BI128" s="253" t="n">
        <v>1</v>
      </c>
      <c r="BJ128" s="253" t="n">
        <v>1</v>
      </c>
      <c r="BK128" s="253" t="n">
        <v>1</v>
      </c>
      <c r="BL128" s="253" t="n">
        <v>1</v>
      </c>
      <c r="BM128" s="253" t="n">
        <v>1</v>
      </c>
      <c r="BN128" s="254" t="n">
        <v>1</v>
      </c>
      <c r="BO128" s="251" t="str">
        <f aca="false">IF(AND(BB128&gt;=BC$116,BB128&lt;=BD$116),"1","2")</f>
        <v>1</v>
      </c>
      <c r="BQ128" s="108" t="n">
        <v>36907.7428240741</v>
      </c>
      <c r="BR128" s="109" t="n">
        <v>36907.7434490741</v>
      </c>
      <c r="BS128" s="110" t="n">
        <v>39995</v>
      </c>
      <c r="BT128" s="111" t="n">
        <v>0</v>
      </c>
      <c r="BU128" s="112" t="n">
        <v>0</v>
      </c>
      <c r="BV128" s="112" t="n">
        <v>0</v>
      </c>
      <c r="BW128" s="112" t="n">
        <v>0</v>
      </c>
      <c r="BX128" s="113" t="n">
        <v>0</v>
      </c>
      <c r="BZ128" s="110" t="n">
        <v>39783</v>
      </c>
      <c r="CA128" s="116" t="n">
        <v>30.8999996185303</v>
      </c>
      <c r="CB128" s="116" t="n">
        <v>0</v>
      </c>
      <c r="CC128" s="116" t="n">
        <v>0</v>
      </c>
      <c r="CD128" s="116" t="n">
        <v>0</v>
      </c>
      <c r="CE128" s="117" t="n">
        <v>0</v>
      </c>
    </row>
    <row r="129" customFormat="false" ht="12.75" hidden="false" customHeight="false" outlineLevel="0" collapsed="false">
      <c r="A129" s="0" t="n">
        <f aca="true">IF(ISERROR(MATCH(D129,iRefDt,0)),"",MATCH(D129,iRefDt,0))</f>
        <v>120</v>
      </c>
      <c r="B129" s="92" t="n">
        <f aca="false">MATCH(YEAR(D129),iSpreads)</f>
        <v>9</v>
      </c>
      <c r="C129" s="0" t="n">
        <f aca="false">MONTH(D129)</f>
        <v>1</v>
      </c>
      <c r="D129" s="93" t="n">
        <f aca="false">+EnergyCurve!D129</f>
        <v>39814</v>
      </c>
      <c r="E129" s="94" t="n">
        <f aca="false">VLOOKUP($D129,tblPriorPrice,2)</f>
        <v>31.9610004425049</v>
      </c>
      <c r="F129" s="95" t="n">
        <f aca="false">G129-E129</f>
        <v>-4.42504884290429E-007</v>
      </c>
      <c r="G129" s="264" t="n">
        <f aca="false">IF(EnergyCurve!G129&lt;200,0.001*EnergyCurve!G129+1,1.2)*EnergyCurve!G129</f>
        <v>31.961</v>
      </c>
      <c r="H129" s="96" t="n">
        <f aca="false">IF(EnergyCurve!H129&lt;200,0.001*EnergyCurve!H129+1,1.2)*EnergyCurve!H129</f>
        <v>26.676</v>
      </c>
      <c r="I129" s="96" t="n">
        <f aca="false">IF(EnergyCurve!I129&lt;200,0.001*EnergyCurve!I129+1,1.2)*EnergyCurve!I129</f>
        <v>56.916</v>
      </c>
      <c r="J129" s="94" t="n">
        <f aca="false">VLOOKUP($D129,tblPriorPrice,3)</f>
        <v>0</v>
      </c>
      <c r="K129" s="95" t="n">
        <f aca="false">L129-J129</f>
        <v>0</v>
      </c>
      <c r="L129" s="264" t="n">
        <v>0</v>
      </c>
      <c r="M129" s="96" t="n">
        <f aca="false">L129</f>
        <v>0</v>
      </c>
      <c r="N129" s="96" t="n">
        <f aca="false">L129</f>
        <v>0</v>
      </c>
      <c r="O129" s="58" t="n">
        <f aca="true">IF($A129="",0,INDEX(tblPosn,$A129,2))</f>
        <v>0</v>
      </c>
      <c r="P129" s="59" t="n">
        <f aca="true">IF($A129="",0,INDEX(tblPosn,$A129,3))</f>
        <v>0</v>
      </c>
      <c r="Q129" s="59" t="n">
        <f aca="true">IF($A129="",0,INDEX(tblPosn,$A129,4))</f>
        <v>0</v>
      </c>
      <c r="R129" s="59" t="n">
        <f aca="true">IF($A129="",0,INDEX(tblPosn,$A129,5))</f>
        <v>0</v>
      </c>
      <c r="S129" s="59" t="n">
        <f aca="true">IF($A129="",0,INDEX(tblPosn,$A129,6))</f>
        <v>0</v>
      </c>
      <c r="T129" s="98" t="n">
        <f aca="false">O129*F129+P129*K129+R129*AC129+S129*AH129/0.72+Q129*X129</f>
        <v>0</v>
      </c>
      <c r="V129" s="161" t="n">
        <f aca="false">D129</f>
        <v>39814</v>
      </c>
      <c r="W129" s="94" t="n">
        <f aca="false">VLOOKUP($D129,tblPriorPrice,4)</f>
        <v>0</v>
      </c>
      <c r="X129" s="162"/>
      <c r="Y129" s="176" t="n">
        <f aca="false">L129</f>
        <v>0</v>
      </c>
      <c r="Z129" s="177" t="n">
        <f aca="false">Y129</f>
        <v>0</v>
      </c>
      <c r="AA129" s="177" t="n">
        <f aca="false">Y129</f>
        <v>0</v>
      </c>
      <c r="AB129" s="94" t="n">
        <f aca="false">VLOOKUP($D129,tblPriorPrice,5)</f>
        <v>0</v>
      </c>
      <c r="AC129" s="162"/>
      <c r="AD129" s="176" t="n">
        <f aca="false">L129</f>
        <v>0</v>
      </c>
      <c r="AE129" s="96" t="n">
        <f aca="false">AD129</f>
        <v>0</v>
      </c>
      <c r="AF129" s="97" t="n">
        <f aca="false">AD129</f>
        <v>0</v>
      </c>
      <c r="AG129" s="94" t="n">
        <f aca="false">VLOOKUP($D129,tblPriorPrice,6)</f>
        <v>0</v>
      </c>
      <c r="AH129" s="182"/>
      <c r="AI129" s="189" t="n">
        <f aca="false">AG129+AH129</f>
        <v>0</v>
      </c>
      <c r="AJ129" s="96" t="n">
        <f aca="false">AI129</f>
        <v>0</v>
      </c>
      <c r="AK129" s="97" t="n">
        <f aca="false">AI129</f>
        <v>0</v>
      </c>
      <c r="AL129" s="178" t="n">
        <v>33</v>
      </c>
      <c r="AM129" s="165" t="n">
        <v>0.4</v>
      </c>
      <c r="AN129" s="166" t="n">
        <f aca="false">EnergyCurve!AN129*2</f>
        <v>0.41</v>
      </c>
      <c r="AO129" s="166" t="n">
        <f aca="false">EnergyCurve!AO129</f>
        <v>0.1845</v>
      </c>
      <c r="AP129" s="166" t="n">
        <f aca="false">AN129*1.25</f>
        <v>0.5125</v>
      </c>
      <c r="AQ129" s="166" t="n">
        <f aca="false">EnergyCurve!AQ129*2</f>
        <v>0.41</v>
      </c>
      <c r="AR129" s="166" t="n">
        <f aca="false">EnergyCurve!AR129</f>
        <v>0.164</v>
      </c>
      <c r="AS129" s="166" t="n">
        <f aca="false">EnergyCurve!AS129*1.25</f>
        <v>0.3075</v>
      </c>
      <c r="AT129" s="168" t="n">
        <f aca="false">EnergyCurve!AT129*2*2</f>
        <v>6.56235962744143</v>
      </c>
      <c r="AU129" s="169" t="n">
        <f aca="false">EnergyCurve!AU129</f>
        <v>-0.410147476715089</v>
      </c>
      <c r="AV129" s="169" t="n">
        <f aca="false">AT129*1.25</f>
        <v>8.20294953430178</v>
      </c>
      <c r="AW129" s="168" t="n">
        <f aca="false">EnergyCurve!AW129*2*2</f>
        <v>10.4928</v>
      </c>
      <c r="AX129" s="169" t="n">
        <f aca="false">EnergyCurve!AX129</f>
        <v>-0.6558</v>
      </c>
      <c r="AY129" s="169" t="n">
        <f aca="false">AW129*1.25</f>
        <v>13.116</v>
      </c>
      <c r="AZ129" s="167" t="n">
        <v>0</v>
      </c>
      <c r="BA129" s="74"/>
      <c r="BB129" s="135" t="n">
        <v>1100</v>
      </c>
      <c r="BC129" s="252" t="n">
        <v>1</v>
      </c>
      <c r="BD129" s="253" t="n">
        <v>1</v>
      </c>
      <c r="BE129" s="253" t="n">
        <v>1</v>
      </c>
      <c r="BF129" s="253" t="n">
        <v>1</v>
      </c>
      <c r="BG129" s="253" t="n">
        <v>1</v>
      </c>
      <c r="BH129" s="253" t="n">
        <v>1</v>
      </c>
      <c r="BI129" s="253" t="n">
        <v>1</v>
      </c>
      <c r="BJ129" s="253" t="n">
        <v>1</v>
      </c>
      <c r="BK129" s="253" t="n">
        <v>1</v>
      </c>
      <c r="BL129" s="253" t="n">
        <v>1</v>
      </c>
      <c r="BM129" s="253" t="n">
        <v>1</v>
      </c>
      <c r="BN129" s="254" t="n">
        <v>1</v>
      </c>
      <c r="BO129" s="251" t="str">
        <f aca="false">IF(AND(BB129&gt;=BC$116,BB129&lt;=BD$116),"1","2")</f>
        <v>1</v>
      </c>
      <c r="BQ129" s="108" t="n">
        <v>36907.7428240741</v>
      </c>
      <c r="BR129" s="109" t="n">
        <v>36907.7434490741</v>
      </c>
      <c r="BS129" s="110" t="n">
        <v>40026</v>
      </c>
      <c r="BT129" s="111" t="n">
        <v>0</v>
      </c>
      <c r="BU129" s="112" t="n">
        <v>0</v>
      </c>
      <c r="BV129" s="112" t="n">
        <v>0</v>
      </c>
      <c r="BW129" s="112" t="n">
        <v>0</v>
      </c>
      <c r="BX129" s="113" t="n">
        <v>0</v>
      </c>
      <c r="BZ129" s="110" t="n">
        <v>39814</v>
      </c>
      <c r="CA129" s="116" t="n">
        <v>31.9610004425049</v>
      </c>
      <c r="CB129" s="116" t="n">
        <v>0</v>
      </c>
      <c r="CC129" s="116" t="n">
        <v>0</v>
      </c>
      <c r="CD129" s="116" t="n">
        <v>0</v>
      </c>
      <c r="CE129" s="117" t="n">
        <v>0</v>
      </c>
    </row>
    <row r="130" customFormat="false" ht="12.75" hidden="false" customHeight="false" outlineLevel="0" collapsed="false">
      <c r="A130" s="0" t="n">
        <f aca="true">IF(ISERROR(MATCH(D130,iRefDt,0)),"",MATCH(D130,iRefDt,0))</f>
        <v>121</v>
      </c>
      <c r="B130" s="92" t="n">
        <f aca="false">MATCH(YEAR(D130),iSpreads)</f>
        <v>9</v>
      </c>
      <c r="C130" s="0" t="n">
        <f aca="false">MONTH(D130)</f>
        <v>2</v>
      </c>
      <c r="D130" s="93" t="n">
        <f aca="false">+EnergyCurve!D130</f>
        <v>39845</v>
      </c>
      <c r="E130" s="94" t="n">
        <f aca="false">VLOOKUP($D130,tblPriorPrice,2)</f>
        <v>30.8999996185303</v>
      </c>
      <c r="F130" s="95" t="n">
        <f aca="false">G130-E130</f>
        <v>3.81469728694128E-007</v>
      </c>
      <c r="G130" s="264" t="n">
        <f aca="false">IF(EnergyCurve!G130&lt;200,0.001*EnergyCurve!G130+1,1.2)*EnergyCurve!G130</f>
        <v>30.9</v>
      </c>
      <c r="H130" s="96" t="n">
        <f aca="false">IF(EnergyCurve!H130&lt;200,0.001*EnergyCurve!H130+1,1.2)*EnergyCurve!H130</f>
        <v>25.625</v>
      </c>
      <c r="I130" s="96" t="n">
        <f aca="false">IF(EnergyCurve!I130&lt;200,0.001*EnergyCurve!I130+1,1.2)*EnergyCurve!I130</f>
        <v>55.809</v>
      </c>
      <c r="J130" s="94" t="n">
        <f aca="false">VLOOKUP($D130,tblPriorPrice,3)</f>
        <v>0</v>
      </c>
      <c r="K130" s="95" t="n">
        <f aca="false">L130-J130</f>
        <v>0</v>
      </c>
      <c r="L130" s="264" t="n">
        <v>0</v>
      </c>
      <c r="M130" s="96" t="n">
        <f aca="false">L130</f>
        <v>0</v>
      </c>
      <c r="N130" s="96" t="n">
        <f aca="false">L130</f>
        <v>0</v>
      </c>
      <c r="O130" s="58" t="n">
        <f aca="true">IF($A130="",0,INDEX(tblPosn,$A130,2))</f>
        <v>0</v>
      </c>
      <c r="P130" s="59" t="n">
        <f aca="true">IF($A130="",0,INDEX(tblPosn,$A130,3))</f>
        <v>0</v>
      </c>
      <c r="Q130" s="59" t="n">
        <f aca="true">IF($A130="",0,INDEX(tblPosn,$A130,4))</f>
        <v>0</v>
      </c>
      <c r="R130" s="59" t="n">
        <f aca="true">IF($A130="",0,INDEX(tblPosn,$A130,5))</f>
        <v>0</v>
      </c>
      <c r="S130" s="59" t="n">
        <f aca="true">IF($A130="",0,INDEX(tblPosn,$A130,6))</f>
        <v>0</v>
      </c>
      <c r="T130" s="98" t="n">
        <f aca="false">O130*F130+P130*K130+R130*AC130+S130*AH130/0.72+Q130*X130</f>
        <v>0</v>
      </c>
      <c r="V130" s="161" t="n">
        <f aca="false">D130</f>
        <v>39845</v>
      </c>
      <c r="W130" s="94" t="n">
        <f aca="false">VLOOKUP($D130,tblPriorPrice,4)</f>
        <v>0</v>
      </c>
      <c r="X130" s="162"/>
      <c r="Y130" s="176" t="n">
        <f aca="false">L130</f>
        <v>0</v>
      </c>
      <c r="Z130" s="177" t="n">
        <f aca="false">Y130</f>
        <v>0</v>
      </c>
      <c r="AA130" s="177" t="n">
        <f aca="false">Y130</f>
        <v>0</v>
      </c>
      <c r="AB130" s="94" t="n">
        <f aca="false">VLOOKUP($D130,tblPriorPrice,5)</f>
        <v>0</v>
      </c>
      <c r="AC130" s="162"/>
      <c r="AD130" s="176" t="n">
        <f aca="false">L130</f>
        <v>0</v>
      </c>
      <c r="AE130" s="96" t="n">
        <f aca="false">AD130</f>
        <v>0</v>
      </c>
      <c r="AF130" s="97" t="n">
        <f aca="false">AD130</f>
        <v>0</v>
      </c>
      <c r="AG130" s="94" t="n">
        <f aca="false">VLOOKUP($D130,tblPriorPrice,6)</f>
        <v>0</v>
      </c>
      <c r="AH130" s="182"/>
      <c r="AI130" s="189" t="n">
        <f aca="false">AG130+AH130</f>
        <v>0</v>
      </c>
      <c r="AJ130" s="96" t="n">
        <f aca="false">AI130</f>
        <v>0</v>
      </c>
      <c r="AK130" s="97" t="n">
        <f aca="false">AI130</f>
        <v>0</v>
      </c>
      <c r="AL130" s="178" t="n">
        <v>33</v>
      </c>
      <c r="AM130" s="165" t="n">
        <v>0.4</v>
      </c>
      <c r="AN130" s="166" t="n">
        <f aca="false">EnergyCurve!AN130*2</f>
        <v>0.4</v>
      </c>
      <c r="AO130" s="166" t="n">
        <f aca="false">EnergyCurve!AO130</f>
        <v>0.18</v>
      </c>
      <c r="AP130" s="166" t="n">
        <f aca="false">AN130*1.25</f>
        <v>0.5</v>
      </c>
      <c r="AQ130" s="166" t="n">
        <f aca="false">EnergyCurve!AQ130*2</f>
        <v>0.4</v>
      </c>
      <c r="AR130" s="166" t="n">
        <f aca="false">EnergyCurve!AR130</f>
        <v>0.16</v>
      </c>
      <c r="AS130" s="166" t="n">
        <f aca="false">EnergyCurve!AS130*1.25</f>
        <v>0.3</v>
      </c>
      <c r="AT130" s="168" t="n">
        <f aca="false">EnergyCurve!AT130*2*2</f>
        <v>6.43371807382396</v>
      </c>
      <c r="AU130" s="169" t="n">
        <f aca="false">EnergyCurve!AU130</f>
        <v>-0.402107379613998</v>
      </c>
      <c r="AV130" s="169" t="n">
        <f aca="false">AT130*1.25</f>
        <v>8.04214759227995</v>
      </c>
      <c r="AW130" s="168" t="n">
        <f aca="false">EnergyCurve!AW130*2*2</f>
        <v>10.587</v>
      </c>
      <c r="AX130" s="169" t="n">
        <f aca="false">EnergyCurve!AX130</f>
        <v>-0.6616875</v>
      </c>
      <c r="AY130" s="169" t="n">
        <f aca="false">AW130*1.25</f>
        <v>13.23375</v>
      </c>
      <c r="AZ130" s="167" t="n">
        <v>0</v>
      </c>
      <c r="BA130" s="74"/>
      <c r="BB130" s="135" t="n">
        <v>1200</v>
      </c>
      <c r="BC130" s="252" t="n">
        <v>1</v>
      </c>
      <c r="BD130" s="253" t="n">
        <v>1</v>
      </c>
      <c r="BE130" s="253" t="n">
        <v>1</v>
      </c>
      <c r="BF130" s="253" t="n">
        <v>1</v>
      </c>
      <c r="BG130" s="253" t="n">
        <v>1</v>
      </c>
      <c r="BH130" s="253" t="n">
        <v>1</v>
      </c>
      <c r="BI130" s="253" t="n">
        <v>1</v>
      </c>
      <c r="BJ130" s="253" t="n">
        <v>1</v>
      </c>
      <c r="BK130" s="253" t="n">
        <v>1</v>
      </c>
      <c r="BL130" s="253" t="n">
        <v>1</v>
      </c>
      <c r="BM130" s="253" t="n">
        <v>1</v>
      </c>
      <c r="BN130" s="254" t="n">
        <v>1</v>
      </c>
      <c r="BO130" s="251" t="str">
        <f aca="false">IF(AND(BB130&gt;=BC$116,BB130&lt;=BD$116),"1","2")</f>
        <v>1</v>
      </c>
      <c r="BQ130" s="108" t="n">
        <v>36907.7428240741</v>
      </c>
      <c r="BR130" s="109" t="n">
        <v>36907.7434490741</v>
      </c>
      <c r="BS130" s="110" t="n">
        <v>40057</v>
      </c>
      <c r="BT130" s="111" t="n">
        <v>0</v>
      </c>
      <c r="BU130" s="112" t="n">
        <v>0</v>
      </c>
      <c r="BV130" s="112" t="n">
        <v>0</v>
      </c>
      <c r="BW130" s="112" t="n">
        <v>0</v>
      </c>
      <c r="BX130" s="113" t="n">
        <v>0</v>
      </c>
      <c r="BZ130" s="110" t="n">
        <v>39845</v>
      </c>
      <c r="CA130" s="116" t="n">
        <v>30.8999996185303</v>
      </c>
      <c r="CB130" s="116" t="n">
        <v>0</v>
      </c>
      <c r="CC130" s="116" t="n">
        <v>0</v>
      </c>
      <c r="CD130" s="116" t="n">
        <v>0</v>
      </c>
      <c r="CE130" s="117" t="n">
        <v>0</v>
      </c>
    </row>
    <row r="131" customFormat="false" ht="12.75" hidden="false" customHeight="false" outlineLevel="0" collapsed="false">
      <c r="A131" s="0" t="n">
        <f aca="true">IF(ISERROR(MATCH(D131,iRefDt,0)),"",MATCH(D131,iRefDt,0))</f>
        <v>122</v>
      </c>
      <c r="B131" s="92" t="n">
        <f aca="false">MATCH(YEAR(D131),iSpreads)</f>
        <v>9</v>
      </c>
      <c r="C131" s="0" t="n">
        <f aca="false">MONTH(D131)</f>
        <v>3</v>
      </c>
      <c r="D131" s="93" t="n">
        <f aca="false">+EnergyCurve!D131</f>
        <v>39873</v>
      </c>
      <c r="E131" s="94" t="n">
        <f aca="false">VLOOKUP($D131,tblPriorPrice,2)</f>
        <v>29.8409996032715</v>
      </c>
      <c r="F131" s="95" t="n">
        <f aca="false">G131-E131</f>
        <v>3.96728513152311E-007</v>
      </c>
      <c r="G131" s="264" t="n">
        <f aca="false">IF(EnergyCurve!G131&lt;200,0.001*EnergyCurve!G131+1,1.2)*EnergyCurve!G131</f>
        <v>29.841</v>
      </c>
      <c r="H131" s="96" t="n">
        <f aca="false">IF(EnergyCurve!H131&lt;200,0.001*EnergyCurve!H131+1,1.2)*EnergyCurve!H131</f>
        <v>24.576</v>
      </c>
      <c r="I131" s="96" t="n">
        <f aca="false">IF(EnergyCurve!I131&lt;200,0.001*EnergyCurve!I131+1,1.2)*EnergyCurve!I131</f>
        <v>54.704</v>
      </c>
      <c r="J131" s="94" t="n">
        <f aca="false">VLOOKUP($D131,tblPriorPrice,3)</f>
        <v>0</v>
      </c>
      <c r="K131" s="95" t="n">
        <f aca="false">L131-J131</f>
        <v>0</v>
      </c>
      <c r="L131" s="264" t="n">
        <v>0</v>
      </c>
      <c r="M131" s="96" t="n">
        <f aca="false">L131</f>
        <v>0</v>
      </c>
      <c r="N131" s="96" t="n">
        <f aca="false">L131</f>
        <v>0</v>
      </c>
      <c r="O131" s="58" t="n">
        <f aca="true">IF($A131="",0,INDEX(tblPosn,$A131,2))</f>
        <v>0</v>
      </c>
      <c r="P131" s="59" t="n">
        <f aca="true">IF($A131="",0,INDEX(tblPosn,$A131,3))</f>
        <v>0</v>
      </c>
      <c r="Q131" s="59" t="n">
        <f aca="true">IF($A131="",0,INDEX(tblPosn,$A131,4))</f>
        <v>0</v>
      </c>
      <c r="R131" s="59" t="n">
        <f aca="true">IF($A131="",0,INDEX(tblPosn,$A131,5))</f>
        <v>0</v>
      </c>
      <c r="S131" s="59" t="n">
        <f aca="true">IF($A131="",0,INDEX(tblPosn,$A131,6))</f>
        <v>0</v>
      </c>
      <c r="T131" s="98" t="n">
        <f aca="false">O131*F131+P131*K131+R131*AC131+S131*AH131/0.72+Q131*X131</f>
        <v>0</v>
      </c>
      <c r="V131" s="161" t="n">
        <f aca="false">D131</f>
        <v>39873</v>
      </c>
      <c r="W131" s="94" t="n">
        <f aca="false">VLOOKUP($D131,tblPriorPrice,4)</f>
        <v>0</v>
      </c>
      <c r="X131" s="162"/>
      <c r="Y131" s="176" t="n">
        <f aca="false">L131</f>
        <v>0</v>
      </c>
      <c r="Z131" s="177" t="n">
        <f aca="false">Y131</f>
        <v>0</v>
      </c>
      <c r="AA131" s="177" t="n">
        <f aca="false">Y131</f>
        <v>0</v>
      </c>
      <c r="AB131" s="94" t="n">
        <f aca="false">VLOOKUP($D131,tblPriorPrice,5)</f>
        <v>0</v>
      </c>
      <c r="AC131" s="162"/>
      <c r="AD131" s="176" t="n">
        <f aca="false">L131</f>
        <v>0</v>
      </c>
      <c r="AE131" s="96" t="n">
        <f aca="false">AD131</f>
        <v>0</v>
      </c>
      <c r="AF131" s="97" t="n">
        <f aca="false">AD131</f>
        <v>0</v>
      </c>
      <c r="AG131" s="94" t="n">
        <f aca="false">VLOOKUP($D131,tblPriorPrice,6)</f>
        <v>0</v>
      </c>
      <c r="AH131" s="182"/>
      <c r="AI131" s="189" t="n">
        <f aca="false">AG131+AH131</f>
        <v>0</v>
      </c>
      <c r="AJ131" s="96" t="n">
        <f aca="false">AI131</f>
        <v>0</v>
      </c>
      <c r="AK131" s="97" t="n">
        <f aca="false">AI131</f>
        <v>0</v>
      </c>
      <c r="AL131" s="178" t="n">
        <v>33</v>
      </c>
      <c r="AM131" s="165" t="n">
        <v>0.4</v>
      </c>
      <c r="AN131" s="166" t="n">
        <f aca="false">EnergyCurve!AN131*2</f>
        <v>0.38</v>
      </c>
      <c r="AO131" s="166" t="n">
        <f aca="false">EnergyCurve!AO131</f>
        <v>0.171</v>
      </c>
      <c r="AP131" s="166" t="n">
        <f aca="false">AN131*1.25</f>
        <v>0.475</v>
      </c>
      <c r="AQ131" s="166" t="n">
        <f aca="false">EnergyCurve!AQ131*2</f>
        <v>0.38</v>
      </c>
      <c r="AR131" s="166" t="n">
        <f aca="false">EnergyCurve!AR131</f>
        <v>0.152</v>
      </c>
      <c r="AS131" s="166" t="n">
        <f aca="false">EnergyCurve!AS131*1.25</f>
        <v>0.285</v>
      </c>
      <c r="AT131" s="168" t="n">
        <f aca="false">EnergyCurve!AT131*2*2</f>
        <v>6.33113623762127</v>
      </c>
      <c r="AU131" s="169" t="n">
        <f aca="false">EnergyCurve!AU131</f>
        <v>-0.395696014851329</v>
      </c>
      <c r="AV131" s="169" t="n">
        <f aca="false">AT131*1.25</f>
        <v>7.91392029702658</v>
      </c>
      <c r="AW131" s="168" t="n">
        <f aca="false">EnergyCurve!AW131*2*2</f>
        <v>10.6812</v>
      </c>
      <c r="AX131" s="169" t="n">
        <f aca="false">EnergyCurve!AX131</f>
        <v>-0.667575</v>
      </c>
      <c r="AY131" s="169" t="n">
        <f aca="false">AW131*1.25</f>
        <v>13.3515</v>
      </c>
      <c r="AZ131" s="167" t="n">
        <v>0</v>
      </c>
      <c r="BA131" s="74"/>
      <c r="BB131" s="135" t="n">
        <v>1300</v>
      </c>
      <c r="BC131" s="252" t="n">
        <v>1</v>
      </c>
      <c r="BD131" s="253" t="n">
        <v>1</v>
      </c>
      <c r="BE131" s="253" t="n">
        <v>1</v>
      </c>
      <c r="BF131" s="253" t="n">
        <v>1</v>
      </c>
      <c r="BG131" s="253" t="n">
        <v>1</v>
      </c>
      <c r="BH131" s="253" t="n">
        <v>1</v>
      </c>
      <c r="BI131" s="253" t="n">
        <v>1</v>
      </c>
      <c r="BJ131" s="253" t="n">
        <v>1</v>
      </c>
      <c r="BK131" s="253" t="n">
        <v>1</v>
      </c>
      <c r="BL131" s="253" t="n">
        <v>1</v>
      </c>
      <c r="BM131" s="253" t="n">
        <v>1</v>
      </c>
      <c r="BN131" s="254" t="n">
        <v>1</v>
      </c>
      <c r="BO131" s="251" t="str">
        <f aca="false">IF(AND(BB131&gt;=BC$116,BB131&lt;=BD$116),"1","2")</f>
        <v>1</v>
      </c>
      <c r="BQ131" s="108" t="n">
        <v>36907.7428240741</v>
      </c>
      <c r="BR131" s="109" t="n">
        <v>36907.7434490741</v>
      </c>
      <c r="BS131" s="110" t="n">
        <v>40087</v>
      </c>
      <c r="BT131" s="111" t="n">
        <v>0</v>
      </c>
      <c r="BU131" s="112" t="n">
        <v>0</v>
      </c>
      <c r="BV131" s="112" t="n">
        <v>0</v>
      </c>
      <c r="BW131" s="112" t="n">
        <v>0</v>
      </c>
      <c r="BX131" s="113" t="n">
        <v>0</v>
      </c>
      <c r="BZ131" s="110" t="n">
        <v>39873</v>
      </c>
      <c r="CA131" s="116" t="n">
        <v>29.8409996032715</v>
      </c>
      <c r="CB131" s="116" t="n">
        <v>0</v>
      </c>
      <c r="CC131" s="116" t="n">
        <v>0</v>
      </c>
      <c r="CD131" s="116" t="n">
        <v>0</v>
      </c>
      <c r="CE131" s="117" t="n">
        <v>0</v>
      </c>
    </row>
    <row r="132" customFormat="false" ht="12.75" hidden="false" customHeight="false" outlineLevel="0" collapsed="false">
      <c r="A132" s="0" t="n">
        <f aca="true">IF(ISERROR(MATCH(D132,iRefDt,0)),"",MATCH(D132,iRefDt,0))</f>
        <v>123</v>
      </c>
      <c r="B132" s="92" t="n">
        <f aca="false">MATCH(YEAR(D132),iSpreads)</f>
        <v>9</v>
      </c>
      <c r="C132" s="0" t="n">
        <f aca="false">MONTH(D132)</f>
        <v>4</v>
      </c>
      <c r="D132" s="93" t="n">
        <f aca="false">+EnergyCurve!D132</f>
        <v>39904</v>
      </c>
      <c r="E132" s="94" t="n">
        <f aca="false">VLOOKUP($D132,tblPriorPrice,2)</f>
        <v>28.7840003967285</v>
      </c>
      <c r="F132" s="95" t="n">
        <f aca="false">G132-E132</f>
        <v>-3.96728516705025E-007</v>
      </c>
      <c r="G132" s="264" t="n">
        <f aca="false">IF(EnergyCurve!G132&lt;200,0.001*EnergyCurve!G132+1,1.2)*EnergyCurve!G132</f>
        <v>28.784</v>
      </c>
      <c r="H132" s="96" t="n">
        <f aca="false">IF(EnergyCurve!H132&lt;200,0.001*EnergyCurve!H132+1,1.2)*EnergyCurve!H132</f>
        <v>23.529</v>
      </c>
      <c r="I132" s="96" t="n">
        <f aca="false">IF(EnergyCurve!I132&lt;200,0.001*EnergyCurve!I132+1,1.2)*EnergyCurve!I132</f>
        <v>53.601</v>
      </c>
      <c r="J132" s="94" t="n">
        <f aca="false">VLOOKUP($D132,tblPriorPrice,3)</f>
        <v>0</v>
      </c>
      <c r="K132" s="95" t="n">
        <f aca="false">L132-J132</f>
        <v>0</v>
      </c>
      <c r="L132" s="264" t="n">
        <v>0</v>
      </c>
      <c r="M132" s="96" t="n">
        <f aca="false">L132</f>
        <v>0</v>
      </c>
      <c r="N132" s="96" t="n">
        <f aca="false">L132</f>
        <v>0</v>
      </c>
      <c r="O132" s="58" t="n">
        <f aca="true">IF($A132="",0,INDEX(tblPosn,$A132,2))</f>
        <v>0</v>
      </c>
      <c r="P132" s="59" t="n">
        <f aca="true">IF($A132="",0,INDEX(tblPosn,$A132,3))</f>
        <v>0</v>
      </c>
      <c r="Q132" s="59" t="n">
        <f aca="true">IF($A132="",0,INDEX(tblPosn,$A132,4))</f>
        <v>0</v>
      </c>
      <c r="R132" s="59" t="n">
        <f aca="true">IF($A132="",0,INDEX(tblPosn,$A132,5))</f>
        <v>0</v>
      </c>
      <c r="S132" s="59" t="n">
        <f aca="true">IF($A132="",0,INDEX(tblPosn,$A132,6))</f>
        <v>0</v>
      </c>
      <c r="T132" s="98" t="n">
        <f aca="false">O132*F132+P132*K132+R132*AC132+S132*AH132/0.72+Q132*X132</f>
        <v>0</v>
      </c>
      <c r="V132" s="161" t="n">
        <f aca="false">D132</f>
        <v>39904</v>
      </c>
      <c r="W132" s="94" t="n">
        <f aca="false">VLOOKUP($D132,tblPriorPrice,4)</f>
        <v>0</v>
      </c>
      <c r="X132" s="162"/>
      <c r="Y132" s="176" t="n">
        <f aca="false">L132</f>
        <v>0</v>
      </c>
      <c r="Z132" s="177" t="n">
        <f aca="false">Y132</f>
        <v>0</v>
      </c>
      <c r="AA132" s="177" t="n">
        <f aca="false">Y132</f>
        <v>0</v>
      </c>
      <c r="AB132" s="94" t="n">
        <f aca="false">VLOOKUP($D132,tblPriorPrice,5)</f>
        <v>0</v>
      </c>
      <c r="AC132" s="162"/>
      <c r="AD132" s="176" t="n">
        <f aca="false">L132</f>
        <v>0</v>
      </c>
      <c r="AE132" s="96" t="n">
        <f aca="false">AD132</f>
        <v>0</v>
      </c>
      <c r="AF132" s="97" t="n">
        <f aca="false">AD132</f>
        <v>0</v>
      </c>
      <c r="AG132" s="94" t="n">
        <f aca="false">VLOOKUP($D132,tblPriorPrice,6)</f>
        <v>0</v>
      </c>
      <c r="AH132" s="182"/>
      <c r="AI132" s="189" t="n">
        <f aca="false">AG132+AH132</f>
        <v>0</v>
      </c>
      <c r="AJ132" s="96" t="n">
        <f aca="false">AI132</f>
        <v>0</v>
      </c>
      <c r="AK132" s="97" t="n">
        <f aca="false">AI132</f>
        <v>0</v>
      </c>
      <c r="AL132" s="178" t="n">
        <v>34</v>
      </c>
      <c r="AM132" s="165" t="n">
        <v>0.4</v>
      </c>
      <c r="AN132" s="166" t="n">
        <f aca="false">EnergyCurve!AN132*2</f>
        <v>0.38</v>
      </c>
      <c r="AO132" s="166" t="n">
        <f aca="false">EnergyCurve!AO132</f>
        <v>0.171</v>
      </c>
      <c r="AP132" s="166" t="n">
        <f aca="false">AN132*1.25</f>
        <v>0.475</v>
      </c>
      <c r="AQ132" s="166" t="n">
        <f aca="false">EnergyCurve!AQ132*2</f>
        <v>0.38</v>
      </c>
      <c r="AR132" s="166" t="n">
        <f aca="false">EnergyCurve!AR132</f>
        <v>0.152</v>
      </c>
      <c r="AS132" s="166" t="n">
        <f aca="false">EnergyCurve!AS132*1.25</f>
        <v>0.285</v>
      </c>
      <c r="AT132" s="168" t="n">
        <f aca="false">EnergyCurve!AT132*2*2</f>
        <v>6.25752988188016</v>
      </c>
      <c r="AU132" s="169" t="n">
        <f aca="false">EnergyCurve!AU132</f>
        <v>-0.39109561761751</v>
      </c>
      <c r="AV132" s="169" t="n">
        <f aca="false">AT132*1.25</f>
        <v>7.8219123523502</v>
      </c>
      <c r="AW132" s="168" t="n">
        <f aca="false">EnergyCurve!AW132*2*2</f>
        <v>10.7754</v>
      </c>
      <c r="AX132" s="169" t="n">
        <f aca="false">EnergyCurve!AX132</f>
        <v>-0.6734625</v>
      </c>
      <c r="AY132" s="169" t="n">
        <f aca="false">AW132*1.25</f>
        <v>13.46925</v>
      </c>
      <c r="AZ132" s="167" t="n">
        <v>0</v>
      </c>
      <c r="BA132" s="74"/>
      <c r="BB132" s="135" t="n">
        <v>1400</v>
      </c>
      <c r="BC132" s="252" t="n">
        <v>1</v>
      </c>
      <c r="BD132" s="253" t="n">
        <v>1</v>
      </c>
      <c r="BE132" s="253" t="n">
        <v>1</v>
      </c>
      <c r="BF132" s="253" t="n">
        <v>1</v>
      </c>
      <c r="BG132" s="253" t="n">
        <v>1</v>
      </c>
      <c r="BH132" s="253" t="n">
        <v>1</v>
      </c>
      <c r="BI132" s="253" t="n">
        <v>1</v>
      </c>
      <c r="BJ132" s="253" t="n">
        <v>1</v>
      </c>
      <c r="BK132" s="253" t="n">
        <v>1</v>
      </c>
      <c r="BL132" s="253" t="n">
        <v>1</v>
      </c>
      <c r="BM132" s="253" t="n">
        <v>1</v>
      </c>
      <c r="BN132" s="254" t="n">
        <v>1</v>
      </c>
      <c r="BO132" s="251" t="str">
        <f aca="false">IF(AND(BB132&gt;=BC$116,BB132&lt;=BD$116),"1","2")</f>
        <v>1</v>
      </c>
      <c r="BQ132" s="108" t="n">
        <v>36907.7428240741</v>
      </c>
      <c r="BR132" s="109" t="n">
        <v>36907.7434490741</v>
      </c>
      <c r="BS132" s="110" t="n">
        <v>40118</v>
      </c>
      <c r="BT132" s="111" t="n">
        <v>0</v>
      </c>
      <c r="BU132" s="112" t="n">
        <v>0</v>
      </c>
      <c r="BV132" s="112" t="n">
        <v>0</v>
      </c>
      <c r="BW132" s="112" t="n">
        <v>0</v>
      </c>
      <c r="BX132" s="113" t="n">
        <v>0</v>
      </c>
      <c r="BZ132" s="110" t="n">
        <v>39904</v>
      </c>
      <c r="CA132" s="116" t="n">
        <v>28.7840003967285</v>
      </c>
      <c r="CB132" s="116" t="n">
        <v>0</v>
      </c>
      <c r="CC132" s="116" t="n">
        <v>0</v>
      </c>
      <c r="CD132" s="116" t="n">
        <v>0</v>
      </c>
      <c r="CE132" s="117" t="n">
        <v>0</v>
      </c>
    </row>
    <row r="133" customFormat="false" ht="12.75" hidden="false" customHeight="false" outlineLevel="0" collapsed="false">
      <c r="A133" s="0" t="n">
        <f aca="true">IF(ISERROR(MATCH(D133,iRefDt,0)),"",MATCH(D133,iRefDt,0))</f>
        <v>124</v>
      </c>
      <c r="B133" s="92" t="n">
        <f aca="false">MATCH(YEAR(D133),iSpreads)</f>
        <v>9</v>
      </c>
      <c r="C133" s="0" t="n">
        <f aca="false">MONTH(D133)</f>
        <v>5</v>
      </c>
      <c r="D133" s="93" t="n">
        <f aca="false">+EnergyCurve!D133</f>
        <v>39934</v>
      </c>
      <c r="E133" s="94" t="n">
        <f aca="false">VLOOKUP($D133,tblPriorPrice,2)</f>
        <v>33.0239982604981</v>
      </c>
      <c r="F133" s="95" t="n">
        <f aca="false">G133-E133</f>
        <v>1.73950195403449E-006</v>
      </c>
      <c r="G133" s="264" t="n">
        <f aca="false">IF(EnergyCurve!G133&lt;200,0.001*EnergyCurve!G133+1,1.2)*EnergyCurve!G133</f>
        <v>33.024</v>
      </c>
      <c r="H133" s="96" t="n">
        <f aca="false">IF(EnergyCurve!H133&lt;200,0.001*EnergyCurve!H133+1,1.2)*EnergyCurve!H133</f>
        <v>27.729</v>
      </c>
      <c r="I133" s="96" t="n">
        <f aca="false">IF(EnergyCurve!I133&lt;200,0.001*EnergyCurve!I133+1,1.2)*EnergyCurve!I133</f>
        <v>58.025</v>
      </c>
      <c r="J133" s="94" t="n">
        <f aca="false">VLOOKUP($D133,tblPriorPrice,3)</f>
        <v>0</v>
      </c>
      <c r="K133" s="95" t="n">
        <f aca="false">L133-J133</f>
        <v>0</v>
      </c>
      <c r="L133" s="264" t="n">
        <v>0</v>
      </c>
      <c r="M133" s="96" t="n">
        <f aca="false">L133</f>
        <v>0</v>
      </c>
      <c r="N133" s="96" t="n">
        <f aca="false">L133</f>
        <v>0</v>
      </c>
      <c r="O133" s="58" t="n">
        <f aca="true">IF($A133="",0,INDEX(tblPosn,$A133,2))</f>
        <v>0</v>
      </c>
      <c r="P133" s="59" t="n">
        <f aca="true">IF($A133="",0,INDEX(tblPosn,$A133,3))</f>
        <v>0</v>
      </c>
      <c r="Q133" s="59" t="n">
        <f aca="true">IF($A133="",0,INDEX(tblPosn,$A133,4))</f>
        <v>0</v>
      </c>
      <c r="R133" s="59" t="n">
        <f aca="true">IF($A133="",0,INDEX(tblPosn,$A133,5))</f>
        <v>0</v>
      </c>
      <c r="S133" s="59" t="n">
        <f aca="true">IF($A133="",0,INDEX(tblPosn,$A133,6))</f>
        <v>0</v>
      </c>
      <c r="T133" s="98" t="n">
        <f aca="false">O133*F133+P133*K133+R133*AC133+S133*AH133/0.72+Q133*X133</f>
        <v>0</v>
      </c>
      <c r="V133" s="161" t="n">
        <f aca="false">D133</f>
        <v>39934</v>
      </c>
      <c r="W133" s="94" t="n">
        <f aca="false">VLOOKUP($D133,tblPriorPrice,4)</f>
        <v>0</v>
      </c>
      <c r="X133" s="162"/>
      <c r="Y133" s="176" t="n">
        <f aca="false">L133</f>
        <v>0</v>
      </c>
      <c r="Z133" s="177" t="n">
        <f aca="false">Y133</f>
        <v>0</v>
      </c>
      <c r="AA133" s="177" t="n">
        <f aca="false">Y133</f>
        <v>0</v>
      </c>
      <c r="AB133" s="94" t="n">
        <f aca="false">VLOOKUP($D133,tblPriorPrice,5)</f>
        <v>0</v>
      </c>
      <c r="AC133" s="162"/>
      <c r="AD133" s="176" t="n">
        <f aca="false">L133</f>
        <v>0</v>
      </c>
      <c r="AE133" s="96" t="n">
        <f aca="false">AD133</f>
        <v>0</v>
      </c>
      <c r="AF133" s="97" t="n">
        <f aca="false">AD133</f>
        <v>0</v>
      </c>
      <c r="AG133" s="94" t="n">
        <f aca="false">VLOOKUP($D133,tblPriorPrice,6)</f>
        <v>0</v>
      </c>
      <c r="AH133" s="182"/>
      <c r="AI133" s="189" t="n">
        <f aca="false">AG133+AH133</f>
        <v>0</v>
      </c>
      <c r="AJ133" s="96" t="n">
        <f aca="false">AI133</f>
        <v>0</v>
      </c>
      <c r="AK133" s="97" t="n">
        <f aca="false">AI133</f>
        <v>0</v>
      </c>
      <c r="AL133" s="178" t="n">
        <v>34</v>
      </c>
      <c r="AM133" s="165" t="n">
        <v>0.4</v>
      </c>
      <c r="AN133" s="166" t="n">
        <f aca="false">EnergyCurve!AN133*2</f>
        <v>0.38</v>
      </c>
      <c r="AO133" s="166" t="n">
        <f aca="false">EnergyCurve!AO133</f>
        <v>0.171</v>
      </c>
      <c r="AP133" s="166" t="n">
        <f aca="false">AN133*1.25</f>
        <v>0.475</v>
      </c>
      <c r="AQ133" s="166" t="n">
        <f aca="false">EnergyCurve!AQ133*2</f>
        <v>0.38</v>
      </c>
      <c r="AR133" s="166" t="n">
        <f aca="false">EnergyCurve!AR133</f>
        <v>0.152</v>
      </c>
      <c r="AS133" s="166" t="n">
        <f aca="false">EnergyCurve!AS133*1.25</f>
        <v>0.285</v>
      </c>
      <c r="AT133" s="168" t="n">
        <f aca="false">EnergyCurve!AT133*2*2</f>
        <v>6.71448638739126</v>
      </c>
      <c r="AU133" s="169" t="n">
        <f aca="false">EnergyCurve!AU133</f>
        <v>-0.419655399211954</v>
      </c>
      <c r="AV133" s="169" t="n">
        <f aca="false">AT133*1.25</f>
        <v>8.39310798423907</v>
      </c>
      <c r="AW133" s="168" t="n">
        <f aca="false">EnergyCurve!AW133*2*2</f>
        <v>10.3986</v>
      </c>
      <c r="AX133" s="169" t="n">
        <f aca="false">EnergyCurve!AX133</f>
        <v>-0.6499125</v>
      </c>
      <c r="AY133" s="169" t="n">
        <f aca="false">AW133*1.25</f>
        <v>12.99825</v>
      </c>
      <c r="AZ133" s="167" t="n">
        <v>0</v>
      </c>
      <c r="BA133" s="74"/>
      <c r="BB133" s="135" t="n">
        <v>1500</v>
      </c>
      <c r="BC133" s="252" t="n">
        <v>1</v>
      </c>
      <c r="BD133" s="253" t="n">
        <v>1</v>
      </c>
      <c r="BE133" s="253" t="n">
        <v>1</v>
      </c>
      <c r="BF133" s="253" t="n">
        <v>1</v>
      </c>
      <c r="BG133" s="253" t="n">
        <v>1</v>
      </c>
      <c r="BH133" s="253" t="n">
        <v>1</v>
      </c>
      <c r="BI133" s="253" t="n">
        <v>1</v>
      </c>
      <c r="BJ133" s="253" t="n">
        <v>1</v>
      </c>
      <c r="BK133" s="253" t="n">
        <v>1</v>
      </c>
      <c r="BL133" s="253" t="n">
        <v>1</v>
      </c>
      <c r="BM133" s="253" t="n">
        <v>1</v>
      </c>
      <c r="BN133" s="254" t="n">
        <v>1</v>
      </c>
      <c r="BO133" s="251" t="str">
        <f aca="false">IF(AND(BB133&gt;=BC$116,BB133&lt;=BD$116),"1","2")</f>
        <v>1</v>
      </c>
      <c r="BQ133" s="108" t="n">
        <v>36907.7428240741</v>
      </c>
      <c r="BR133" s="109" t="n">
        <v>36907.7434490741</v>
      </c>
      <c r="BS133" s="110" t="n">
        <v>40148</v>
      </c>
      <c r="BT133" s="111" t="n">
        <v>0</v>
      </c>
      <c r="BU133" s="112" t="n">
        <v>0</v>
      </c>
      <c r="BV133" s="112" t="n">
        <v>0</v>
      </c>
      <c r="BW133" s="112" t="n">
        <v>0</v>
      </c>
      <c r="BX133" s="113" t="n">
        <v>0</v>
      </c>
      <c r="BZ133" s="110" t="n">
        <v>39934</v>
      </c>
      <c r="CA133" s="116" t="n">
        <v>33.0239982604981</v>
      </c>
      <c r="CB133" s="116" t="n">
        <v>0</v>
      </c>
      <c r="CC133" s="116" t="n">
        <v>0</v>
      </c>
      <c r="CD133" s="116" t="n">
        <v>0</v>
      </c>
      <c r="CE133" s="117" t="n">
        <v>0</v>
      </c>
    </row>
    <row r="134" customFormat="false" ht="12.75" hidden="false" customHeight="false" outlineLevel="0" collapsed="false">
      <c r="A134" s="0" t="n">
        <f aca="true">IF(ISERROR(MATCH(D134,iRefDt,0)),"",MATCH(D134,iRefDt,0))</f>
        <v>125</v>
      </c>
      <c r="B134" s="92" t="n">
        <f aca="false">MATCH(YEAR(D134),iSpreads)</f>
        <v>9</v>
      </c>
      <c r="C134" s="0" t="n">
        <f aca="false">MONTH(D134)</f>
        <v>6</v>
      </c>
      <c r="D134" s="93" t="n">
        <f aca="false">+EnergyCurve!D134</f>
        <v>39965</v>
      </c>
      <c r="E134" s="94" t="n">
        <f aca="false">VLOOKUP($D134,tblPriorPrice,2)</f>
        <v>39.4440002441406</v>
      </c>
      <c r="F134" s="95" t="n">
        <f aca="false">G134-E134</f>
        <v>-2.44140622385203E-007</v>
      </c>
      <c r="G134" s="264" t="n">
        <f aca="false">IF(EnergyCurve!G134&lt;200,0.001*EnergyCurve!G134+1,1.2)*EnergyCurve!G134</f>
        <v>39.444</v>
      </c>
      <c r="H134" s="96" t="n">
        <f aca="false">IF(EnergyCurve!H134&lt;200,0.001*EnergyCurve!H134+1,1.2)*EnergyCurve!H134</f>
        <v>34.089</v>
      </c>
      <c r="I134" s="96" t="n">
        <f aca="false">IF(EnergyCurve!I134&lt;200,0.001*EnergyCurve!I134+1,1.2)*EnergyCurve!I134</f>
        <v>64.721</v>
      </c>
      <c r="J134" s="94" t="n">
        <f aca="false">VLOOKUP($D134,tblPriorPrice,3)</f>
        <v>0</v>
      </c>
      <c r="K134" s="95" t="n">
        <f aca="false">L134-J134</f>
        <v>0</v>
      </c>
      <c r="L134" s="264" t="n">
        <v>0</v>
      </c>
      <c r="M134" s="96" t="n">
        <f aca="false">L134</f>
        <v>0</v>
      </c>
      <c r="N134" s="96" t="n">
        <f aca="false">L134</f>
        <v>0</v>
      </c>
      <c r="O134" s="58" t="n">
        <f aca="true">IF($A134="",0,INDEX(tblPosn,$A134,2))</f>
        <v>0</v>
      </c>
      <c r="P134" s="59" t="n">
        <f aca="true">IF($A134="",0,INDEX(tblPosn,$A134,3))</f>
        <v>0</v>
      </c>
      <c r="Q134" s="59" t="n">
        <f aca="true">IF($A134="",0,INDEX(tblPosn,$A134,4))</f>
        <v>0</v>
      </c>
      <c r="R134" s="59" t="n">
        <f aca="true">IF($A134="",0,INDEX(tblPosn,$A134,5))</f>
        <v>0</v>
      </c>
      <c r="S134" s="59" t="n">
        <f aca="true">IF($A134="",0,INDEX(tblPosn,$A134,6))</f>
        <v>0</v>
      </c>
      <c r="T134" s="98" t="n">
        <f aca="false">O134*F134+P134*K134+R134*AC134+S134*AH134/0.72+Q134*X134</f>
        <v>0</v>
      </c>
      <c r="V134" s="161" t="n">
        <f aca="false">D134</f>
        <v>39965</v>
      </c>
      <c r="W134" s="94" t="n">
        <f aca="false">VLOOKUP($D134,tblPriorPrice,4)</f>
        <v>0</v>
      </c>
      <c r="X134" s="162"/>
      <c r="Y134" s="176" t="n">
        <f aca="false">L134</f>
        <v>0</v>
      </c>
      <c r="Z134" s="177" t="n">
        <f aca="false">Y134</f>
        <v>0</v>
      </c>
      <c r="AA134" s="177" t="n">
        <f aca="false">Y134</f>
        <v>0</v>
      </c>
      <c r="AB134" s="94" t="n">
        <f aca="false">VLOOKUP($D134,tblPriorPrice,5)</f>
        <v>0</v>
      </c>
      <c r="AC134" s="162"/>
      <c r="AD134" s="176" t="n">
        <f aca="false">L134</f>
        <v>0</v>
      </c>
      <c r="AE134" s="96" t="n">
        <f aca="false">AD134</f>
        <v>0</v>
      </c>
      <c r="AF134" s="97" t="n">
        <f aca="false">AD134</f>
        <v>0</v>
      </c>
      <c r="AG134" s="94" t="n">
        <f aca="false">VLOOKUP($D134,tblPriorPrice,6)</f>
        <v>0</v>
      </c>
      <c r="AH134" s="182"/>
      <c r="AI134" s="189" t="n">
        <f aca="false">AG134+AH134</f>
        <v>0</v>
      </c>
      <c r="AJ134" s="96" t="n">
        <f aca="false">AI134</f>
        <v>0</v>
      </c>
      <c r="AK134" s="97" t="n">
        <f aca="false">AI134</f>
        <v>0</v>
      </c>
      <c r="AL134" s="178" t="n">
        <v>34</v>
      </c>
      <c r="AM134" s="165" t="n">
        <v>0.4</v>
      </c>
      <c r="AN134" s="166" t="n">
        <f aca="false">EnergyCurve!AN134*2</f>
        <v>0.38</v>
      </c>
      <c r="AO134" s="166" t="n">
        <f aca="false">EnergyCurve!AO134</f>
        <v>0.171</v>
      </c>
      <c r="AP134" s="166" t="n">
        <f aca="false">AN134*1.25</f>
        <v>0.475</v>
      </c>
      <c r="AQ134" s="166" t="n">
        <f aca="false">EnergyCurve!AQ134*2</f>
        <v>0.38</v>
      </c>
      <c r="AR134" s="166" t="n">
        <f aca="false">EnergyCurve!AR134</f>
        <v>0.152</v>
      </c>
      <c r="AS134" s="166" t="n">
        <f aca="false">EnergyCurve!AS134*1.25</f>
        <v>0.285</v>
      </c>
      <c r="AT134" s="168" t="n">
        <f aca="false">EnergyCurve!AT134*2*2</f>
        <v>8.00869790580275</v>
      </c>
      <c r="AU134" s="169" t="n">
        <f aca="false">EnergyCurve!AU134</f>
        <v>-0.500543619112672</v>
      </c>
      <c r="AV134" s="169" t="n">
        <f aca="false">AT134*1.25</f>
        <v>10.0108723822534</v>
      </c>
      <c r="AW134" s="168" t="n">
        <f aca="false">EnergyCurve!AW134*2*2</f>
        <v>9.8334</v>
      </c>
      <c r="AX134" s="169" t="n">
        <f aca="false">EnergyCurve!AX134</f>
        <v>-0.6145875</v>
      </c>
      <c r="AY134" s="169" t="n">
        <f aca="false">AW134*1.25</f>
        <v>12.29175</v>
      </c>
      <c r="AZ134" s="167" t="n">
        <v>0</v>
      </c>
      <c r="BA134" s="74"/>
      <c r="BB134" s="135" t="n">
        <v>1600</v>
      </c>
      <c r="BC134" s="252" t="n">
        <v>1</v>
      </c>
      <c r="BD134" s="253" t="n">
        <v>1</v>
      </c>
      <c r="BE134" s="253" t="n">
        <v>1</v>
      </c>
      <c r="BF134" s="253" t="n">
        <v>1</v>
      </c>
      <c r="BG134" s="253" t="n">
        <v>1</v>
      </c>
      <c r="BH134" s="253" t="n">
        <v>1</v>
      </c>
      <c r="BI134" s="253" t="n">
        <v>1</v>
      </c>
      <c r="BJ134" s="253" t="n">
        <v>1</v>
      </c>
      <c r="BK134" s="253" t="n">
        <v>1</v>
      </c>
      <c r="BL134" s="253" t="n">
        <v>1</v>
      </c>
      <c r="BM134" s="253" t="n">
        <v>1</v>
      </c>
      <c r="BN134" s="254" t="n">
        <v>1</v>
      </c>
      <c r="BO134" s="251" t="str">
        <f aca="false">IF(AND(BB134&gt;=BC$116,BB134&lt;=BD$116),"1","2")</f>
        <v>1</v>
      </c>
      <c r="BQ134" s="108" t="n">
        <v>36907.7428240741</v>
      </c>
      <c r="BR134" s="109" t="n">
        <v>36907.7434490741</v>
      </c>
      <c r="BS134" s="110" t="n">
        <v>40179</v>
      </c>
      <c r="BT134" s="111" t="n">
        <v>0</v>
      </c>
      <c r="BU134" s="112" t="n">
        <v>0</v>
      </c>
      <c r="BV134" s="112" t="n">
        <v>0</v>
      </c>
      <c r="BW134" s="112" t="n">
        <v>0</v>
      </c>
      <c r="BX134" s="113" t="n">
        <v>0</v>
      </c>
      <c r="BZ134" s="110" t="n">
        <v>39965</v>
      </c>
      <c r="CA134" s="116" t="n">
        <v>39.4440002441406</v>
      </c>
      <c r="CB134" s="116" t="n">
        <v>0</v>
      </c>
      <c r="CC134" s="116" t="n">
        <v>0</v>
      </c>
      <c r="CD134" s="116" t="n">
        <v>0</v>
      </c>
      <c r="CE134" s="117" t="n">
        <v>0</v>
      </c>
    </row>
    <row r="135" customFormat="false" ht="12.75" hidden="false" customHeight="false" outlineLevel="0" collapsed="false">
      <c r="A135" s="0" t="n">
        <f aca="true">IF(ISERROR(MATCH(D135,iRefDt,0)),"",MATCH(D135,iRefDt,0))</f>
        <v>126</v>
      </c>
      <c r="B135" s="92" t="n">
        <f aca="false">MATCH(YEAR(D135),iSpreads)</f>
        <v>9</v>
      </c>
      <c r="C135" s="0" t="n">
        <f aca="false">MONTH(D135)</f>
        <v>7</v>
      </c>
      <c r="D135" s="93" t="n">
        <f aca="false">+EnergyCurve!D135</f>
        <v>39995</v>
      </c>
      <c r="E135" s="94" t="n">
        <f aca="false">VLOOKUP($D135,tblPriorPrice,2)</f>
        <v>39.4440002441406</v>
      </c>
      <c r="F135" s="95" t="n">
        <f aca="false">G135-E135</f>
        <v>-2.44140622385203E-007</v>
      </c>
      <c r="G135" s="264" t="n">
        <f aca="false">IF(EnergyCurve!G135&lt;200,0.001*EnergyCurve!G135+1,1.2)*EnergyCurve!G135</f>
        <v>39.444</v>
      </c>
      <c r="H135" s="96" t="n">
        <f aca="false">IF(EnergyCurve!H135&lt;200,0.001*EnergyCurve!H135+1,1.2)*EnergyCurve!H135</f>
        <v>34.089</v>
      </c>
      <c r="I135" s="96" t="n">
        <f aca="false">IF(EnergyCurve!I135&lt;200,0.001*EnergyCurve!I135+1,1.2)*EnergyCurve!I135</f>
        <v>64.721</v>
      </c>
      <c r="J135" s="94" t="n">
        <f aca="false">VLOOKUP($D135,tblPriorPrice,3)</f>
        <v>0</v>
      </c>
      <c r="K135" s="95" t="n">
        <f aca="false">L135-J135</f>
        <v>0</v>
      </c>
      <c r="L135" s="264" t="n">
        <v>0</v>
      </c>
      <c r="M135" s="96" t="n">
        <f aca="false">L135</f>
        <v>0</v>
      </c>
      <c r="N135" s="96" t="n">
        <f aca="false">L135</f>
        <v>0</v>
      </c>
      <c r="O135" s="58" t="n">
        <f aca="true">IF($A135="",0,INDEX(tblPosn,$A135,2))</f>
        <v>0</v>
      </c>
      <c r="P135" s="59" t="n">
        <f aca="true">IF($A135="",0,INDEX(tblPosn,$A135,3))</f>
        <v>0</v>
      </c>
      <c r="Q135" s="59" t="n">
        <f aca="true">IF($A135="",0,INDEX(tblPosn,$A135,4))</f>
        <v>0</v>
      </c>
      <c r="R135" s="59" t="n">
        <f aca="true">IF($A135="",0,INDEX(tblPosn,$A135,5))</f>
        <v>0</v>
      </c>
      <c r="S135" s="59" t="n">
        <f aca="true">IF($A135="",0,INDEX(tblPosn,$A135,6))</f>
        <v>0</v>
      </c>
      <c r="T135" s="98" t="n">
        <f aca="false">O135*F135+P135*K135+R135*AC135+S135*AH135/0.72+Q135*X135</f>
        <v>0</v>
      </c>
      <c r="V135" s="161" t="n">
        <f aca="false">D135</f>
        <v>39995</v>
      </c>
      <c r="W135" s="94" t="n">
        <f aca="false">VLOOKUP($D135,tblPriorPrice,4)</f>
        <v>0</v>
      </c>
      <c r="X135" s="162"/>
      <c r="Y135" s="176" t="n">
        <f aca="false">L135</f>
        <v>0</v>
      </c>
      <c r="Z135" s="177" t="n">
        <f aca="false">Y135</f>
        <v>0</v>
      </c>
      <c r="AA135" s="177" t="n">
        <f aca="false">Y135</f>
        <v>0</v>
      </c>
      <c r="AB135" s="94" t="n">
        <f aca="false">VLOOKUP($D135,tblPriorPrice,5)</f>
        <v>0</v>
      </c>
      <c r="AC135" s="162"/>
      <c r="AD135" s="176" t="n">
        <f aca="false">L135</f>
        <v>0</v>
      </c>
      <c r="AE135" s="96" t="n">
        <f aca="false">AD135</f>
        <v>0</v>
      </c>
      <c r="AF135" s="97" t="n">
        <f aca="false">AD135</f>
        <v>0</v>
      </c>
      <c r="AG135" s="94" t="n">
        <f aca="false">VLOOKUP($D135,tblPriorPrice,6)</f>
        <v>0</v>
      </c>
      <c r="AH135" s="182"/>
      <c r="AI135" s="189" t="n">
        <f aca="false">AG135+AH135</f>
        <v>0</v>
      </c>
      <c r="AJ135" s="96" t="n">
        <f aca="false">AI135</f>
        <v>0</v>
      </c>
      <c r="AK135" s="97" t="n">
        <f aca="false">AI135</f>
        <v>0</v>
      </c>
      <c r="AL135" s="178" t="n">
        <v>35</v>
      </c>
      <c r="AM135" s="165" t="n">
        <v>0.4</v>
      </c>
      <c r="AN135" s="166" t="n">
        <f aca="false">EnergyCurve!AN135*2</f>
        <v>0.38</v>
      </c>
      <c r="AO135" s="166" t="n">
        <f aca="false">EnergyCurve!AO135</f>
        <v>0.171</v>
      </c>
      <c r="AP135" s="166" t="n">
        <f aca="false">AN135*1.25</f>
        <v>0.475</v>
      </c>
      <c r="AQ135" s="166" t="n">
        <f aca="false">EnergyCurve!AQ135*2</f>
        <v>0.38</v>
      </c>
      <c r="AR135" s="166" t="n">
        <f aca="false">EnergyCurve!AR135</f>
        <v>0.152</v>
      </c>
      <c r="AS135" s="166" t="n">
        <f aca="false">EnergyCurve!AS135*1.25</f>
        <v>0.285</v>
      </c>
      <c r="AT135" s="168" t="n">
        <f aca="false">EnergyCurve!AT135*2*2</f>
        <v>8.00869790580275</v>
      </c>
      <c r="AU135" s="169" t="n">
        <f aca="false">EnergyCurve!AU135</f>
        <v>-0.500543619112672</v>
      </c>
      <c r="AV135" s="169" t="n">
        <f aca="false">AT135*1.25</f>
        <v>10.0108723822534</v>
      </c>
      <c r="AW135" s="168" t="n">
        <f aca="false">EnergyCurve!AW135*2*2</f>
        <v>9.8334</v>
      </c>
      <c r="AX135" s="169" t="n">
        <f aca="false">EnergyCurve!AX135</f>
        <v>-0.6145875</v>
      </c>
      <c r="AY135" s="169" t="n">
        <f aca="false">AW135*1.25</f>
        <v>12.29175</v>
      </c>
      <c r="AZ135" s="167" t="n">
        <v>0</v>
      </c>
      <c r="BA135" s="74"/>
      <c r="BB135" s="135" t="n">
        <v>1700</v>
      </c>
      <c r="BC135" s="252" t="n">
        <v>1</v>
      </c>
      <c r="BD135" s="253" t="n">
        <v>1</v>
      </c>
      <c r="BE135" s="253" t="n">
        <v>1</v>
      </c>
      <c r="BF135" s="253" t="n">
        <v>1</v>
      </c>
      <c r="BG135" s="253" t="n">
        <v>1</v>
      </c>
      <c r="BH135" s="253" t="n">
        <v>1</v>
      </c>
      <c r="BI135" s="253" t="n">
        <v>1</v>
      </c>
      <c r="BJ135" s="253" t="n">
        <v>1</v>
      </c>
      <c r="BK135" s="253" t="n">
        <v>1</v>
      </c>
      <c r="BL135" s="253" t="n">
        <v>1</v>
      </c>
      <c r="BM135" s="253" t="n">
        <v>1</v>
      </c>
      <c r="BN135" s="254" t="n">
        <v>1</v>
      </c>
      <c r="BO135" s="251" t="str">
        <f aca="false">IF(AND(BB135&gt;=BC$116,BB135&lt;=BD$116),"1","2")</f>
        <v>1</v>
      </c>
      <c r="BQ135" s="108" t="n">
        <v>36907.7428240741</v>
      </c>
      <c r="BR135" s="109" t="n">
        <v>36907.7434490741</v>
      </c>
      <c r="BS135" s="110" t="n">
        <v>40210</v>
      </c>
      <c r="BT135" s="111" t="n">
        <v>0</v>
      </c>
      <c r="BU135" s="112" t="n">
        <v>0</v>
      </c>
      <c r="BV135" s="112" t="n">
        <v>0</v>
      </c>
      <c r="BW135" s="112" t="n">
        <v>0</v>
      </c>
      <c r="BX135" s="113" t="n">
        <v>0</v>
      </c>
      <c r="BZ135" s="110" t="n">
        <v>39995</v>
      </c>
      <c r="CA135" s="116" t="n">
        <v>39.4440002441406</v>
      </c>
      <c r="CB135" s="116" t="n">
        <v>0</v>
      </c>
      <c r="CC135" s="116" t="n">
        <v>0</v>
      </c>
      <c r="CD135" s="116" t="n">
        <v>0</v>
      </c>
      <c r="CE135" s="117" t="n">
        <v>0</v>
      </c>
    </row>
    <row r="136" customFormat="false" ht="12.75" hidden="false" customHeight="false" outlineLevel="0" collapsed="false">
      <c r="A136" s="0" t="n">
        <f aca="true">IF(ISERROR(MATCH(D136,iRefDt,0)),"",MATCH(D136,iRefDt,0))</f>
        <v>127</v>
      </c>
      <c r="B136" s="92" t="n">
        <f aca="false">MATCH(YEAR(D136),iSpreads)</f>
        <v>9</v>
      </c>
      <c r="C136" s="0" t="n">
        <f aca="false">MONTH(D136)</f>
        <v>8</v>
      </c>
      <c r="D136" s="93" t="n">
        <f aca="false">+EnergyCurve!D136</f>
        <v>40026</v>
      </c>
      <c r="E136" s="94" t="n">
        <f aca="false">VLOOKUP($D136,tblPriorPrice,2)</f>
        <v>41.5999984741211</v>
      </c>
      <c r="F136" s="95" t="n">
        <f aca="false">G136-E136</f>
        <v>1.52587890767109E-006</v>
      </c>
      <c r="G136" s="264" t="n">
        <f aca="false">IF(EnergyCurve!G136&lt;200,0.001*EnergyCurve!G136+1,1.2)*EnergyCurve!G136</f>
        <v>41.6</v>
      </c>
      <c r="H136" s="96" t="n">
        <f aca="false">IF(EnergyCurve!H136&lt;200,0.001*EnergyCurve!H136+1,1.2)*EnergyCurve!H136</f>
        <v>36.225</v>
      </c>
      <c r="I136" s="96" t="n">
        <f aca="false">IF(EnergyCurve!I136&lt;200,0.001*EnergyCurve!I136+1,1.2)*EnergyCurve!I136</f>
        <v>66.969</v>
      </c>
      <c r="J136" s="94" t="n">
        <f aca="false">VLOOKUP($D136,tblPriorPrice,3)</f>
        <v>0</v>
      </c>
      <c r="K136" s="95" t="n">
        <f aca="false">L136-J136</f>
        <v>0</v>
      </c>
      <c r="L136" s="264" t="n">
        <v>0</v>
      </c>
      <c r="M136" s="96" t="n">
        <f aca="false">L136</f>
        <v>0</v>
      </c>
      <c r="N136" s="96" t="n">
        <f aca="false">L136</f>
        <v>0</v>
      </c>
      <c r="O136" s="58" t="n">
        <f aca="true">IF($A136="",0,INDEX(tblPosn,$A136,2))</f>
        <v>0</v>
      </c>
      <c r="P136" s="59" t="n">
        <f aca="true">IF($A136="",0,INDEX(tblPosn,$A136,3))</f>
        <v>0</v>
      </c>
      <c r="Q136" s="59" t="n">
        <f aca="true">IF($A136="",0,INDEX(tblPosn,$A136,4))</f>
        <v>0</v>
      </c>
      <c r="R136" s="59" t="n">
        <f aca="true">IF($A136="",0,INDEX(tblPosn,$A136,5))</f>
        <v>0</v>
      </c>
      <c r="S136" s="59" t="n">
        <f aca="true">IF($A136="",0,INDEX(tblPosn,$A136,6))</f>
        <v>0</v>
      </c>
      <c r="T136" s="98" t="n">
        <f aca="false">O136*F136+P136*K136+R136*AC136+S136*AH136/0.72+Q136*X136</f>
        <v>0</v>
      </c>
      <c r="V136" s="161" t="n">
        <f aca="false">D136</f>
        <v>40026</v>
      </c>
      <c r="W136" s="94" t="n">
        <f aca="false">VLOOKUP($D136,tblPriorPrice,4)</f>
        <v>0</v>
      </c>
      <c r="X136" s="162"/>
      <c r="Y136" s="176" t="n">
        <f aca="false">L136</f>
        <v>0</v>
      </c>
      <c r="Z136" s="177" t="n">
        <f aca="false">Y136</f>
        <v>0</v>
      </c>
      <c r="AA136" s="177" t="n">
        <f aca="false">Y136</f>
        <v>0</v>
      </c>
      <c r="AB136" s="94" t="n">
        <f aca="false">VLOOKUP($D136,tblPriorPrice,5)</f>
        <v>0</v>
      </c>
      <c r="AC136" s="162"/>
      <c r="AD136" s="176" t="n">
        <f aca="false">L136</f>
        <v>0</v>
      </c>
      <c r="AE136" s="96" t="n">
        <f aca="false">AD136</f>
        <v>0</v>
      </c>
      <c r="AF136" s="97" t="n">
        <f aca="false">AD136</f>
        <v>0</v>
      </c>
      <c r="AG136" s="94" t="n">
        <f aca="false">VLOOKUP($D136,tblPriorPrice,6)</f>
        <v>0</v>
      </c>
      <c r="AH136" s="182"/>
      <c r="AI136" s="189" t="n">
        <f aca="false">AG136+AH136</f>
        <v>0</v>
      </c>
      <c r="AJ136" s="96" t="n">
        <f aca="false">AI136</f>
        <v>0</v>
      </c>
      <c r="AK136" s="97" t="n">
        <f aca="false">AI136</f>
        <v>0</v>
      </c>
      <c r="AL136" s="178" t="n">
        <v>35</v>
      </c>
      <c r="AM136" s="165" t="n">
        <v>0.4</v>
      </c>
      <c r="AN136" s="166" t="n">
        <f aca="false">EnergyCurve!AN136*2</f>
        <v>0.38</v>
      </c>
      <c r="AO136" s="166" t="n">
        <f aca="false">EnergyCurve!AO136</f>
        <v>0.171</v>
      </c>
      <c r="AP136" s="166" t="n">
        <f aca="false">AN136*1.25</f>
        <v>0.475</v>
      </c>
      <c r="AQ136" s="166" t="n">
        <f aca="false">EnergyCurve!AQ136*2</f>
        <v>0.38</v>
      </c>
      <c r="AR136" s="166" t="n">
        <f aca="false">EnergyCurve!AR136</f>
        <v>0.152</v>
      </c>
      <c r="AS136" s="166" t="n">
        <f aca="false">EnergyCurve!AS136*1.25</f>
        <v>0.285</v>
      </c>
      <c r="AT136" s="168" t="n">
        <f aca="false">EnergyCurve!AT136*2*2</f>
        <v>8.54899422815716</v>
      </c>
      <c r="AU136" s="169" t="n">
        <f aca="false">EnergyCurve!AU136</f>
        <v>-0.534312139259822</v>
      </c>
      <c r="AV136" s="169" t="n">
        <f aca="false">AT136*1.25</f>
        <v>10.6862427851964</v>
      </c>
      <c r="AW136" s="168" t="n">
        <f aca="false">EnergyCurve!AW136*2*2</f>
        <v>9.645</v>
      </c>
      <c r="AX136" s="169" t="n">
        <f aca="false">EnergyCurve!AX136</f>
        <v>-0.6028125</v>
      </c>
      <c r="AY136" s="169" t="n">
        <f aca="false">AW136*1.25</f>
        <v>12.05625</v>
      </c>
      <c r="AZ136" s="167" t="n">
        <v>0</v>
      </c>
      <c r="BA136" s="74"/>
      <c r="BB136" s="135" t="n">
        <v>1800</v>
      </c>
      <c r="BC136" s="252" t="n">
        <v>1</v>
      </c>
      <c r="BD136" s="253" t="n">
        <v>1</v>
      </c>
      <c r="BE136" s="253" t="n">
        <v>1</v>
      </c>
      <c r="BF136" s="253" t="n">
        <v>1</v>
      </c>
      <c r="BG136" s="253" t="n">
        <v>1</v>
      </c>
      <c r="BH136" s="253" t="n">
        <v>1</v>
      </c>
      <c r="BI136" s="253" t="n">
        <v>1</v>
      </c>
      <c r="BJ136" s="253" t="n">
        <v>1</v>
      </c>
      <c r="BK136" s="253" t="n">
        <v>1</v>
      </c>
      <c r="BL136" s="253" t="n">
        <v>1</v>
      </c>
      <c r="BM136" s="253" t="n">
        <v>1</v>
      </c>
      <c r="BN136" s="254" t="n">
        <v>1</v>
      </c>
      <c r="BO136" s="251" t="str">
        <f aca="false">IF(AND(BB136&gt;=BC$116,BB136&lt;=BD$116),"1","2")</f>
        <v>1</v>
      </c>
      <c r="BQ136" s="108" t="n">
        <v>36907.7428240741</v>
      </c>
      <c r="BR136" s="109" t="n">
        <v>36907.7434490741</v>
      </c>
      <c r="BS136" s="110" t="n">
        <v>40238</v>
      </c>
      <c r="BT136" s="111" t="n">
        <v>0</v>
      </c>
      <c r="BU136" s="112" t="n">
        <v>0</v>
      </c>
      <c r="BV136" s="112" t="n">
        <v>0</v>
      </c>
      <c r="BW136" s="112" t="n">
        <v>0</v>
      </c>
      <c r="BX136" s="113" t="n">
        <v>0</v>
      </c>
      <c r="BZ136" s="110" t="n">
        <v>40026</v>
      </c>
      <c r="CA136" s="116" t="n">
        <v>41.5999984741211</v>
      </c>
      <c r="CB136" s="116" t="n">
        <v>0</v>
      </c>
      <c r="CC136" s="116" t="n">
        <v>0</v>
      </c>
      <c r="CD136" s="116" t="n">
        <v>0</v>
      </c>
      <c r="CE136" s="117" t="n">
        <v>0</v>
      </c>
    </row>
    <row r="137" customFormat="false" ht="12.75" hidden="false" customHeight="false" outlineLevel="0" collapsed="false">
      <c r="A137" s="0" t="n">
        <f aca="true">IF(ISERROR(MATCH(D137,iRefDt,0)),"",MATCH(D137,iRefDt,0))</f>
        <v>128</v>
      </c>
      <c r="B137" s="92" t="n">
        <f aca="false">MATCH(YEAR(D137),iSpreads)</f>
        <v>9</v>
      </c>
      <c r="C137" s="0" t="n">
        <f aca="false">MONTH(D137)</f>
        <v>9</v>
      </c>
      <c r="D137" s="93" t="n">
        <f aca="false">+EnergyCurve!D137</f>
        <v>40057</v>
      </c>
      <c r="E137" s="94" t="n">
        <f aca="false">VLOOKUP($D137,tblPriorPrice,2)</f>
        <v>35.1559982299805</v>
      </c>
      <c r="F137" s="95" t="n">
        <f aca="false">G137-E137</f>
        <v>1.77001953005629E-006</v>
      </c>
      <c r="G137" s="264" t="n">
        <f aca="false">IF(EnergyCurve!G137&lt;200,0.001*EnergyCurve!G137+1,1.2)*EnergyCurve!G137</f>
        <v>35.156</v>
      </c>
      <c r="H137" s="96" t="n">
        <f aca="false">IF(EnergyCurve!H137&lt;200,0.001*EnergyCurve!H137+1,1.2)*EnergyCurve!H137</f>
        <v>29.841</v>
      </c>
      <c r="I137" s="96" t="n">
        <f aca="false">IF(EnergyCurve!I137&lt;200,0.001*EnergyCurve!I137+1,1.2)*EnergyCurve!I137</f>
        <v>60.249</v>
      </c>
      <c r="J137" s="94" t="n">
        <f aca="false">VLOOKUP($D137,tblPriorPrice,3)</f>
        <v>0</v>
      </c>
      <c r="K137" s="95" t="n">
        <f aca="false">L137-J137</f>
        <v>0</v>
      </c>
      <c r="L137" s="264" t="n">
        <v>0</v>
      </c>
      <c r="M137" s="96" t="n">
        <f aca="false">L137</f>
        <v>0</v>
      </c>
      <c r="N137" s="96" t="n">
        <f aca="false">L137</f>
        <v>0</v>
      </c>
      <c r="O137" s="58" t="n">
        <f aca="true">IF($A137="",0,INDEX(tblPosn,$A137,2))</f>
        <v>0</v>
      </c>
      <c r="P137" s="59" t="n">
        <f aca="true">IF($A137="",0,INDEX(tblPosn,$A137,3))</f>
        <v>0</v>
      </c>
      <c r="Q137" s="59" t="n">
        <f aca="true">IF($A137="",0,INDEX(tblPosn,$A137,4))</f>
        <v>0</v>
      </c>
      <c r="R137" s="59" t="n">
        <f aca="true">IF($A137="",0,INDEX(tblPosn,$A137,5))</f>
        <v>0</v>
      </c>
      <c r="S137" s="59" t="n">
        <f aca="true">IF($A137="",0,INDEX(tblPosn,$A137,6))</f>
        <v>0</v>
      </c>
      <c r="T137" s="98" t="n">
        <f aca="false">O137*F137+P137*K137+R137*AC137+S137*AH137/0.72+Q137*X137</f>
        <v>0</v>
      </c>
      <c r="V137" s="161" t="n">
        <f aca="false">D137</f>
        <v>40057</v>
      </c>
      <c r="W137" s="94" t="n">
        <f aca="false">VLOOKUP($D137,tblPriorPrice,4)</f>
        <v>0</v>
      </c>
      <c r="X137" s="162"/>
      <c r="Y137" s="176" t="n">
        <f aca="false">L137</f>
        <v>0</v>
      </c>
      <c r="Z137" s="177" t="n">
        <f aca="false">Y137</f>
        <v>0</v>
      </c>
      <c r="AA137" s="177" t="n">
        <f aca="false">Y137</f>
        <v>0</v>
      </c>
      <c r="AB137" s="94" t="n">
        <f aca="false">VLOOKUP($D137,tblPriorPrice,5)</f>
        <v>0</v>
      </c>
      <c r="AC137" s="162"/>
      <c r="AD137" s="176" t="n">
        <f aca="false">L137</f>
        <v>0</v>
      </c>
      <c r="AE137" s="96" t="n">
        <f aca="false">AD137</f>
        <v>0</v>
      </c>
      <c r="AF137" s="97" t="n">
        <f aca="false">AD137</f>
        <v>0</v>
      </c>
      <c r="AG137" s="94" t="n">
        <f aca="false">VLOOKUP($D137,tblPriorPrice,6)</f>
        <v>0</v>
      </c>
      <c r="AH137" s="182"/>
      <c r="AI137" s="189" t="n">
        <f aca="false">AG137+AH137</f>
        <v>0</v>
      </c>
      <c r="AJ137" s="96" t="n">
        <f aca="false">AI137</f>
        <v>0</v>
      </c>
      <c r="AK137" s="97" t="n">
        <f aca="false">AI137</f>
        <v>0</v>
      </c>
      <c r="AL137" s="178" t="n">
        <v>35</v>
      </c>
      <c r="AM137" s="165" t="n">
        <v>0.4</v>
      </c>
      <c r="AN137" s="166" t="n">
        <f aca="false">EnergyCurve!AN137*2</f>
        <v>0.38</v>
      </c>
      <c r="AO137" s="166" t="n">
        <f aca="false">EnergyCurve!AO137</f>
        <v>0.171</v>
      </c>
      <c r="AP137" s="166" t="n">
        <f aca="false">AN137*1.25</f>
        <v>0.475</v>
      </c>
      <c r="AQ137" s="166" t="n">
        <f aca="false">EnergyCurve!AQ137*2</f>
        <v>0.38</v>
      </c>
      <c r="AR137" s="166" t="n">
        <f aca="false">EnergyCurve!AR137</f>
        <v>0.152</v>
      </c>
      <c r="AS137" s="166" t="n">
        <f aca="false">EnergyCurve!AS137*1.25</f>
        <v>0.285</v>
      </c>
      <c r="AT137" s="168" t="n">
        <f aca="false">EnergyCurve!AT137*2*2</f>
        <v>7.08032482171168</v>
      </c>
      <c r="AU137" s="169" t="n">
        <f aca="false">EnergyCurve!AU137</f>
        <v>-0.44252030135698</v>
      </c>
      <c r="AV137" s="169" t="n">
        <f aca="false">AT137*1.25</f>
        <v>8.8504060271396</v>
      </c>
      <c r="AW137" s="168" t="n">
        <f aca="false">EnergyCurve!AW137*2*2</f>
        <v>10.2102</v>
      </c>
      <c r="AX137" s="169" t="n">
        <f aca="false">EnergyCurve!AX137</f>
        <v>-0.6381375</v>
      </c>
      <c r="AY137" s="169" t="n">
        <f aca="false">AW137*1.25</f>
        <v>12.76275</v>
      </c>
      <c r="AZ137" s="167" t="n">
        <v>0</v>
      </c>
      <c r="BA137" s="74"/>
      <c r="BB137" s="135" t="n">
        <v>1900</v>
      </c>
      <c r="BC137" s="252" t="n">
        <v>1</v>
      </c>
      <c r="BD137" s="253" t="n">
        <v>1</v>
      </c>
      <c r="BE137" s="253" t="n">
        <v>1</v>
      </c>
      <c r="BF137" s="253" t="n">
        <v>1</v>
      </c>
      <c r="BG137" s="253" t="n">
        <v>1</v>
      </c>
      <c r="BH137" s="253" t="n">
        <v>1</v>
      </c>
      <c r="BI137" s="253" t="n">
        <v>1</v>
      </c>
      <c r="BJ137" s="253" t="n">
        <v>1</v>
      </c>
      <c r="BK137" s="253" t="n">
        <v>1</v>
      </c>
      <c r="BL137" s="253" t="n">
        <v>1</v>
      </c>
      <c r="BM137" s="253" t="n">
        <v>1</v>
      </c>
      <c r="BN137" s="254" t="n">
        <v>1</v>
      </c>
      <c r="BO137" s="251" t="str">
        <f aca="false">IF(AND(BB137&gt;=BC$116,BB137&lt;=BD$116),"1","2")</f>
        <v>1</v>
      </c>
      <c r="BQ137" s="108" t="n">
        <v>36907.7428240741</v>
      </c>
      <c r="BR137" s="109" t="n">
        <v>36907.7434490741</v>
      </c>
      <c r="BS137" s="110" t="n">
        <v>40269</v>
      </c>
      <c r="BT137" s="111" t="n">
        <v>0</v>
      </c>
      <c r="BU137" s="112" t="n">
        <v>0</v>
      </c>
      <c r="BV137" s="112" t="n">
        <v>0</v>
      </c>
      <c r="BW137" s="112" t="n">
        <v>0</v>
      </c>
      <c r="BX137" s="113" t="n">
        <v>0</v>
      </c>
      <c r="BZ137" s="110" t="n">
        <v>40057</v>
      </c>
      <c r="CA137" s="116" t="n">
        <v>35.1559982299805</v>
      </c>
      <c r="CB137" s="116" t="n">
        <v>0</v>
      </c>
      <c r="CC137" s="116" t="n">
        <v>0</v>
      </c>
      <c r="CD137" s="116" t="n">
        <v>0</v>
      </c>
      <c r="CE137" s="117" t="n">
        <v>0</v>
      </c>
    </row>
    <row r="138" customFormat="false" ht="12.75" hidden="false" customHeight="false" outlineLevel="0" collapsed="false">
      <c r="A138" s="0" t="n">
        <f aca="true">IF(ISERROR(MATCH(D138,iRefDt,0)),"",MATCH(D138,iRefDt,0))</f>
        <v>129</v>
      </c>
      <c r="B138" s="92" t="n">
        <f aca="false">MATCH(YEAR(D138),iSpreads)</f>
        <v>9</v>
      </c>
      <c r="C138" s="0" t="n">
        <f aca="false">MONTH(D138)</f>
        <v>10</v>
      </c>
      <c r="D138" s="93" t="n">
        <f aca="false">+EnergyCurve!D138</f>
        <v>40087</v>
      </c>
      <c r="E138" s="94" t="n">
        <f aca="false">VLOOKUP($D138,tblPriorPrice,2)</f>
        <v>37.2960014343262</v>
      </c>
      <c r="F138" s="95" t="n">
        <f aca="false">G138-E138</f>
        <v>-1.43432617250028E-006</v>
      </c>
      <c r="G138" s="264" t="n">
        <f aca="false">IF(EnergyCurve!G138&lt;200,0.001*EnergyCurve!G138+1,1.2)*EnergyCurve!G138</f>
        <v>37.296</v>
      </c>
      <c r="H138" s="96" t="n">
        <f aca="false">IF(EnergyCurve!H138&lt;200,0.001*EnergyCurve!H138+1,1.2)*EnergyCurve!H138</f>
        <v>31.961</v>
      </c>
      <c r="I138" s="96" t="n">
        <f aca="false">IF(EnergyCurve!I138&lt;200,0.001*EnergyCurve!I138+1,1.2)*EnergyCurve!I138</f>
        <v>62.481</v>
      </c>
      <c r="J138" s="94" t="n">
        <f aca="false">VLOOKUP($D138,tblPriorPrice,3)</f>
        <v>0</v>
      </c>
      <c r="K138" s="95" t="n">
        <f aca="false">L138-J138</f>
        <v>0</v>
      </c>
      <c r="L138" s="264" t="n">
        <v>0</v>
      </c>
      <c r="M138" s="96" t="n">
        <f aca="false">L138</f>
        <v>0</v>
      </c>
      <c r="N138" s="96" t="n">
        <f aca="false">L138</f>
        <v>0</v>
      </c>
      <c r="O138" s="58" t="n">
        <f aca="true">IF($A138="",0,INDEX(tblPosn,$A138,2))</f>
        <v>0</v>
      </c>
      <c r="P138" s="59" t="n">
        <f aca="true">IF($A138="",0,INDEX(tblPosn,$A138,3))</f>
        <v>0</v>
      </c>
      <c r="Q138" s="59" t="n">
        <f aca="true">IF($A138="",0,INDEX(tblPosn,$A138,4))</f>
        <v>0</v>
      </c>
      <c r="R138" s="59" t="n">
        <f aca="true">IF($A138="",0,INDEX(tblPosn,$A138,5))</f>
        <v>0</v>
      </c>
      <c r="S138" s="59" t="n">
        <f aca="true">IF($A138="",0,INDEX(tblPosn,$A138,6))</f>
        <v>0</v>
      </c>
      <c r="T138" s="98" t="n">
        <f aca="false">O138*F138+P138*K138+R138*AC138+S138*AH138/0.72+Q138*X138</f>
        <v>0</v>
      </c>
      <c r="V138" s="161" t="n">
        <f aca="false">D138</f>
        <v>40087</v>
      </c>
      <c r="W138" s="94" t="n">
        <f aca="false">VLOOKUP($D138,tblPriorPrice,4)</f>
        <v>0</v>
      </c>
      <c r="X138" s="162"/>
      <c r="Y138" s="176" t="n">
        <f aca="false">L138</f>
        <v>0</v>
      </c>
      <c r="Z138" s="177" t="n">
        <f aca="false">Y138</f>
        <v>0</v>
      </c>
      <c r="AA138" s="177" t="n">
        <f aca="false">Y138</f>
        <v>0</v>
      </c>
      <c r="AB138" s="94" t="n">
        <f aca="false">VLOOKUP($D138,tblPriorPrice,5)</f>
        <v>0</v>
      </c>
      <c r="AC138" s="162"/>
      <c r="AD138" s="176" t="n">
        <f aca="false">L138</f>
        <v>0</v>
      </c>
      <c r="AE138" s="96" t="n">
        <f aca="false">AD138</f>
        <v>0</v>
      </c>
      <c r="AF138" s="97" t="n">
        <f aca="false">AD138</f>
        <v>0</v>
      </c>
      <c r="AG138" s="94" t="n">
        <f aca="false">VLOOKUP($D138,tblPriorPrice,6)</f>
        <v>0</v>
      </c>
      <c r="AH138" s="182"/>
      <c r="AI138" s="189" t="n">
        <f aca="false">AG138+AH138</f>
        <v>0</v>
      </c>
      <c r="AJ138" s="96" t="n">
        <f aca="false">AI138</f>
        <v>0</v>
      </c>
      <c r="AK138" s="97" t="n">
        <f aca="false">AI138</f>
        <v>0</v>
      </c>
      <c r="AL138" s="178" t="n">
        <v>36</v>
      </c>
      <c r="AM138" s="165" t="n">
        <v>0.4</v>
      </c>
      <c r="AN138" s="166" t="n">
        <f aca="false">EnergyCurve!AN138*2</f>
        <v>0.38</v>
      </c>
      <c r="AO138" s="166" t="n">
        <f aca="false">EnergyCurve!AO138</f>
        <v>0.171</v>
      </c>
      <c r="AP138" s="166" t="n">
        <f aca="false">AN138*1.25</f>
        <v>0.475</v>
      </c>
      <c r="AQ138" s="166" t="n">
        <f aca="false">EnergyCurve!AQ138*2</f>
        <v>0.38</v>
      </c>
      <c r="AR138" s="166" t="n">
        <f aca="false">EnergyCurve!AR138</f>
        <v>0.152</v>
      </c>
      <c r="AS138" s="166" t="n">
        <f aca="false">EnergyCurve!AS138*1.25</f>
        <v>0.285</v>
      </c>
      <c r="AT138" s="168" t="n">
        <f aca="false">EnergyCurve!AT138*2*2</f>
        <v>7.51583037003162</v>
      </c>
      <c r="AU138" s="169" t="n">
        <f aca="false">EnergyCurve!AU138</f>
        <v>-0.469739398126976</v>
      </c>
      <c r="AV138" s="169" t="n">
        <f aca="false">AT138*1.25</f>
        <v>9.39478796253952</v>
      </c>
      <c r="AW138" s="168" t="n">
        <f aca="false">EnergyCurve!AW138*2*2</f>
        <v>10.0218</v>
      </c>
      <c r="AX138" s="169" t="n">
        <f aca="false">EnergyCurve!AX138</f>
        <v>-0.6263625</v>
      </c>
      <c r="AY138" s="169" t="n">
        <f aca="false">AW138*1.25</f>
        <v>12.52725</v>
      </c>
      <c r="AZ138" s="167" t="n">
        <v>0</v>
      </c>
      <c r="BA138" s="74"/>
      <c r="BB138" s="135" t="n">
        <v>2000</v>
      </c>
      <c r="BC138" s="252" t="n">
        <v>1</v>
      </c>
      <c r="BD138" s="253" t="n">
        <v>1</v>
      </c>
      <c r="BE138" s="253" t="n">
        <v>1</v>
      </c>
      <c r="BF138" s="253" t="n">
        <v>1</v>
      </c>
      <c r="BG138" s="253" t="n">
        <v>1</v>
      </c>
      <c r="BH138" s="253" t="n">
        <v>1</v>
      </c>
      <c r="BI138" s="253" t="n">
        <v>1</v>
      </c>
      <c r="BJ138" s="253" t="n">
        <v>1</v>
      </c>
      <c r="BK138" s="253" t="n">
        <v>1</v>
      </c>
      <c r="BL138" s="253" t="n">
        <v>1</v>
      </c>
      <c r="BM138" s="253" t="n">
        <v>1</v>
      </c>
      <c r="BN138" s="254" t="n">
        <v>1</v>
      </c>
      <c r="BO138" s="251" t="str">
        <f aca="false">IF(AND(BB138&gt;=BC$116,BB138&lt;=BD$116),"1","2")</f>
        <v>1</v>
      </c>
      <c r="BQ138" s="108" t="n">
        <v>36907.7428240741</v>
      </c>
      <c r="BR138" s="109" t="n">
        <v>36907.7434490741</v>
      </c>
      <c r="BS138" s="110" t="n">
        <v>40299</v>
      </c>
      <c r="BT138" s="111" t="n">
        <v>0</v>
      </c>
      <c r="BU138" s="112" t="n">
        <v>0</v>
      </c>
      <c r="BV138" s="112" t="n">
        <v>0</v>
      </c>
      <c r="BW138" s="112" t="n">
        <v>0</v>
      </c>
      <c r="BX138" s="113" t="n">
        <v>0</v>
      </c>
      <c r="BZ138" s="110" t="n">
        <v>40087</v>
      </c>
      <c r="CA138" s="116" t="n">
        <v>37.2960014343262</v>
      </c>
      <c r="CB138" s="116" t="n">
        <v>0</v>
      </c>
      <c r="CC138" s="116" t="n">
        <v>0</v>
      </c>
      <c r="CD138" s="116" t="n">
        <v>0</v>
      </c>
      <c r="CE138" s="117" t="n">
        <v>0</v>
      </c>
    </row>
    <row r="139" customFormat="false" ht="12.75" hidden="false" customHeight="false" outlineLevel="0" collapsed="false">
      <c r="A139" s="0" t="n">
        <f aca="true">IF(ISERROR(MATCH(D139,iRefDt,0)),"",MATCH(D139,iRefDt,0))</f>
        <v>130</v>
      </c>
      <c r="B139" s="92" t="n">
        <f aca="false">MATCH(YEAR(D139),iSpreads)</f>
        <v>9</v>
      </c>
      <c r="C139" s="0" t="n">
        <f aca="false">MONTH(D139)</f>
        <v>11</v>
      </c>
      <c r="D139" s="93" t="n">
        <f aca="false">+EnergyCurve!D139</f>
        <v>40118</v>
      </c>
      <c r="E139" s="94" t="n">
        <f aca="false">VLOOKUP($D139,tblPriorPrice,2)</f>
        <v>31.9610004425049</v>
      </c>
      <c r="F139" s="95" t="n">
        <f aca="false">G139-E139</f>
        <v>-4.42504884290429E-007</v>
      </c>
      <c r="G139" s="264" t="n">
        <f aca="false">IF(EnergyCurve!G139&lt;200,0.001*EnergyCurve!G139+1,1.2)*EnergyCurve!G139</f>
        <v>31.961</v>
      </c>
      <c r="H139" s="96" t="n">
        <f aca="false">IF(EnergyCurve!H139&lt;200,0.001*EnergyCurve!H139+1,1.2)*EnergyCurve!H139</f>
        <v>26.676</v>
      </c>
      <c r="I139" s="96" t="n">
        <f aca="false">IF(EnergyCurve!I139&lt;200,0.001*EnergyCurve!I139+1,1.2)*EnergyCurve!I139</f>
        <v>56.916</v>
      </c>
      <c r="J139" s="94" t="n">
        <f aca="false">VLOOKUP($D139,tblPriorPrice,3)</f>
        <v>0</v>
      </c>
      <c r="K139" s="95" t="n">
        <f aca="false">L139-J139</f>
        <v>0</v>
      </c>
      <c r="L139" s="264" t="n">
        <v>0</v>
      </c>
      <c r="M139" s="96" t="n">
        <f aca="false">L139</f>
        <v>0</v>
      </c>
      <c r="N139" s="96" t="n">
        <f aca="false">L139</f>
        <v>0</v>
      </c>
      <c r="O139" s="58" t="n">
        <f aca="true">IF($A139="",0,INDEX(tblPosn,$A139,2))</f>
        <v>0</v>
      </c>
      <c r="P139" s="59" t="n">
        <f aca="true">IF($A139="",0,INDEX(tblPosn,$A139,3))</f>
        <v>0</v>
      </c>
      <c r="Q139" s="59" t="n">
        <f aca="true">IF($A139="",0,INDEX(tblPosn,$A139,4))</f>
        <v>0</v>
      </c>
      <c r="R139" s="59" t="n">
        <f aca="true">IF($A139="",0,INDEX(tblPosn,$A139,5))</f>
        <v>0</v>
      </c>
      <c r="S139" s="59" t="n">
        <f aca="true">IF($A139="",0,INDEX(tblPosn,$A139,6))</f>
        <v>0</v>
      </c>
      <c r="T139" s="98" t="n">
        <f aca="false">O139*F139+P139*K139+R139*AC139+S139*AH139/0.72+Q139*X139</f>
        <v>0</v>
      </c>
      <c r="V139" s="161" t="n">
        <f aca="false">D139</f>
        <v>40118</v>
      </c>
      <c r="W139" s="94" t="n">
        <f aca="false">VLOOKUP($D139,tblPriorPrice,4)</f>
        <v>0</v>
      </c>
      <c r="X139" s="162"/>
      <c r="Y139" s="176" t="n">
        <f aca="false">L139</f>
        <v>0</v>
      </c>
      <c r="Z139" s="177" t="n">
        <f aca="false">Y139</f>
        <v>0</v>
      </c>
      <c r="AA139" s="177" t="n">
        <f aca="false">Y139</f>
        <v>0</v>
      </c>
      <c r="AB139" s="94" t="n">
        <f aca="false">VLOOKUP($D139,tblPriorPrice,5)</f>
        <v>0</v>
      </c>
      <c r="AC139" s="162"/>
      <c r="AD139" s="176" t="n">
        <f aca="false">L139</f>
        <v>0</v>
      </c>
      <c r="AE139" s="96" t="n">
        <f aca="false">AD139</f>
        <v>0</v>
      </c>
      <c r="AF139" s="97" t="n">
        <f aca="false">AD139</f>
        <v>0</v>
      </c>
      <c r="AG139" s="94" t="n">
        <f aca="false">VLOOKUP($D139,tblPriorPrice,6)</f>
        <v>0</v>
      </c>
      <c r="AH139" s="182"/>
      <c r="AI139" s="189" t="n">
        <f aca="false">AG139+AH139</f>
        <v>0</v>
      </c>
      <c r="AJ139" s="96" t="n">
        <f aca="false">AI139</f>
        <v>0</v>
      </c>
      <c r="AK139" s="97" t="n">
        <f aca="false">AI139</f>
        <v>0</v>
      </c>
      <c r="AL139" s="178" t="n">
        <v>36</v>
      </c>
      <c r="AM139" s="165" t="n">
        <v>0.4</v>
      </c>
      <c r="AN139" s="166" t="n">
        <f aca="false">EnergyCurve!AN139*2</f>
        <v>0.38</v>
      </c>
      <c r="AO139" s="166" t="n">
        <f aca="false">EnergyCurve!AO139</f>
        <v>0.171</v>
      </c>
      <c r="AP139" s="166" t="n">
        <f aca="false">AN139*1.25</f>
        <v>0.475</v>
      </c>
      <c r="AQ139" s="166" t="n">
        <f aca="false">EnergyCurve!AQ139*2</f>
        <v>0.38</v>
      </c>
      <c r="AR139" s="166" t="n">
        <f aca="false">EnergyCurve!AR139</f>
        <v>0.152</v>
      </c>
      <c r="AS139" s="166" t="n">
        <f aca="false">EnergyCurve!AS139*1.25</f>
        <v>0.285</v>
      </c>
      <c r="AT139" s="168" t="n">
        <f aca="false">EnergyCurve!AT139*2*2</f>
        <v>6.56235962744143</v>
      </c>
      <c r="AU139" s="169" t="n">
        <f aca="false">EnergyCurve!AU139</f>
        <v>-0.410147476715089</v>
      </c>
      <c r="AV139" s="169" t="n">
        <f aca="false">AT139*1.25</f>
        <v>8.20294953430178</v>
      </c>
      <c r="AW139" s="168" t="n">
        <f aca="false">EnergyCurve!AW139*2*2</f>
        <v>10.4928</v>
      </c>
      <c r="AX139" s="169" t="n">
        <f aca="false">EnergyCurve!AX139</f>
        <v>-0.6558</v>
      </c>
      <c r="AY139" s="169" t="n">
        <f aca="false">AW139*1.25</f>
        <v>13.116</v>
      </c>
      <c r="AZ139" s="167" t="n">
        <v>0</v>
      </c>
      <c r="BA139" s="74"/>
      <c r="BB139" s="135" t="n">
        <v>2100</v>
      </c>
      <c r="BC139" s="252" t="n">
        <v>1</v>
      </c>
      <c r="BD139" s="253" t="n">
        <v>1</v>
      </c>
      <c r="BE139" s="253" t="n">
        <v>1</v>
      </c>
      <c r="BF139" s="253" t="n">
        <v>1</v>
      </c>
      <c r="BG139" s="253" t="n">
        <v>1</v>
      </c>
      <c r="BH139" s="253" t="n">
        <v>1</v>
      </c>
      <c r="BI139" s="253" t="n">
        <v>1</v>
      </c>
      <c r="BJ139" s="253" t="n">
        <v>1</v>
      </c>
      <c r="BK139" s="253" t="n">
        <v>1</v>
      </c>
      <c r="BL139" s="253" t="n">
        <v>1</v>
      </c>
      <c r="BM139" s="253" t="n">
        <v>1</v>
      </c>
      <c r="BN139" s="254" t="n">
        <v>1</v>
      </c>
      <c r="BO139" s="251" t="str">
        <f aca="false">IF(AND(BB139&gt;=BC$116,BB139&lt;=BD$116),"1","2")</f>
        <v>1</v>
      </c>
      <c r="BQ139" s="108" t="n">
        <v>36907.7428240741</v>
      </c>
      <c r="BR139" s="109" t="n">
        <v>36907.7434490741</v>
      </c>
      <c r="BS139" s="110" t="n">
        <v>40330</v>
      </c>
      <c r="BT139" s="111" t="n">
        <v>0</v>
      </c>
      <c r="BU139" s="112" t="n">
        <v>0</v>
      </c>
      <c r="BV139" s="112" t="n">
        <v>0</v>
      </c>
      <c r="BW139" s="112" t="n">
        <v>0</v>
      </c>
      <c r="BX139" s="113" t="n">
        <v>0</v>
      </c>
      <c r="BZ139" s="110" t="n">
        <v>40118</v>
      </c>
      <c r="CA139" s="116" t="n">
        <v>31.9610004425049</v>
      </c>
      <c r="CB139" s="116" t="n">
        <v>0</v>
      </c>
      <c r="CC139" s="116" t="n">
        <v>0</v>
      </c>
      <c r="CD139" s="116" t="n">
        <v>0</v>
      </c>
      <c r="CE139" s="117" t="n">
        <v>0</v>
      </c>
    </row>
    <row r="140" customFormat="false" ht="12.75" hidden="false" customHeight="false" outlineLevel="0" collapsed="false">
      <c r="A140" s="0" t="n">
        <f aca="true">IF(ISERROR(MATCH(D140,iRefDt,0)),"",MATCH(D140,iRefDt,0))</f>
        <v>131</v>
      </c>
      <c r="B140" s="92" t="n">
        <f aca="false">MATCH(YEAR(D140),iSpreads)</f>
        <v>9</v>
      </c>
      <c r="C140" s="0" t="n">
        <f aca="false">MONTH(D140)</f>
        <v>12</v>
      </c>
      <c r="D140" s="93" t="n">
        <f aca="false">+EnergyCurve!D140</f>
        <v>40148</v>
      </c>
      <c r="E140" s="94" t="n">
        <f aca="false">VLOOKUP($D140,tblPriorPrice,2)</f>
        <v>30.8999996185303</v>
      </c>
      <c r="F140" s="95" t="n">
        <f aca="false">G140-E140</f>
        <v>3.81469728694128E-007</v>
      </c>
      <c r="G140" s="264" t="n">
        <f aca="false">IF(EnergyCurve!G140&lt;200,0.001*EnergyCurve!G140+1,1.2)*EnergyCurve!G140</f>
        <v>30.9</v>
      </c>
      <c r="H140" s="96" t="n">
        <f aca="false">IF(EnergyCurve!H140&lt;200,0.001*EnergyCurve!H140+1,1.2)*EnergyCurve!H140</f>
        <v>25.625</v>
      </c>
      <c r="I140" s="96" t="n">
        <f aca="false">IF(EnergyCurve!I140&lt;200,0.001*EnergyCurve!I140+1,1.2)*EnergyCurve!I140</f>
        <v>55.809</v>
      </c>
      <c r="J140" s="94" t="n">
        <f aca="false">VLOOKUP($D140,tblPriorPrice,3)</f>
        <v>0</v>
      </c>
      <c r="K140" s="95" t="n">
        <f aca="false">L140-J140</f>
        <v>0</v>
      </c>
      <c r="L140" s="264" t="n">
        <v>0</v>
      </c>
      <c r="M140" s="96" t="n">
        <f aca="false">L140</f>
        <v>0</v>
      </c>
      <c r="N140" s="96" t="n">
        <f aca="false">L140</f>
        <v>0</v>
      </c>
      <c r="O140" s="58" t="n">
        <f aca="true">IF($A140="",0,INDEX(tblPosn,$A140,2))</f>
        <v>0</v>
      </c>
      <c r="P140" s="59" t="n">
        <f aca="true">IF($A140="",0,INDEX(tblPosn,$A140,3))</f>
        <v>0</v>
      </c>
      <c r="Q140" s="59" t="n">
        <f aca="true">IF($A140="",0,INDEX(tblPosn,$A140,4))</f>
        <v>0</v>
      </c>
      <c r="R140" s="59" t="n">
        <f aca="true">IF($A140="",0,INDEX(tblPosn,$A140,5))</f>
        <v>0</v>
      </c>
      <c r="S140" s="59" t="n">
        <f aca="true">IF($A140="",0,INDEX(tblPosn,$A140,6))</f>
        <v>0</v>
      </c>
      <c r="T140" s="98" t="n">
        <f aca="false">O140*F140+P140*K140+R140*AC140+S140*AH140/0.72+Q140*X140</f>
        <v>0</v>
      </c>
      <c r="V140" s="161" t="n">
        <f aca="false">D140</f>
        <v>40148</v>
      </c>
      <c r="W140" s="94" t="n">
        <f aca="false">VLOOKUP($D140,tblPriorPrice,4)</f>
        <v>0</v>
      </c>
      <c r="X140" s="162"/>
      <c r="Y140" s="176" t="n">
        <f aca="false">L140</f>
        <v>0</v>
      </c>
      <c r="Z140" s="177" t="n">
        <f aca="false">Y140</f>
        <v>0</v>
      </c>
      <c r="AA140" s="177" t="n">
        <f aca="false">Y140</f>
        <v>0</v>
      </c>
      <c r="AB140" s="94" t="n">
        <f aca="false">VLOOKUP($D140,tblPriorPrice,5)</f>
        <v>0</v>
      </c>
      <c r="AC140" s="162"/>
      <c r="AD140" s="176" t="n">
        <f aca="false">L140</f>
        <v>0</v>
      </c>
      <c r="AE140" s="96" t="n">
        <f aca="false">AD140</f>
        <v>0</v>
      </c>
      <c r="AF140" s="97" t="n">
        <f aca="false">AD140</f>
        <v>0</v>
      </c>
      <c r="AG140" s="94" t="n">
        <f aca="false">VLOOKUP($D140,tblPriorPrice,6)</f>
        <v>0</v>
      </c>
      <c r="AH140" s="182"/>
      <c r="AI140" s="189" t="n">
        <f aca="false">AG140+AH140</f>
        <v>0</v>
      </c>
      <c r="AJ140" s="96" t="n">
        <f aca="false">AI140</f>
        <v>0</v>
      </c>
      <c r="AK140" s="97" t="n">
        <f aca="false">AI140</f>
        <v>0</v>
      </c>
      <c r="AL140" s="178" t="n">
        <v>36</v>
      </c>
      <c r="AM140" s="165" t="n">
        <v>0.4</v>
      </c>
      <c r="AN140" s="166" t="n">
        <f aca="false">EnergyCurve!AN140*2</f>
        <v>0.385</v>
      </c>
      <c r="AO140" s="166" t="n">
        <f aca="false">EnergyCurve!AO140</f>
        <v>0.17325</v>
      </c>
      <c r="AP140" s="166" t="n">
        <f aca="false">AN140*1.25</f>
        <v>0.48125</v>
      </c>
      <c r="AQ140" s="166" t="n">
        <f aca="false">EnergyCurve!AQ140*2</f>
        <v>0.385</v>
      </c>
      <c r="AR140" s="166" t="n">
        <f aca="false">EnergyCurve!AR140</f>
        <v>0.154</v>
      </c>
      <c r="AS140" s="166" t="n">
        <f aca="false">EnergyCurve!AS140*1.25</f>
        <v>0.28875</v>
      </c>
      <c r="AT140" s="168" t="n">
        <f aca="false">EnergyCurve!AT140*2*2</f>
        <v>6.43371807382396</v>
      </c>
      <c r="AU140" s="169" t="n">
        <f aca="false">EnergyCurve!AU140</f>
        <v>-0.402107379613998</v>
      </c>
      <c r="AV140" s="169" t="n">
        <f aca="false">AT140*1.25</f>
        <v>8.04214759227995</v>
      </c>
      <c r="AW140" s="168" t="n">
        <f aca="false">EnergyCurve!AW140*2*2</f>
        <v>10.6812</v>
      </c>
      <c r="AX140" s="169" t="n">
        <f aca="false">EnergyCurve!AX140</f>
        <v>-0.667575</v>
      </c>
      <c r="AY140" s="169" t="n">
        <f aca="false">AW140*1.25</f>
        <v>13.3515</v>
      </c>
      <c r="AZ140" s="167" t="n">
        <v>0</v>
      </c>
      <c r="BA140" s="74"/>
      <c r="BB140" s="135" t="n">
        <v>2200</v>
      </c>
      <c r="BC140" s="252" t="n">
        <v>1</v>
      </c>
      <c r="BD140" s="253" t="n">
        <v>1</v>
      </c>
      <c r="BE140" s="253" t="n">
        <v>1</v>
      </c>
      <c r="BF140" s="253" t="n">
        <v>1</v>
      </c>
      <c r="BG140" s="253" t="n">
        <v>1</v>
      </c>
      <c r="BH140" s="253" t="n">
        <v>1</v>
      </c>
      <c r="BI140" s="253" t="n">
        <v>1</v>
      </c>
      <c r="BJ140" s="253" t="n">
        <v>1</v>
      </c>
      <c r="BK140" s="253" t="n">
        <v>1</v>
      </c>
      <c r="BL140" s="253" t="n">
        <v>1</v>
      </c>
      <c r="BM140" s="253" t="n">
        <v>1</v>
      </c>
      <c r="BN140" s="254" t="n">
        <v>1</v>
      </c>
      <c r="BO140" s="251" t="str">
        <f aca="false">IF(AND(BB140&gt;=BC$116,BB140&lt;=BD$116),"1","2")</f>
        <v>1</v>
      </c>
      <c r="BQ140" s="108" t="n">
        <v>36907.7428240741</v>
      </c>
      <c r="BR140" s="109" t="n">
        <v>36907.7434490741</v>
      </c>
      <c r="BS140" s="110" t="n">
        <v>40360</v>
      </c>
      <c r="BT140" s="111" t="n">
        <v>0</v>
      </c>
      <c r="BU140" s="112" t="n">
        <v>0</v>
      </c>
      <c r="BV140" s="112" t="n">
        <v>0</v>
      </c>
      <c r="BW140" s="112" t="n">
        <v>0</v>
      </c>
      <c r="BX140" s="113" t="n">
        <v>0</v>
      </c>
      <c r="BZ140" s="110" t="n">
        <v>40148</v>
      </c>
      <c r="CA140" s="116" t="n">
        <v>30.8999996185303</v>
      </c>
      <c r="CB140" s="116" t="n">
        <v>0</v>
      </c>
      <c r="CC140" s="116" t="n">
        <v>0</v>
      </c>
      <c r="CD140" s="116" t="n">
        <v>0</v>
      </c>
      <c r="CE140" s="117" t="n">
        <v>0</v>
      </c>
    </row>
    <row r="141" customFormat="false" ht="12.75" hidden="false" customHeight="false" outlineLevel="0" collapsed="false">
      <c r="A141" s="0" t="n">
        <f aca="true">IF(ISERROR(MATCH(D141,iRefDt,0)),"",MATCH(D141,iRefDt,0))</f>
        <v>132</v>
      </c>
      <c r="B141" s="92" t="n">
        <f aca="false">MATCH(YEAR(D141),iSpreads)</f>
        <v>10</v>
      </c>
      <c r="C141" s="0" t="n">
        <f aca="false">MONTH(D141)</f>
        <v>1</v>
      </c>
      <c r="D141" s="93" t="n">
        <f aca="false">+EnergyCurve!D141</f>
        <v>40179</v>
      </c>
      <c r="E141" s="94" t="n">
        <f aca="false">VLOOKUP($D141,tblPriorPrice,2)</f>
        <v>34.0890007019043</v>
      </c>
      <c r="F141" s="95" t="n">
        <f aca="false">G141-E141</f>
        <v>-7.01904298239242E-007</v>
      </c>
      <c r="G141" s="264" t="n">
        <f aca="false">IF(EnergyCurve!G141&lt;200,0.001*EnergyCurve!G141+1,1.2)*EnergyCurve!G141</f>
        <v>34.089</v>
      </c>
      <c r="H141" s="96" t="n">
        <f aca="false">IF(EnergyCurve!H141&lt;200,0.001*EnergyCurve!H141+1,1.2)*EnergyCurve!H141</f>
        <v>28.784</v>
      </c>
      <c r="I141" s="96" t="n">
        <f aca="false">IF(EnergyCurve!I141&lt;200,0.001*EnergyCurve!I141+1,1.2)*EnergyCurve!I141</f>
        <v>60.249</v>
      </c>
      <c r="J141" s="94" t="n">
        <f aca="false">VLOOKUP($D141,tblPriorPrice,3)</f>
        <v>0</v>
      </c>
      <c r="K141" s="95" t="n">
        <f aca="false">L141-J141</f>
        <v>0</v>
      </c>
      <c r="L141" s="264" t="n">
        <v>0</v>
      </c>
      <c r="M141" s="96" t="n">
        <f aca="false">L141</f>
        <v>0</v>
      </c>
      <c r="N141" s="96" t="n">
        <f aca="false">L141</f>
        <v>0</v>
      </c>
      <c r="O141" s="58" t="n">
        <f aca="true">IF($A141="",0,INDEX(tblPosn,$A141,2))</f>
        <v>0</v>
      </c>
      <c r="P141" s="59" t="n">
        <f aca="true">IF($A141="",0,INDEX(tblPosn,$A141,3))</f>
        <v>0</v>
      </c>
      <c r="Q141" s="59" t="n">
        <f aca="true">IF($A141="",0,INDEX(tblPosn,$A141,4))</f>
        <v>0</v>
      </c>
      <c r="R141" s="59" t="n">
        <f aca="true">IF($A141="",0,INDEX(tblPosn,$A141,5))</f>
        <v>0</v>
      </c>
      <c r="S141" s="59" t="n">
        <f aca="true">IF($A141="",0,INDEX(tblPosn,$A141,6))</f>
        <v>0</v>
      </c>
      <c r="T141" s="98" t="n">
        <f aca="false">O141*F141+P141*K141+R141*AC141+S141*AH141/0.72+Q141*X141</f>
        <v>0</v>
      </c>
      <c r="V141" s="161" t="n">
        <f aca="false">D141</f>
        <v>40179</v>
      </c>
      <c r="W141" s="94" t="n">
        <f aca="false">VLOOKUP($D141,tblPriorPrice,4)</f>
        <v>0</v>
      </c>
      <c r="X141" s="162"/>
      <c r="Y141" s="176" t="n">
        <f aca="false">L141</f>
        <v>0</v>
      </c>
      <c r="Z141" s="177" t="n">
        <f aca="false">Y141</f>
        <v>0</v>
      </c>
      <c r="AA141" s="177" t="n">
        <f aca="false">Y141</f>
        <v>0</v>
      </c>
      <c r="AB141" s="94" t="n">
        <f aca="false">VLOOKUP($D141,tblPriorPrice,5)</f>
        <v>0</v>
      </c>
      <c r="AC141" s="162"/>
      <c r="AD141" s="176" t="n">
        <f aca="false">L141</f>
        <v>0</v>
      </c>
      <c r="AE141" s="96" t="n">
        <f aca="false">AD141</f>
        <v>0</v>
      </c>
      <c r="AF141" s="97" t="n">
        <f aca="false">AD141</f>
        <v>0</v>
      </c>
      <c r="AG141" s="94" t="n">
        <f aca="false">VLOOKUP($D141,tblPriorPrice,6)</f>
        <v>0</v>
      </c>
      <c r="AH141" s="182"/>
      <c r="AI141" s="189" t="n">
        <f aca="false">AG141+AH141</f>
        <v>0</v>
      </c>
      <c r="AJ141" s="96" t="n">
        <f aca="false">AI141</f>
        <v>0</v>
      </c>
      <c r="AK141" s="97" t="n">
        <f aca="false">AI141</f>
        <v>0</v>
      </c>
      <c r="AL141" s="178" t="n">
        <v>37</v>
      </c>
      <c r="AM141" s="165" t="n">
        <v>0.4</v>
      </c>
      <c r="AN141" s="166" t="n">
        <f aca="false">EnergyCurve!AN141*2</f>
        <v>0.385</v>
      </c>
      <c r="AO141" s="166" t="n">
        <f aca="false">EnergyCurve!AO141</f>
        <v>0.17325</v>
      </c>
      <c r="AP141" s="166" t="n">
        <f aca="false">AN141*1.25</f>
        <v>0.48125</v>
      </c>
      <c r="AQ141" s="166" t="n">
        <f aca="false">EnergyCurve!AQ141*2</f>
        <v>0.385</v>
      </c>
      <c r="AR141" s="166" t="n">
        <f aca="false">EnergyCurve!AR141</f>
        <v>0.154</v>
      </c>
      <c r="AS141" s="166" t="n">
        <f aca="false">EnergyCurve!AS141*1.25</f>
        <v>0.28875</v>
      </c>
      <c r="AT141" s="168" t="n">
        <f aca="false">EnergyCurve!AT141*2*2</f>
        <v>6.88781730529552</v>
      </c>
      <c r="AU141" s="169" t="n">
        <f aca="false">EnergyCurve!AU141</f>
        <v>-0.43048858158097</v>
      </c>
      <c r="AV141" s="169" t="n">
        <f aca="false">AT141*1.25</f>
        <v>8.60977163161941</v>
      </c>
      <c r="AW141" s="168" t="n">
        <f aca="false">EnergyCurve!AW141*2*2</f>
        <v>10.4928</v>
      </c>
      <c r="AX141" s="169" t="n">
        <f aca="false">EnergyCurve!AX141</f>
        <v>-0.6558</v>
      </c>
      <c r="AY141" s="169" t="n">
        <f aca="false">AW141*1.25</f>
        <v>13.116</v>
      </c>
      <c r="AZ141" s="167" t="n">
        <v>0</v>
      </c>
      <c r="BA141" s="74"/>
      <c r="BB141" s="135" t="n">
        <v>2300</v>
      </c>
      <c r="BC141" s="252" t="n">
        <v>1</v>
      </c>
      <c r="BD141" s="253" t="n">
        <v>1</v>
      </c>
      <c r="BE141" s="253" t="n">
        <v>1</v>
      </c>
      <c r="BF141" s="253" t="n">
        <v>1</v>
      </c>
      <c r="BG141" s="253" t="n">
        <v>1</v>
      </c>
      <c r="BH141" s="253" t="n">
        <v>1</v>
      </c>
      <c r="BI141" s="253" t="n">
        <v>1</v>
      </c>
      <c r="BJ141" s="253" t="n">
        <v>1</v>
      </c>
      <c r="BK141" s="253" t="n">
        <v>1</v>
      </c>
      <c r="BL141" s="253" t="n">
        <v>1</v>
      </c>
      <c r="BM141" s="253" t="n">
        <v>1</v>
      </c>
      <c r="BN141" s="254" t="n">
        <v>1</v>
      </c>
      <c r="BO141" s="251" t="str">
        <f aca="false">IF(AND(BB141&gt;=BC$116,BB141&lt;=BD$116),"1","2")</f>
        <v>2</v>
      </c>
      <c r="BQ141" s="108" t="n">
        <v>36907.7428240741</v>
      </c>
      <c r="BR141" s="109" t="n">
        <v>36907.7434490741</v>
      </c>
      <c r="BS141" s="110" t="n">
        <v>40391</v>
      </c>
      <c r="BT141" s="111" t="n">
        <v>0</v>
      </c>
      <c r="BU141" s="112" t="n">
        <v>0</v>
      </c>
      <c r="BV141" s="112" t="n">
        <v>0</v>
      </c>
      <c r="BW141" s="112" t="n">
        <v>0</v>
      </c>
      <c r="BX141" s="113" t="n">
        <v>0</v>
      </c>
      <c r="BZ141" s="110" t="n">
        <v>40179</v>
      </c>
      <c r="CA141" s="116" t="n">
        <v>34.0890007019043</v>
      </c>
      <c r="CB141" s="116" t="n">
        <v>0</v>
      </c>
      <c r="CC141" s="116" t="n">
        <v>0</v>
      </c>
      <c r="CD141" s="116" t="n">
        <v>0</v>
      </c>
      <c r="CE141" s="117" t="n">
        <v>0</v>
      </c>
    </row>
    <row r="142" customFormat="false" ht="12.75" hidden="false" customHeight="false" outlineLevel="0" collapsed="false">
      <c r="A142" s="0" t="n">
        <f aca="true">IF(ISERROR(MATCH(D142,iRefDt,0)),"",MATCH(D142,iRefDt,0))</f>
        <v>133</v>
      </c>
      <c r="B142" s="92" t="n">
        <f aca="false">MATCH(YEAR(D142),iSpreads)</f>
        <v>10</v>
      </c>
      <c r="C142" s="0" t="n">
        <f aca="false">MONTH(D142)</f>
        <v>2</v>
      </c>
      <c r="D142" s="93" t="n">
        <f aca="false">+EnergyCurve!D142</f>
        <v>40210</v>
      </c>
      <c r="E142" s="94" t="n">
        <f aca="false">VLOOKUP($D142,tblPriorPrice,2)</f>
        <v>30.8999996185303</v>
      </c>
      <c r="F142" s="95" t="n">
        <f aca="false">G142-E142</f>
        <v>3.81469728694128E-007</v>
      </c>
      <c r="G142" s="264" t="n">
        <f aca="false">IF(EnergyCurve!G142&lt;200,0.001*EnergyCurve!G142+1,1.2)*EnergyCurve!G142</f>
        <v>30.9</v>
      </c>
      <c r="H142" s="96" t="n">
        <f aca="false">IF(EnergyCurve!H142&lt;200,0.001*EnergyCurve!H142+1,1.2)*EnergyCurve!H142</f>
        <v>25.625</v>
      </c>
      <c r="I142" s="96" t="n">
        <f aca="false">IF(EnergyCurve!I142&lt;200,0.001*EnergyCurve!I142+1,1.2)*EnergyCurve!I142</f>
        <v>56.916</v>
      </c>
      <c r="J142" s="94" t="n">
        <f aca="false">VLOOKUP($D142,tblPriorPrice,3)</f>
        <v>0</v>
      </c>
      <c r="K142" s="95" t="n">
        <f aca="false">L142-J142</f>
        <v>0</v>
      </c>
      <c r="L142" s="264" t="n">
        <v>0</v>
      </c>
      <c r="M142" s="96" t="n">
        <f aca="false">L142</f>
        <v>0</v>
      </c>
      <c r="N142" s="96" t="n">
        <f aca="false">L142</f>
        <v>0</v>
      </c>
      <c r="O142" s="58" t="n">
        <f aca="true">IF($A142="",0,INDEX(tblPosn,$A142,2))</f>
        <v>0</v>
      </c>
      <c r="P142" s="59" t="n">
        <f aca="true">IF($A142="",0,INDEX(tblPosn,$A142,3))</f>
        <v>0</v>
      </c>
      <c r="Q142" s="59" t="n">
        <f aca="true">IF($A142="",0,INDEX(tblPosn,$A142,4))</f>
        <v>0</v>
      </c>
      <c r="R142" s="59" t="n">
        <f aca="true">IF($A142="",0,INDEX(tblPosn,$A142,5))</f>
        <v>0</v>
      </c>
      <c r="S142" s="59" t="n">
        <f aca="true">IF($A142="",0,INDEX(tblPosn,$A142,6))</f>
        <v>0</v>
      </c>
      <c r="T142" s="98" t="n">
        <f aca="false">O142*F142+P142*K142+R142*AC142+S142*AH142/0.72+Q142*X142</f>
        <v>0</v>
      </c>
      <c r="V142" s="161" t="n">
        <f aca="false">D142</f>
        <v>40210</v>
      </c>
      <c r="W142" s="94" t="n">
        <f aca="false">VLOOKUP($D142,tblPriorPrice,4)</f>
        <v>0</v>
      </c>
      <c r="X142" s="162"/>
      <c r="Y142" s="176" t="n">
        <f aca="false">L142</f>
        <v>0</v>
      </c>
      <c r="Z142" s="177" t="n">
        <f aca="false">Y142</f>
        <v>0</v>
      </c>
      <c r="AA142" s="177" t="n">
        <f aca="false">Y142</f>
        <v>0</v>
      </c>
      <c r="AB142" s="94" t="n">
        <f aca="false">VLOOKUP($D142,tblPriorPrice,5)</f>
        <v>0</v>
      </c>
      <c r="AC142" s="162"/>
      <c r="AD142" s="176" t="n">
        <f aca="false">L142</f>
        <v>0</v>
      </c>
      <c r="AE142" s="96" t="n">
        <f aca="false">AD142</f>
        <v>0</v>
      </c>
      <c r="AF142" s="97" t="n">
        <f aca="false">AD142</f>
        <v>0</v>
      </c>
      <c r="AG142" s="94" t="n">
        <f aca="false">VLOOKUP($D142,tblPriorPrice,6)</f>
        <v>0</v>
      </c>
      <c r="AH142" s="182"/>
      <c r="AI142" s="189" t="n">
        <f aca="false">AG142+AH142</f>
        <v>0</v>
      </c>
      <c r="AJ142" s="96" t="n">
        <f aca="false">AI142</f>
        <v>0</v>
      </c>
      <c r="AK142" s="97" t="n">
        <f aca="false">AI142</f>
        <v>0</v>
      </c>
      <c r="AL142" s="178" t="n">
        <v>37</v>
      </c>
      <c r="AM142" s="165" t="n">
        <v>0.4</v>
      </c>
      <c r="AN142" s="166" t="n">
        <f aca="false">EnergyCurve!AN142*2</f>
        <v>0.375</v>
      </c>
      <c r="AO142" s="166" t="n">
        <f aca="false">EnergyCurve!AO142</f>
        <v>0.16875</v>
      </c>
      <c r="AP142" s="166" t="n">
        <f aca="false">AN142*1.25</f>
        <v>0.46875</v>
      </c>
      <c r="AQ142" s="166" t="n">
        <f aca="false">EnergyCurve!AQ142*2</f>
        <v>0.375</v>
      </c>
      <c r="AR142" s="166" t="n">
        <f aca="false">EnergyCurve!AR142</f>
        <v>0.15</v>
      </c>
      <c r="AS142" s="166" t="n">
        <f aca="false">EnergyCurve!AS142*1.25</f>
        <v>0.28125</v>
      </c>
      <c r="AT142" s="168" t="n">
        <f aca="false">EnergyCurve!AT142*2*2</f>
        <v>6.43371807382396</v>
      </c>
      <c r="AU142" s="169" t="n">
        <f aca="false">EnergyCurve!AU142</f>
        <v>-0.402107379613998</v>
      </c>
      <c r="AV142" s="169" t="n">
        <f aca="false">AT142*1.25</f>
        <v>8.04214759227995</v>
      </c>
      <c r="AW142" s="168" t="n">
        <f aca="false">EnergyCurve!AW142*2*2</f>
        <v>10.587</v>
      </c>
      <c r="AX142" s="169" t="n">
        <f aca="false">EnergyCurve!AX142</f>
        <v>-0.6616875</v>
      </c>
      <c r="AY142" s="169" t="n">
        <f aca="false">AW142*1.25</f>
        <v>13.23375</v>
      </c>
      <c r="AZ142" s="167" t="n">
        <v>0</v>
      </c>
      <c r="BA142" s="74"/>
      <c r="BB142" s="152" t="n">
        <v>2400</v>
      </c>
      <c r="BC142" s="255" t="n">
        <v>1</v>
      </c>
      <c r="BD142" s="256" t="n">
        <v>1</v>
      </c>
      <c r="BE142" s="256" t="n">
        <v>1</v>
      </c>
      <c r="BF142" s="256" t="n">
        <v>1</v>
      </c>
      <c r="BG142" s="256" t="n">
        <v>1</v>
      </c>
      <c r="BH142" s="256" t="n">
        <v>1</v>
      </c>
      <c r="BI142" s="256" t="n">
        <v>1</v>
      </c>
      <c r="BJ142" s="256" t="n">
        <v>1</v>
      </c>
      <c r="BK142" s="256" t="n">
        <v>1</v>
      </c>
      <c r="BL142" s="256" t="n">
        <v>1</v>
      </c>
      <c r="BM142" s="256" t="n">
        <v>1</v>
      </c>
      <c r="BN142" s="257" t="n">
        <v>1</v>
      </c>
      <c r="BO142" s="258" t="str">
        <f aca="false">IF(AND(BB142&gt;=BC$116,BB142&lt;=BD$116),"1","2")</f>
        <v>2</v>
      </c>
      <c r="BQ142" s="108" t="n">
        <v>36907.7428240741</v>
      </c>
      <c r="BR142" s="109" t="n">
        <v>36907.7434490741</v>
      </c>
      <c r="BS142" s="110" t="n">
        <v>40422</v>
      </c>
      <c r="BT142" s="111" t="n">
        <v>0</v>
      </c>
      <c r="BU142" s="112" t="n">
        <v>0</v>
      </c>
      <c r="BV142" s="112" t="n">
        <v>0</v>
      </c>
      <c r="BW142" s="112" t="n">
        <v>0</v>
      </c>
      <c r="BX142" s="113" t="n">
        <v>0</v>
      </c>
      <c r="BZ142" s="110" t="n">
        <v>40210</v>
      </c>
      <c r="CA142" s="116" t="n">
        <v>30.8999996185303</v>
      </c>
      <c r="CB142" s="116" t="n">
        <v>0</v>
      </c>
      <c r="CC142" s="116" t="n">
        <v>0</v>
      </c>
      <c r="CD142" s="116" t="n">
        <v>0</v>
      </c>
      <c r="CE142" s="117" t="n">
        <v>0</v>
      </c>
    </row>
    <row r="143" customFormat="false" ht="12.75" hidden="false" customHeight="false" outlineLevel="0" collapsed="false">
      <c r="A143" s="0" t="n">
        <f aca="true">IF(ISERROR(MATCH(D143,iRefDt,0)),"",MATCH(D143,iRefDt,0))</f>
        <v>134</v>
      </c>
      <c r="B143" s="92" t="n">
        <f aca="false">MATCH(YEAR(D143),iSpreads)</f>
        <v>10</v>
      </c>
      <c r="C143" s="0" t="n">
        <f aca="false">MONTH(D143)</f>
        <v>3</v>
      </c>
      <c r="D143" s="93" t="n">
        <f aca="false">+EnergyCurve!D143</f>
        <v>40238</v>
      </c>
      <c r="E143" s="94" t="n">
        <f aca="false">VLOOKUP($D143,tblPriorPrice,2)</f>
        <v>29.8409996032715</v>
      </c>
      <c r="F143" s="95" t="n">
        <f aca="false">G143-E143</f>
        <v>3.96728513152311E-007</v>
      </c>
      <c r="G143" s="264" t="n">
        <f aca="false">IF(EnergyCurve!G143&lt;200,0.001*EnergyCurve!G143+1,1.2)*EnergyCurve!G143</f>
        <v>29.841</v>
      </c>
      <c r="H143" s="96" t="n">
        <f aca="false">IF(EnergyCurve!H143&lt;200,0.001*EnergyCurve!H143+1,1.2)*EnergyCurve!H143</f>
        <v>24.576</v>
      </c>
      <c r="I143" s="96" t="n">
        <f aca="false">IF(EnergyCurve!I143&lt;200,0.001*EnergyCurve!I143+1,1.2)*EnergyCurve!I143</f>
        <v>55.809</v>
      </c>
      <c r="J143" s="94" t="n">
        <f aca="false">VLOOKUP($D143,tblPriorPrice,3)</f>
        <v>0</v>
      </c>
      <c r="K143" s="95" t="n">
        <f aca="false">L143-J143</f>
        <v>0</v>
      </c>
      <c r="L143" s="264" t="n">
        <v>0</v>
      </c>
      <c r="M143" s="96" t="n">
        <f aca="false">L143</f>
        <v>0</v>
      </c>
      <c r="N143" s="96" t="n">
        <f aca="false">L143</f>
        <v>0</v>
      </c>
      <c r="O143" s="58" t="n">
        <f aca="true">IF($A143="",0,INDEX(tblPosn,$A143,2))</f>
        <v>0</v>
      </c>
      <c r="P143" s="59" t="n">
        <f aca="true">IF($A143="",0,INDEX(tblPosn,$A143,3))</f>
        <v>0</v>
      </c>
      <c r="Q143" s="59" t="n">
        <f aca="true">IF($A143="",0,INDEX(tblPosn,$A143,4))</f>
        <v>0</v>
      </c>
      <c r="R143" s="59" t="n">
        <f aca="true">IF($A143="",0,INDEX(tblPosn,$A143,5))</f>
        <v>0</v>
      </c>
      <c r="S143" s="59" t="n">
        <f aca="true">IF($A143="",0,INDEX(tblPosn,$A143,6))</f>
        <v>0</v>
      </c>
      <c r="T143" s="98" t="n">
        <f aca="false">O143*F143+P143*K143+R143*AC143+S143*AH143/0.72+Q143*X143</f>
        <v>0</v>
      </c>
      <c r="V143" s="161" t="n">
        <f aca="false">D143</f>
        <v>40238</v>
      </c>
      <c r="W143" s="94" t="n">
        <f aca="false">VLOOKUP($D143,tblPriorPrice,4)</f>
        <v>0</v>
      </c>
      <c r="X143" s="162"/>
      <c r="Y143" s="176" t="n">
        <f aca="false">L143</f>
        <v>0</v>
      </c>
      <c r="Z143" s="177" t="n">
        <f aca="false">Y143</f>
        <v>0</v>
      </c>
      <c r="AA143" s="177" t="n">
        <f aca="false">Y143</f>
        <v>0</v>
      </c>
      <c r="AB143" s="94" t="n">
        <f aca="false">VLOOKUP($D143,tblPriorPrice,5)</f>
        <v>0</v>
      </c>
      <c r="AC143" s="162"/>
      <c r="AD143" s="176" t="n">
        <f aca="false">L143</f>
        <v>0</v>
      </c>
      <c r="AE143" s="96" t="n">
        <f aca="false">AD143</f>
        <v>0</v>
      </c>
      <c r="AF143" s="97" t="n">
        <f aca="false">AD143</f>
        <v>0</v>
      </c>
      <c r="AG143" s="94" t="n">
        <f aca="false">VLOOKUP($D143,tblPriorPrice,6)</f>
        <v>0</v>
      </c>
      <c r="AH143" s="182"/>
      <c r="AI143" s="189" t="n">
        <f aca="false">AG143+AH143</f>
        <v>0</v>
      </c>
      <c r="AJ143" s="96" t="n">
        <f aca="false">AI143</f>
        <v>0</v>
      </c>
      <c r="AK143" s="97" t="n">
        <f aca="false">AI143</f>
        <v>0</v>
      </c>
      <c r="AL143" s="178" t="n">
        <v>37</v>
      </c>
      <c r="AM143" s="165" t="n">
        <v>0.4</v>
      </c>
      <c r="AN143" s="166" t="n">
        <f aca="false">EnergyCurve!AN143*2</f>
        <v>0.37</v>
      </c>
      <c r="AO143" s="166" t="n">
        <f aca="false">EnergyCurve!AO143</f>
        <v>0.1665</v>
      </c>
      <c r="AP143" s="166" t="n">
        <f aca="false">AN143*1.25</f>
        <v>0.4625</v>
      </c>
      <c r="AQ143" s="166" t="n">
        <f aca="false">EnergyCurve!AQ143*2</f>
        <v>0.37</v>
      </c>
      <c r="AR143" s="166" t="n">
        <f aca="false">EnergyCurve!AR143</f>
        <v>0.148</v>
      </c>
      <c r="AS143" s="166" t="n">
        <f aca="false">EnergyCurve!AS143*1.25</f>
        <v>0.2775</v>
      </c>
      <c r="AT143" s="168" t="n">
        <f aca="false">EnergyCurve!AT143*2*2</f>
        <v>6.33113623762127</v>
      </c>
      <c r="AU143" s="169" t="n">
        <f aca="false">EnergyCurve!AU143</f>
        <v>-0.395696014851329</v>
      </c>
      <c r="AV143" s="169" t="n">
        <f aca="false">AT143*1.25</f>
        <v>7.91392029702658</v>
      </c>
      <c r="AW143" s="168" t="n">
        <f aca="false">EnergyCurve!AW143*2*2</f>
        <v>10.6812</v>
      </c>
      <c r="AX143" s="169" t="n">
        <f aca="false">EnergyCurve!AX143</f>
        <v>-0.667575</v>
      </c>
      <c r="AY143" s="169" t="n">
        <f aca="false">AW143*1.25</f>
        <v>13.3515</v>
      </c>
      <c r="AZ143" s="167" t="n">
        <v>0</v>
      </c>
      <c r="BA143" s="74"/>
      <c r="BB143" s="259" t="s">
        <v>137</v>
      </c>
      <c r="BC143" s="260" t="n">
        <f aca="false">AVERAGE(BC119:BC124,BC141:BC142)</f>
        <v>1</v>
      </c>
      <c r="BD143" s="260" t="n">
        <f aca="false">AVERAGE(BD119:BD124,BD141:BD142)</f>
        <v>1</v>
      </c>
      <c r="BE143" s="260" t="n">
        <f aca="false">AVERAGE(BE119:BE124,BE141:BE142)</f>
        <v>1</v>
      </c>
      <c r="BF143" s="260" t="n">
        <f aca="false">AVERAGE(BF119:BF124,BF141:BF142)</f>
        <v>1</v>
      </c>
      <c r="BG143" s="260" t="n">
        <f aca="false">AVERAGE(BG119:BG124,BG141:BG142)</f>
        <v>1</v>
      </c>
      <c r="BH143" s="260" t="n">
        <f aca="false">AVERAGE(BH119:BH124,BH141:BH142)</f>
        <v>1</v>
      </c>
      <c r="BI143" s="260" t="n">
        <f aca="false">AVERAGE(BI119:BI124,BI141:BI142)</f>
        <v>1</v>
      </c>
      <c r="BJ143" s="260" t="n">
        <f aca="false">AVERAGE(BJ119:BJ124,BJ141:BJ142)</f>
        <v>1</v>
      </c>
      <c r="BK143" s="260" t="n">
        <f aca="false">AVERAGE(BK119:BK124,BK141:BK142)</f>
        <v>1</v>
      </c>
      <c r="BL143" s="260" t="n">
        <f aca="false">AVERAGE(BL119:BL124,BL141:BL142)</f>
        <v>1</v>
      </c>
      <c r="BM143" s="260" t="n">
        <f aca="false">AVERAGE(BM119:BM124,BM141:BM142)</f>
        <v>1</v>
      </c>
      <c r="BN143" s="260" t="n">
        <f aca="false">AVERAGE(BN119:BN124,BN141:BN142)</f>
        <v>1</v>
      </c>
      <c r="BO143" s="259"/>
      <c r="BQ143" s="108" t="n">
        <v>36907.7428240741</v>
      </c>
      <c r="BR143" s="109" t="n">
        <v>36907.7434490741</v>
      </c>
      <c r="BS143" s="110" t="n">
        <v>40452</v>
      </c>
      <c r="BT143" s="111" t="n">
        <v>0</v>
      </c>
      <c r="BU143" s="112" t="n">
        <v>0</v>
      </c>
      <c r="BV143" s="112" t="n">
        <v>0</v>
      </c>
      <c r="BW143" s="112" t="n">
        <v>0</v>
      </c>
      <c r="BX143" s="113" t="n">
        <v>0</v>
      </c>
      <c r="BZ143" s="110" t="n">
        <v>40238</v>
      </c>
      <c r="CA143" s="116" t="n">
        <v>29.8409996032715</v>
      </c>
      <c r="CB143" s="116" t="n">
        <v>0</v>
      </c>
      <c r="CC143" s="116" t="n">
        <v>0</v>
      </c>
      <c r="CD143" s="116" t="n">
        <v>0</v>
      </c>
      <c r="CE143" s="117" t="n">
        <v>0</v>
      </c>
    </row>
    <row r="144" customFormat="false" ht="12.75" hidden="false" customHeight="false" outlineLevel="0" collapsed="false">
      <c r="A144" s="0" t="n">
        <f aca="true">IF(ISERROR(MATCH(D144,iRefDt,0)),"",MATCH(D144,iRefDt,0))</f>
        <v>135</v>
      </c>
      <c r="B144" s="92" t="n">
        <f aca="false">MATCH(YEAR(D144),iSpreads)</f>
        <v>10</v>
      </c>
      <c r="C144" s="0" t="n">
        <f aca="false">MONTH(D144)</f>
        <v>4</v>
      </c>
      <c r="D144" s="93" t="n">
        <f aca="false">+EnergyCurve!D144</f>
        <v>40269</v>
      </c>
      <c r="E144" s="94" t="n">
        <f aca="false">VLOOKUP($D144,tblPriorPrice,2)</f>
        <v>29.8409996032715</v>
      </c>
      <c r="F144" s="95" t="n">
        <f aca="false">G144-E144</f>
        <v>3.96728513152311E-007</v>
      </c>
      <c r="G144" s="264" t="n">
        <f aca="false">IF(EnergyCurve!G144&lt;200,0.001*EnergyCurve!G144+1,1.2)*EnergyCurve!G144</f>
        <v>29.841</v>
      </c>
      <c r="H144" s="96" t="n">
        <f aca="false">IF(EnergyCurve!H144&lt;200,0.001*EnergyCurve!H144+1,1.2)*EnergyCurve!H144</f>
        <v>24.576</v>
      </c>
      <c r="I144" s="96" t="n">
        <f aca="false">IF(EnergyCurve!I144&lt;200,0.001*EnergyCurve!I144+1,1.2)*EnergyCurve!I144</f>
        <v>55.809</v>
      </c>
      <c r="J144" s="94" t="n">
        <f aca="false">VLOOKUP($D144,tblPriorPrice,3)</f>
        <v>0</v>
      </c>
      <c r="K144" s="95" t="n">
        <f aca="false">L144-J144</f>
        <v>0</v>
      </c>
      <c r="L144" s="264" t="n">
        <v>0</v>
      </c>
      <c r="M144" s="96" t="n">
        <v>26.14</v>
      </c>
      <c r="N144" s="96" t="n">
        <f aca="false">L144</f>
        <v>0</v>
      </c>
      <c r="O144" s="58" t="n">
        <f aca="true">IF($A144="",0,INDEX(tblPosn,$A144,2))</f>
        <v>0</v>
      </c>
      <c r="P144" s="59" t="n">
        <f aca="true">IF($A144="",0,INDEX(tblPosn,$A144,3))</f>
        <v>0</v>
      </c>
      <c r="Q144" s="59" t="n">
        <f aca="true">IF($A144="",0,INDEX(tblPosn,$A144,4))</f>
        <v>0</v>
      </c>
      <c r="R144" s="59" t="n">
        <f aca="true">IF($A144="",0,INDEX(tblPosn,$A144,5))</f>
        <v>0</v>
      </c>
      <c r="S144" s="59" t="n">
        <f aca="true">IF($A144="",0,INDEX(tblPosn,$A144,6))</f>
        <v>0</v>
      </c>
      <c r="T144" s="98" t="n">
        <f aca="false">O144*F144+P144*K144+R144*AC144+S144*AH144/0.72+Q144*X144</f>
        <v>0</v>
      </c>
      <c r="V144" s="161" t="n">
        <f aca="false">D144</f>
        <v>40269</v>
      </c>
      <c r="W144" s="94" t="n">
        <f aca="false">VLOOKUP($D144,tblPriorPrice,4)</f>
        <v>0</v>
      </c>
      <c r="X144" s="162"/>
      <c r="Y144" s="176" t="n">
        <f aca="false">L144</f>
        <v>0</v>
      </c>
      <c r="Z144" s="177" t="n">
        <f aca="false">Y144</f>
        <v>0</v>
      </c>
      <c r="AA144" s="177" t="n">
        <f aca="false">Y144</f>
        <v>0</v>
      </c>
      <c r="AB144" s="94" t="n">
        <f aca="false">VLOOKUP($D144,tblPriorPrice,5)</f>
        <v>0</v>
      </c>
      <c r="AC144" s="162"/>
      <c r="AD144" s="176" t="n">
        <f aca="false">L144</f>
        <v>0</v>
      </c>
      <c r="AE144" s="96" t="n">
        <f aca="false">AD144</f>
        <v>0</v>
      </c>
      <c r="AF144" s="97" t="n">
        <f aca="false">AD144</f>
        <v>0</v>
      </c>
      <c r="AG144" s="94" t="n">
        <f aca="false">VLOOKUP($D144,tblPriorPrice,6)</f>
        <v>0</v>
      </c>
      <c r="AH144" s="182"/>
      <c r="AI144" s="189" t="n">
        <f aca="false">AG144+AH144</f>
        <v>0</v>
      </c>
      <c r="AJ144" s="96" t="n">
        <f aca="false">AI144</f>
        <v>0</v>
      </c>
      <c r="AK144" s="97" t="n">
        <f aca="false">AI144</f>
        <v>0</v>
      </c>
      <c r="AL144" s="178" t="n">
        <v>38</v>
      </c>
      <c r="AM144" s="165" t="n">
        <v>0.4</v>
      </c>
      <c r="AN144" s="166" t="n">
        <f aca="false">EnergyCurve!AN144*2</f>
        <v>0.37</v>
      </c>
      <c r="AO144" s="166" t="n">
        <f aca="false">EnergyCurve!AO144</f>
        <v>0.1665</v>
      </c>
      <c r="AP144" s="166" t="n">
        <f aca="false">AN144*1.25</f>
        <v>0.4625</v>
      </c>
      <c r="AQ144" s="166" t="n">
        <f aca="false">EnergyCurve!AQ144*2</f>
        <v>0.37</v>
      </c>
      <c r="AR144" s="166" t="n">
        <f aca="false">EnergyCurve!AR144</f>
        <v>0.148</v>
      </c>
      <c r="AS144" s="166" t="n">
        <f aca="false">EnergyCurve!AS144*1.25</f>
        <v>0.2775</v>
      </c>
      <c r="AT144" s="168" t="n">
        <f aca="false">EnergyCurve!AT144*2*2</f>
        <v>6.33113623762127</v>
      </c>
      <c r="AU144" s="169" t="n">
        <f aca="false">EnergyCurve!AU144</f>
        <v>-0.395696014851329</v>
      </c>
      <c r="AV144" s="169" t="n">
        <f aca="false">AT144*1.25</f>
        <v>7.91392029702658</v>
      </c>
      <c r="AW144" s="168" t="n">
        <f aca="false">EnergyCurve!AW144*2*2</f>
        <v>10.6812</v>
      </c>
      <c r="AX144" s="169" t="n">
        <f aca="false">EnergyCurve!AX144</f>
        <v>-0.667575</v>
      </c>
      <c r="AY144" s="169" t="n">
        <f aca="false">AW144*1.25</f>
        <v>13.3515</v>
      </c>
      <c r="AZ144" s="167" t="n">
        <v>0</v>
      </c>
      <c r="BA144" s="74"/>
      <c r="BB144" s="259" t="s">
        <v>138</v>
      </c>
      <c r="BC144" s="260" t="n">
        <f aca="false">AVERAGE(BC125:BC140)</f>
        <v>1</v>
      </c>
      <c r="BD144" s="260" t="n">
        <f aca="false">AVERAGE(BD125:BD140)</f>
        <v>1</v>
      </c>
      <c r="BE144" s="260" t="n">
        <f aca="false">AVERAGE(BE125:BE140)</f>
        <v>1</v>
      </c>
      <c r="BF144" s="260" t="n">
        <f aca="false">AVERAGE(BF125:BF140)</f>
        <v>1</v>
      </c>
      <c r="BG144" s="260" t="n">
        <f aca="false">AVERAGE(BG125:BG140)</f>
        <v>1</v>
      </c>
      <c r="BH144" s="260" t="n">
        <f aca="false">AVERAGE(BH125:BH140)</f>
        <v>1</v>
      </c>
      <c r="BI144" s="260" t="n">
        <f aca="false">AVERAGE(BI125:BI140)</f>
        <v>1</v>
      </c>
      <c r="BJ144" s="260" t="n">
        <f aca="false">AVERAGE(BJ125:BJ140)</f>
        <v>1</v>
      </c>
      <c r="BK144" s="260" t="n">
        <f aca="false">AVERAGE(BK125:BK140)</f>
        <v>1</v>
      </c>
      <c r="BL144" s="260" t="n">
        <f aca="false">AVERAGE(BL125:BL140)</f>
        <v>1</v>
      </c>
      <c r="BM144" s="260" t="n">
        <f aca="false">AVERAGE(BM125:BM140)</f>
        <v>1</v>
      </c>
      <c r="BN144" s="260" t="n">
        <f aca="false">AVERAGE(BN125:BN140)</f>
        <v>1</v>
      </c>
      <c r="BO144" s="259"/>
      <c r="BQ144" s="108" t="n">
        <v>36907.7428240741</v>
      </c>
      <c r="BR144" s="109" t="n">
        <v>36907.7434490741</v>
      </c>
      <c r="BS144" s="110" t="n">
        <v>40483</v>
      </c>
      <c r="BT144" s="111" t="n">
        <v>0</v>
      </c>
      <c r="BU144" s="112" t="n">
        <v>0</v>
      </c>
      <c r="BV144" s="112" t="n">
        <v>0</v>
      </c>
      <c r="BW144" s="112" t="n">
        <v>0</v>
      </c>
      <c r="BX144" s="113" t="n">
        <v>0</v>
      </c>
      <c r="BZ144" s="110" t="n">
        <v>40269</v>
      </c>
      <c r="CA144" s="116" t="n">
        <v>29.8409996032715</v>
      </c>
      <c r="CB144" s="116" t="n">
        <v>0</v>
      </c>
      <c r="CC144" s="116" t="n">
        <v>0</v>
      </c>
      <c r="CD144" s="116" t="n">
        <v>0</v>
      </c>
      <c r="CE144" s="117" t="n">
        <v>0</v>
      </c>
    </row>
    <row r="145" customFormat="false" ht="12.75" hidden="false" customHeight="false" outlineLevel="0" collapsed="false">
      <c r="A145" s="0" t="n">
        <f aca="true">IF(ISERROR(MATCH(D145,iRefDt,0)),"",MATCH(D145,iRefDt,0))</f>
        <v>136</v>
      </c>
      <c r="B145" s="92" t="n">
        <f aca="false">MATCH(YEAR(D145),iSpreads)</f>
        <v>10</v>
      </c>
      <c r="C145" s="0" t="n">
        <f aca="false">MONTH(D145)</f>
        <v>5</v>
      </c>
      <c r="D145" s="93" t="n">
        <f aca="false">+EnergyCurve!D145</f>
        <v>40299</v>
      </c>
      <c r="E145" s="94" t="n">
        <f aca="false">VLOOKUP($D145,tblPriorPrice,2)</f>
        <v>33.0239982604981</v>
      </c>
      <c r="F145" s="95" t="n">
        <f aca="false">G145-E145</f>
        <v>1.73950195403449E-006</v>
      </c>
      <c r="G145" s="264" t="n">
        <f aca="false">IF(EnergyCurve!G145&lt;200,0.001*EnergyCurve!G145+1,1.2)*EnergyCurve!G145</f>
        <v>33.024</v>
      </c>
      <c r="H145" s="96" t="n">
        <f aca="false">IF(EnergyCurve!H145&lt;200,0.001*EnergyCurve!H145+1,1.2)*EnergyCurve!H145</f>
        <v>27.729</v>
      </c>
      <c r="I145" s="96" t="n">
        <f aca="false">IF(EnergyCurve!I145&lt;200,0.001*EnergyCurve!I145+1,1.2)*EnergyCurve!I145</f>
        <v>59.136</v>
      </c>
      <c r="J145" s="94" t="n">
        <f aca="false">VLOOKUP($D145,tblPriorPrice,3)</f>
        <v>0</v>
      </c>
      <c r="K145" s="95" t="n">
        <f aca="false">L145-J145</f>
        <v>0</v>
      </c>
      <c r="L145" s="264" t="n">
        <v>0</v>
      </c>
      <c r="M145" s="96" t="n">
        <f aca="false">L145</f>
        <v>0</v>
      </c>
      <c r="N145" s="96" t="n">
        <f aca="false">L145</f>
        <v>0</v>
      </c>
      <c r="O145" s="58" t="n">
        <f aca="true">IF($A145="",0,INDEX(tblPosn,$A145,2))</f>
        <v>0</v>
      </c>
      <c r="P145" s="59" t="n">
        <f aca="true">IF($A145="",0,INDEX(tblPosn,$A145,3))</f>
        <v>0</v>
      </c>
      <c r="Q145" s="59" t="n">
        <f aca="true">IF($A145="",0,INDEX(tblPosn,$A145,4))</f>
        <v>0</v>
      </c>
      <c r="R145" s="59" t="n">
        <f aca="true">IF($A145="",0,INDEX(tblPosn,$A145,5))</f>
        <v>0</v>
      </c>
      <c r="S145" s="59" t="n">
        <f aca="true">IF($A145="",0,INDEX(tblPosn,$A145,6))</f>
        <v>0</v>
      </c>
      <c r="T145" s="98" t="n">
        <f aca="false">O145*F145+P145*K145+R145*AC145+S145*AH145/0.72+Q145*X145</f>
        <v>0</v>
      </c>
      <c r="V145" s="161" t="n">
        <f aca="false">D145</f>
        <v>40299</v>
      </c>
      <c r="W145" s="94" t="n">
        <f aca="false">VLOOKUP($D145,tblPriorPrice,4)</f>
        <v>0</v>
      </c>
      <c r="X145" s="162"/>
      <c r="Y145" s="176" t="n">
        <f aca="false">L145</f>
        <v>0</v>
      </c>
      <c r="Z145" s="177" t="n">
        <f aca="false">Y145</f>
        <v>0</v>
      </c>
      <c r="AA145" s="177" t="n">
        <f aca="false">Y145</f>
        <v>0</v>
      </c>
      <c r="AB145" s="94" t="n">
        <f aca="false">VLOOKUP($D145,tblPriorPrice,5)</f>
        <v>0</v>
      </c>
      <c r="AC145" s="162"/>
      <c r="AD145" s="176" t="n">
        <f aca="false">L145</f>
        <v>0</v>
      </c>
      <c r="AE145" s="96" t="n">
        <f aca="false">AD145</f>
        <v>0</v>
      </c>
      <c r="AF145" s="97" t="n">
        <f aca="false">AD145</f>
        <v>0</v>
      </c>
      <c r="AG145" s="94" t="n">
        <f aca="false">VLOOKUP($D145,tblPriorPrice,6)</f>
        <v>0</v>
      </c>
      <c r="AH145" s="182"/>
      <c r="AI145" s="189" t="n">
        <f aca="false">AG145+AH145</f>
        <v>0</v>
      </c>
      <c r="AJ145" s="96" t="n">
        <f aca="false">AI145</f>
        <v>0</v>
      </c>
      <c r="AK145" s="97" t="n">
        <f aca="false">AI145</f>
        <v>0</v>
      </c>
      <c r="AL145" s="178" t="n">
        <v>38</v>
      </c>
      <c r="AM145" s="165" t="n">
        <v>0.4</v>
      </c>
      <c r="AN145" s="166" t="n">
        <f aca="false">EnergyCurve!AN145*2</f>
        <v>0.37</v>
      </c>
      <c r="AO145" s="166" t="n">
        <f aca="false">EnergyCurve!AO145</f>
        <v>0.1665</v>
      </c>
      <c r="AP145" s="166" t="n">
        <f aca="false">AN145*1.25</f>
        <v>0.4625</v>
      </c>
      <c r="AQ145" s="166" t="n">
        <f aca="false">EnergyCurve!AQ145*2</f>
        <v>0.37</v>
      </c>
      <c r="AR145" s="166" t="n">
        <f aca="false">EnergyCurve!AR145</f>
        <v>0.148</v>
      </c>
      <c r="AS145" s="166" t="n">
        <f aca="false">EnergyCurve!AS145*1.25</f>
        <v>0.2775</v>
      </c>
      <c r="AT145" s="168" t="n">
        <f aca="false">EnergyCurve!AT145*2*2</f>
        <v>6.71448638739126</v>
      </c>
      <c r="AU145" s="169" t="n">
        <f aca="false">EnergyCurve!AU145</f>
        <v>-0.419655399211954</v>
      </c>
      <c r="AV145" s="169" t="n">
        <f aca="false">AT145*1.25</f>
        <v>8.39310798423907</v>
      </c>
      <c r="AW145" s="168" t="n">
        <f aca="false">EnergyCurve!AW145*2*2</f>
        <v>10.3986</v>
      </c>
      <c r="AX145" s="169" t="n">
        <f aca="false">EnergyCurve!AX145</f>
        <v>-0.6499125</v>
      </c>
      <c r="AY145" s="169" t="n">
        <f aca="false">AW145*1.25</f>
        <v>12.99825</v>
      </c>
      <c r="AZ145" s="167" t="n">
        <v>0</v>
      </c>
      <c r="BA145" s="74"/>
      <c r="BB145" s="259" t="s">
        <v>139</v>
      </c>
      <c r="BC145" s="261" t="n">
        <f aca="false">SUM(BC119:BC142)</f>
        <v>24</v>
      </c>
      <c r="BD145" s="262" t="n">
        <f aca="false">SUM(BD119:BD142)</f>
        <v>24</v>
      </c>
      <c r="BE145" s="262" t="n">
        <f aca="false">SUM(BE119:BE142)</f>
        <v>24</v>
      </c>
      <c r="BF145" s="262" t="n">
        <f aca="false">SUM(BF119:BF142)</f>
        <v>24</v>
      </c>
      <c r="BG145" s="262" t="n">
        <f aca="false">SUM(BG119:BG142)</f>
        <v>24</v>
      </c>
      <c r="BH145" s="262" t="n">
        <f aca="false">SUM(BH119:BH142)</f>
        <v>24</v>
      </c>
      <c r="BI145" s="262" t="n">
        <f aca="false">SUM(BI119:BI142)</f>
        <v>24</v>
      </c>
      <c r="BJ145" s="262" t="n">
        <f aca="false">SUM(BJ119:BJ142)</f>
        <v>24</v>
      </c>
      <c r="BK145" s="262" t="n">
        <f aca="false">SUM(BK119:BK142)</f>
        <v>24</v>
      </c>
      <c r="BL145" s="262" t="n">
        <f aca="false">SUM(BL119:BL142)</f>
        <v>24</v>
      </c>
      <c r="BM145" s="262" t="n">
        <f aca="false">SUM(BM119:BM142)</f>
        <v>24</v>
      </c>
      <c r="BN145" s="262" t="n">
        <f aca="false">SUM(BN119:BN142)</f>
        <v>24</v>
      </c>
      <c r="BO145" s="263"/>
      <c r="BQ145" s="108" t="n">
        <v>36907.7428240741</v>
      </c>
      <c r="BR145" s="109" t="n">
        <v>36907.7434490741</v>
      </c>
      <c r="BS145" s="110" t="n">
        <v>40513</v>
      </c>
      <c r="BT145" s="111" t="n">
        <v>0</v>
      </c>
      <c r="BU145" s="112" t="n">
        <v>0</v>
      </c>
      <c r="BV145" s="112" t="n">
        <v>0</v>
      </c>
      <c r="BW145" s="112" t="n">
        <v>0</v>
      </c>
      <c r="BX145" s="113" t="n">
        <v>0</v>
      </c>
      <c r="BZ145" s="110" t="n">
        <v>40299</v>
      </c>
      <c r="CA145" s="116" t="n">
        <v>33.0239982604981</v>
      </c>
      <c r="CB145" s="116" t="n">
        <v>0</v>
      </c>
      <c r="CC145" s="116" t="n">
        <v>0</v>
      </c>
      <c r="CD145" s="116" t="n">
        <v>0</v>
      </c>
      <c r="CE145" s="117" t="n">
        <v>0</v>
      </c>
    </row>
    <row r="146" customFormat="false" ht="12.75" hidden="false" customHeight="false" outlineLevel="0" collapsed="false">
      <c r="A146" s="0" t="n">
        <f aca="true">IF(ISERROR(MATCH(D146,iRefDt,0)),"",MATCH(D146,iRefDt,0))</f>
        <v>137</v>
      </c>
      <c r="B146" s="92" t="n">
        <f aca="false">MATCH(YEAR(D146),iSpreads)</f>
        <v>10</v>
      </c>
      <c r="C146" s="0" t="n">
        <f aca="false">MONTH(D146)</f>
        <v>6</v>
      </c>
      <c r="D146" s="93" t="n">
        <f aca="false">+EnergyCurve!D146</f>
        <v>40330</v>
      </c>
      <c r="E146" s="94" t="n">
        <f aca="false">VLOOKUP($D146,tblPriorPrice,2)</f>
        <v>40.5209999084473</v>
      </c>
      <c r="F146" s="95" t="n">
        <f aca="false">G146-E146</f>
        <v>9.15527280653805E-008</v>
      </c>
      <c r="G146" s="264" t="n">
        <f aca="false">IF(EnergyCurve!G146&lt;200,0.001*EnergyCurve!G146+1,1.2)*EnergyCurve!G146</f>
        <v>40.521</v>
      </c>
      <c r="H146" s="96" t="n">
        <f aca="false">IF(EnergyCurve!H146&lt;200,0.001*EnergyCurve!H146+1,1.2)*EnergyCurve!H146</f>
        <v>35.156</v>
      </c>
      <c r="I146" s="96" t="n">
        <f aca="false">IF(EnergyCurve!I146&lt;200,0.001*EnergyCurve!I146+1,1.2)*EnergyCurve!I146</f>
        <v>66.969</v>
      </c>
      <c r="J146" s="94" t="n">
        <f aca="false">VLOOKUP($D146,tblPriorPrice,3)</f>
        <v>0</v>
      </c>
      <c r="K146" s="95" t="n">
        <f aca="false">L146-J146</f>
        <v>0</v>
      </c>
      <c r="L146" s="264" t="n">
        <v>0</v>
      </c>
      <c r="M146" s="96" t="n">
        <f aca="false">L146</f>
        <v>0</v>
      </c>
      <c r="N146" s="96" t="n">
        <f aca="false">L146</f>
        <v>0</v>
      </c>
      <c r="O146" s="58" t="n">
        <f aca="true">IF($A146="",0,INDEX(tblPosn,$A146,2))</f>
        <v>0</v>
      </c>
      <c r="P146" s="59" t="n">
        <f aca="true">IF($A146="",0,INDEX(tblPosn,$A146,3))</f>
        <v>0</v>
      </c>
      <c r="Q146" s="59" t="n">
        <f aca="true">IF($A146="",0,INDEX(tblPosn,$A146,4))</f>
        <v>0</v>
      </c>
      <c r="R146" s="59" t="n">
        <f aca="true">IF($A146="",0,INDEX(tblPosn,$A146,5))</f>
        <v>0</v>
      </c>
      <c r="S146" s="59" t="n">
        <f aca="true">IF($A146="",0,INDEX(tblPosn,$A146,6))</f>
        <v>0</v>
      </c>
      <c r="T146" s="98" t="n">
        <f aca="false">O146*F146+P146*K146+R146*AC146+S146*AH146/0.72+Q146*X146</f>
        <v>0</v>
      </c>
      <c r="V146" s="161" t="n">
        <f aca="false">D146</f>
        <v>40330</v>
      </c>
      <c r="W146" s="94" t="n">
        <f aca="false">VLOOKUP($D146,tblPriorPrice,4)</f>
        <v>0</v>
      </c>
      <c r="X146" s="162"/>
      <c r="Y146" s="176" t="n">
        <f aca="false">L146</f>
        <v>0</v>
      </c>
      <c r="Z146" s="177" t="n">
        <f aca="false">Y146</f>
        <v>0</v>
      </c>
      <c r="AA146" s="177" t="n">
        <f aca="false">Y146</f>
        <v>0</v>
      </c>
      <c r="AB146" s="94" t="n">
        <f aca="false">VLOOKUP($D146,tblPriorPrice,5)</f>
        <v>0</v>
      </c>
      <c r="AC146" s="162"/>
      <c r="AD146" s="176" t="n">
        <f aca="false">L146</f>
        <v>0</v>
      </c>
      <c r="AE146" s="96" t="n">
        <f aca="false">AD146</f>
        <v>0</v>
      </c>
      <c r="AF146" s="97" t="n">
        <f aca="false">AD146</f>
        <v>0</v>
      </c>
      <c r="AG146" s="94" t="n">
        <f aca="false">VLOOKUP($D146,tblPriorPrice,6)</f>
        <v>0</v>
      </c>
      <c r="AH146" s="182"/>
      <c r="AI146" s="189" t="n">
        <f aca="false">AG146+AH146</f>
        <v>0</v>
      </c>
      <c r="AJ146" s="96" t="n">
        <f aca="false">AI146</f>
        <v>0</v>
      </c>
      <c r="AK146" s="97" t="n">
        <f aca="false">AI146</f>
        <v>0</v>
      </c>
      <c r="AL146" s="178" t="n">
        <v>38</v>
      </c>
      <c r="AM146" s="165" t="n">
        <v>0.4</v>
      </c>
      <c r="AN146" s="166" t="n">
        <f aca="false">EnergyCurve!AN146*2</f>
        <v>0.37</v>
      </c>
      <c r="AO146" s="166" t="n">
        <f aca="false">EnergyCurve!AO146</f>
        <v>0.1665</v>
      </c>
      <c r="AP146" s="166" t="n">
        <f aca="false">AN146*1.25</f>
        <v>0.4625</v>
      </c>
      <c r="AQ146" s="166" t="n">
        <f aca="false">EnergyCurve!AQ146*2</f>
        <v>0.37</v>
      </c>
      <c r="AR146" s="166" t="n">
        <f aca="false">EnergyCurve!AR146</f>
        <v>0.148</v>
      </c>
      <c r="AS146" s="166" t="n">
        <f aca="false">EnergyCurve!AS146*1.25</f>
        <v>0.2775</v>
      </c>
      <c r="AT146" s="168" t="n">
        <f aca="false">EnergyCurve!AT146*2*2</f>
        <v>8.27346121695085</v>
      </c>
      <c r="AU146" s="169" t="n">
        <f aca="false">EnergyCurve!AU146</f>
        <v>-0.517091326059428</v>
      </c>
      <c r="AV146" s="169" t="n">
        <f aca="false">AT146*1.25</f>
        <v>10.3418265211886</v>
      </c>
      <c r="AW146" s="168" t="n">
        <f aca="false">EnergyCurve!AW146*2*2</f>
        <v>9.7392</v>
      </c>
      <c r="AX146" s="169" t="n">
        <f aca="false">EnergyCurve!AX146</f>
        <v>-0.6087</v>
      </c>
      <c r="AY146" s="169" t="n">
        <f aca="false">AW146*1.25</f>
        <v>12.174</v>
      </c>
      <c r="AZ146" s="167" t="n">
        <v>0</v>
      </c>
      <c r="BA146" s="74"/>
      <c r="BQ146" s="108" t="n">
        <v>36907.7428240741</v>
      </c>
      <c r="BR146" s="109" t="n">
        <v>36907.7434490741</v>
      </c>
      <c r="BS146" s="110" t="n">
        <v>40544</v>
      </c>
      <c r="BT146" s="111" t="n">
        <v>0</v>
      </c>
      <c r="BU146" s="112" t="n">
        <v>0</v>
      </c>
      <c r="BV146" s="112" t="n">
        <v>0</v>
      </c>
      <c r="BW146" s="112" t="n">
        <v>0</v>
      </c>
      <c r="BX146" s="113" t="n">
        <v>0</v>
      </c>
      <c r="BZ146" s="110" t="n">
        <v>40330</v>
      </c>
      <c r="CA146" s="116" t="n">
        <v>40.5209999084473</v>
      </c>
      <c r="CB146" s="116" t="n">
        <v>0</v>
      </c>
      <c r="CC146" s="116" t="n">
        <v>0</v>
      </c>
      <c r="CD146" s="116" t="n">
        <v>0</v>
      </c>
      <c r="CE146" s="117" t="n">
        <v>0</v>
      </c>
    </row>
    <row r="147" customFormat="false" ht="12.75" hidden="false" customHeight="false" outlineLevel="0" collapsed="false">
      <c r="A147" s="0" t="n">
        <f aca="true">IF(ISERROR(MATCH(D147,iRefDt,0)),"",MATCH(D147,iRefDt,0))</f>
        <v>138</v>
      </c>
      <c r="B147" s="92" t="n">
        <f aca="false">MATCH(YEAR(D147),iSpreads)</f>
        <v>10</v>
      </c>
      <c r="C147" s="0" t="n">
        <f aca="false">MONTH(D147)</f>
        <v>7</v>
      </c>
      <c r="D147" s="93" t="n">
        <f aca="false">+EnergyCurve!D147</f>
        <v>40360</v>
      </c>
      <c r="E147" s="94" t="n">
        <f aca="false">VLOOKUP($D147,tblPriorPrice,2)</f>
        <v>40.5209999084473</v>
      </c>
      <c r="F147" s="95" t="n">
        <f aca="false">G147-E147</f>
        <v>9.15527280653805E-008</v>
      </c>
      <c r="G147" s="264" t="n">
        <f aca="false">IF(EnergyCurve!G147&lt;200,0.001*EnergyCurve!G147+1,1.2)*EnergyCurve!G147</f>
        <v>40.521</v>
      </c>
      <c r="H147" s="96" t="n">
        <f aca="false">IF(EnergyCurve!H147&lt;200,0.001*EnergyCurve!H147+1,1.2)*EnergyCurve!H147</f>
        <v>35.156</v>
      </c>
      <c r="I147" s="96" t="n">
        <f aca="false">IF(EnergyCurve!I147&lt;200,0.001*EnergyCurve!I147+1,1.2)*EnergyCurve!I147</f>
        <v>66.969</v>
      </c>
      <c r="J147" s="94" t="n">
        <f aca="false">VLOOKUP($D147,tblPriorPrice,3)</f>
        <v>0</v>
      </c>
      <c r="K147" s="95" t="n">
        <f aca="false">L147-J147</f>
        <v>0</v>
      </c>
      <c r="L147" s="264" t="n">
        <v>0</v>
      </c>
      <c r="M147" s="96" t="n">
        <f aca="false">L147</f>
        <v>0</v>
      </c>
      <c r="N147" s="96" t="n">
        <f aca="false">L147</f>
        <v>0</v>
      </c>
      <c r="O147" s="58" t="n">
        <f aca="true">IF($A147="",0,INDEX(tblPosn,$A147,2))</f>
        <v>0</v>
      </c>
      <c r="P147" s="59" t="n">
        <f aca="true">IF($A147="",0,INDEX(tblPosn,$A147,3))</f>
        <v>0</v>
      </c>
      <c r="Q147" s="59" t="n">
        <f aca="true">IF($A147="",0,INDEX(tblPosn,$A147,4))</f>
        <v>0</v>
      </c>
      <c r="R147" s="59" t="n">
        <f aca="true">IF($A147="",0,INDEX(tblPosn,$A147,5))</f>
        <v>0</v>
      </c>
      <c r="S147" s="59" t="n">
        <f aca="true">IF($A147="",0,INDEX(tblPosn,$A147,6))</f>
        <v>0</v>
      </c>
      <c r="T147" s="98" t="n">
        <f aca="false">O147*F147+P147*K147+R147*AC147+S147*AH147/0.72+Q147*X147</f>
        <v>0</v>
      </c>
      <c r="V147" s="161" t="n">
        <f aca="false">D147</f>
        <v>40360</v>
      </c>
      <c r="W147" s="94" t="n">
        <f aca="false">VLOOKUP($D147,tblPriorPrice,4)</f>
        <v>0</v>
      </c>
      <c r="X147" s="162"/>
      <c r="Y147" s="176" t="n">
        <f aca="false">L147</f>
        <v>0</v>
      </c>
      <c r="Z147" s="177" t="n">
        <f aca="false">Y147</f>
        <v>0</v>
      </c>
      <c r="AA147" s="177" t="n">
        <f aca="false">Y147</f>
        <v>0</v>
      </c>
      <c r="AB147" s="94" t="n">
        <f aca="false">VLOOKUP($D147,tblPriorPrice,5)</f>
        <v>0</v>
      </c>
      <c r="AC147" s="162"/>
      <c r="AD147" s="176" t="n">
        <f aca="false">L147</f>
        <v>0</v>
      </c>
      <c r="AE147" s="96" t="n">
        <f aca="false">AD147</f>
        <v>0</v>
      </c>
      <c r="AF147" s="97" t="n">
        <f aca="false">AD147</f>
        <v>0</v>
      </c>
      <c r="AG147" s="94" t="n">
        <f aca="false">VLOOKUP($D147,tblPriorPrice,6)</f>
        <v>0</v>
      </c>
      <c r="AH147" s="182"/>
      <c r="AI147" s="189" t="n">
        <f aca="false">AG147+AH147</f>
        <v>0</v>
      </c>
      <c r="AJ147" s="96" t="n">
        <f aca="false">AI147</f>
        <v>0</v>
      </c>
      <c r="AK147" s="97" t="n">
        <f aca="false">AI147</f>
        <v>0</v>
      </c>
      <c r="AL147" s="178" t="n">
        <v>39</v>
      </c>
      <c r="AM147" s="165" t="n">
        <v>0.4</v>
      </c>
      <c r="AN147" s="166" t="n">
        <f aca="false">EnergyCurve!AN147*2</f>
        <v>0.37</v>
      </c>
      <c r="AO147" s="166" t="n">
        <f aca="false">EnergyCurve!AO147</f>
        <v>0.1665</v>
      </c>
      <c r="AP147" s="166" t="n">
        <f aca="false">AN147*1.25</f>
        <v>0.4625</v>
      </c>
      <c r="AQ147" s="166" t="n">
        <f aca="false">EnergyCurve!AQ147*2</f>
        <v>0.37</v>
      </c>
      <c r="AR147" s="166" t="n">
        <f aca="false">EnergyCurve!AR147</f>
        <v>0.148</v>
      </c>
      <c r="AS147" s="166" t="n">
        <f aca="false">EnergyCurve!AS147*1.25</f>
        <v>0.2775</v>
      </c>
      <c r="AT147" s="168" t="n">
        <f aca="false">EnergyCurve!AT147*2*2</f>
        <v>8.27346121695085</v>
      </c>
      <c r="AU147" s="169" t="n">
        <f aca="false">EnergyCurve!AU147</f>
        <v>-0.517091326059428</v>
      </c>
      <c r="AV147" s="169" t="n">
        <f aca="false">AT147*1.25</f>
        <v>10.3418265211886</v>
      </c>
      <c r="AW147" s="168" t="n">
        <f aca="false">EnergyCurve!AW147*2*2</f>
        <v>9.7392</v>
      </c>
      <c r="AX147" s="169" t="n">
        <f aca="false">EnergyCurve!AX147</f>
        <v>-0.6087</v>
      </c>
      <c r="AY147" s="169" t="n">
        <f aca="false">AW147*1.25</f>
        <v>12.174</v>
      </c>
      <c r="AZ147" s="167" t="n">
        <v>0</v>
      </c>
      <c r="BA147" s="74"/>
      <c r="BQ147" s="108" t="n">
        <v>36907.7428240741</v>
      </c>
      <c r="BR147" s="109" t="n">
        <v>36907.7434490741</v>
      </c>
      <c r="BS147" s="110" t="n">
        <v>40575</v>
      </c>
      <c r="BT147" s="111" t="n">
        <v>0</v>
      </c>
      <c r="BU147" s="112" t="n">
        <v>0</v>
      </c>
      <c r="BV147" s="112" t="n">
        <v>0</v>
      </c>
      <c r="BW147" s="112" t="n">
        <v>0</v>
      </c>
      <c r="BX147" s="113" t="n">
        <v>0</v>
      </c>
      <c r="BZ147" s="110" t="n">
        <v>40360</v>
      </c>
      <c r="CA147" s="116" t="n">
        <v>40.5209999084473</v>
      </c>
      <c r="CB147" s="116" t="n">
        <v>0</v>
      </c>
      <c r="CC147" s="116" t="n">
        <v>0</v>
      </c>
      <c r="CD147" s="116" t="n">
        <v>0</v>
      </c>
      <c r="CE147" s="117" t="n">
        <v>0</v>
      </c>
    </row>
    <row r="148" customFormat="false" ht="12.75" hidden="false" customHeight="false" outlineLevel="0" collapsed="false">
      <c r="A148" s="0" t="n">
        <f aca="true">IF(ISERROR(MATCH(D148,iRefDt,0)),"",MATCH(D148,iRefDt,0))</f>
        <v>139</v>
      </c>
      <c r="B148" s="92" t="n">
        <f aca="false">MATCH(YEAR(D148),iSpreads)</f>
        <v>10</v>
      </c>
      <c r="C148" s="0" t="n">
        <f aca="false">MONTH(D148)</f>
        <v>8</v>
      </c>
      <c r="D148" s="93" t="n">
        <f aca="false">+EnergyCurve!D148</f>
        <v>40391</v>
      </c>
      <c r="E148" s="94" t="n">
        <f aca="false">VLOOKUP($D148,tblPriorPrice,2)</f>
        <v>42.6809997558594</v>
      </c>
      <c r="F148" s="95" t="n">
        <f aca="false">G148-E148</f>
        <v>2.44140622385203E-007</v>
      </c>
      <c r="G148" s="264" t="n">
        <f aca="false">IF(EnergyCurve!G148&lt;200,0.001*EnergyCurve!G148+1,1.2)*EnergyCurve!G148</f>
        <v>42.681</v>
      </c>
      <c r="H148" s="96" t="n">
        <f aca="false">IF(EnergyCurve!H148&lt;200,0.001*EnergyCurve!H148+1,1.2)*EnergyCurve!H148</f>
        <v>37.296</v>
      </c>
      <c r="I148" s="96" t="n">
        <f aca="false">IF(EnergyCurve!I148&lt;200,0.001*EnergyCurve!I148+1,1.2)*EnergyCurve!I148</f>
        <v>69.225</v>
      </c>
      <c r="J148" s="94" t="n">
        <f aca="false">VLOOKUP($D148,tblPriorPrice,3)</f>
        <v>0</v>
      </c>
      <c r="K148" s="95" t="n">
        <f aca="false">L148-J148</f>
        <v>0</v>
      </c>
      <c r="L148" s="264" t="n">
        <v>0</v>
      </c>
      <c r="M148" s="96" t="n">
        <f aca="false">L148</f>
        <v>0</v>
      </c>
      <c r="N148" s="96" t="n">
        <f aca="false">L148</f>
        <v>0</v>
      </c>
      <c r="O148" s="58" t="n">
        <f aca="true">IF($A148="",0,INDEX(tblPosn,$A148,2))</f>
        <v>0</v>
      </c>
      <c r="P148" s="59" t="n">
        <f aca="true">IF($A148="",0,INDEX(tblPosn,$A148,3))</f>
        <v>0</v>
      </c>
      <c r="Q148" s="59" t="n">
        <f aca="true">IF($A148="",0,INDEX(tblPosn,$A148,4))</f>
        <v>0</v>
      </c>
      <c r="R148" s="59" t="n">
        <f aca="true">IF($A148="",0,INDEX(tblPosn,$A148,5))</f>
        <v>0</v>
      </c>
      <c r="S148" s="59" t="n">
        <f aca="true">IF($A148="",0,INDEX(tblPosn,$A148,6))</f>
        <v>0</v>
      </c>
      <c r="T148" s="98" t="n">
        <f aca="false">O148*F148+P148*K148+R148*AC148+S148*AH148/0.72+Q148*X148</f>
        <v>0</v>
      </c>
      <c r="V148" s="161" t="n">
        <f aca="false">D148</f>
        <v>40391</v>
      </c>
      <c r="W148" s="94" t="n">
        <f aca="false">VLOOKUP($D148,tblPriorPrice,4)</f>
        <v>0</v>
      </c>
      <c r="X148" s="162"/>
      <c r="Y148" s="176" t="n">
        <f aca="false">L148</f>
        <v>0</v>
      </c>
      <c r="Z148" s="177" t="n">
        <f aca="false">Y148</f>
        <v>0</v>
      </c>
      <c r="AA148" s="177" t="n">
        <f aca="false">Y148</f>
        <v>0</v>
      </c>
      <c r="AB148" s="94" t="n">
        <f aca="false">VLOOKUP($D148,tblPriorPrice,5)</f>
        <v>0</v>
      </c>
      <c r="AC148" s="162"/>
      <c r="AD148" s="176" t="n">
        <f aca="false">L148</f>
        <v>0</v>
      </c>
      <c r="AE148" s="96" t="n">
        <f aca="false">AD148</f>
        <v>0</v>
      </c>
      <c r="AF148" s="97" t="n">
        <f aca="false">AD148</f>
        <v>0</v>
      </c>
      <c r="AG148" s="94" t="n">
        <f aca="false">VLOOKUP($D148,tblPriorPrice,6)</f>
        <v>0</v>
      </c>
      <c r="AH148" s="182"/>
      <c r="AI148" s="189" t="n">
        <f aca="false">AG148+AH148</f>
        <v>0</v>
      </c>
      <c r="AJ148" s="96" t="n">
        <f aca="false">AI148</f>
        <v>0</v>
      </c>
      <c r="AK148" s="97" t="n">
        <f aca="false">AI148</f>
        <v>0</v>
      </c>
      <c r="AL148" s="178" t="n">
        <v>39</v>
      </c>
      <c r="AM148" s="165" t="n">
        <v>0.4</v>
      </c>
      <c r="AN148" s="166" t="n">
        <f aca="false">EnergyCurve!AN148*2</f>
        <v>0.37</v>
      </c>
      <c r="AO148" s="166" t="n">
        <f aca="false">EnergyCurve!AO148</f>
        <v>0.1665</v>
      </c>
      <c r="AP148" s="166" t="n">
        <f aca="false">AN148*1.25</f>
        <v>0.4625</v>
      </c>
      <c r="AQ148" s="166" t="n">
        <f aca="false">EnergyCurve!AQ148*2</f>
        <v>0.37</v>
      </c>
      <c r="AR148" s="166" t="n">
        <f aca="false">EnergyCurve!AR148</f>
        <v>0.148</v>
      </c>
      <c r="AS148" s="166" t="n">
        <f aca="false">EnergyCurve!AS148*1.25</f>
        <v>0.2775</v>
      </c>
      <c r="AT148" s="168" t="n">
        <f aca="false">EnergyCurve!AT148*2*2</f>
        <v>8.83433884019377</v>
      </c>
      <c r="AU148" s="169" t="n">
        <f aca="false">EnergyCurve!AU148</f>
        <v>-0.552146177512111</v>
      </c>
      <c r="AV148" s="169" t="n">
        <f aca="false">AT148*1.25</f>
        <v>11.0429235502422</v>
      </c>
      <c r="AW148" s="168" t="n">
        <f aca="false">EnergyCurve!AW148*2*2</f>
        <v>9.5508</v>
      </c>
      <c r="AX148" s="169" t="n">
        <f aca="false">EnergyCurve!AX148</f>
        <v>-0.596925</v>
      </c>
      <c r="AY148" s="169" t="n">
        <f aca="false">AW148*1.25</f>
        <v>11.9385</v>
      </c>
      <c r="AZ148" s="167" t="n">
        <v>0</v>
      </c>
      <c r="BA148" s="74"/>
      <c r="BQ148" s="108" t="n">
        <v>36907.7428240741</v>
      </c>
      <c r="BR148" s="109" t="n">
        <v>36907.7434490741</v>
      </c>
      <c r="BS148" s="110" t="n">
        <v>40603</v>
      </c>
      <c r="BT148" s="111" t="n">
        <v>0</v>
      </c>
      <c r="BU148" s="112" t="n">
        <v>0</v>
      </c>
      <c r="BV148" s="112" t="n">
        <v>0</v>
      </c>
      <c r="BW148" s="112" t="n">
        <v>0</v>
      </c>
      <c r="BX148" s="113" t="n">
        <v>0</v>
      </c>
      <c r="BZ148" s="110" t="n">
        <v>40391</v>
      </c>
      <c r="CA148" s="116" t="n">
        <v>42.6809997558594</v>
      </c>
      <c r="CB148" s="116" t="n">
        <v>0</v>
      </c>
      <c r="CC148" s="116" t="n">
        <v>0</v>
      </c>
      <c r="CD148" s="116" t="n">
        <v>0</v>
      </c>
      <c r="CE148" s="117" t="n">
        <v>0</v>
      </c>
    </row>
    <row r="149" customFormat="false" ht="12.75" hidden="false" customHeight="false" outlineLevel="0" collapsed="false">
      <c r="A149" s="0" t="n">
        <f aca="true">IF(ISERROR(MATCH(D149,iRefDt,0)),"",MATCH(D149,iRefDt,0))</f>
        <v>140</v>
      </c>
      <c r="B149" s="92" t="n">
        <f aca="false">MATCH(YEAR(D149),iSpreads)</f>
        <v>10</v>
      </c>
      <c r="C149" s="0" t="n">
        <f aca="false">MONTH(D149)</f>
        <v>9</v>
      </c>
      <c r="D149" s="93" t="n">
        <f aca="false">+EnergyCurve!D149</f>
        <v>40422</v>
      </c>
      <c r="E149" s="94" t="n">
        <f aca="false">VLOOKUP($D149,tblPriorPrice,2)</f>
        <v>36.2249984741211</v>
      </c>
      <c r="F149" s="95" t="n">
        <f aca="false">G149-E149</f>
        <v>1.52587890056566E-006</v>
      </c>
      <c r="G149" s="264" t="n">
        <f aca="false">IF(EnergyCurve!G149&lt;200,0.001*EnergyCurve!G149+1,1.2)*EnergyCurve!G149</f>
        <v>36.225</v>
      </c>
      <c r="H149" s="96" t="n">
        <f aca="false">IF(EnergyCurve!H149&lt;200,0.001*EnergyCurve!H149+1,1.2)*EnergyCurve!H149</f>
        <v>30.9</v>
      </c>
      <c r="I149" s="96" t="n">
        <f aca="false">IF(EnergyCurve!I149&lt;200,0.001*EnergyCurve!I149+1,1.2)*EnergyCurve!I149</f>
        <v>62.481</v>
      </c>
      <c r="J149" s="94" t="n">
        <f aca="false">VLOOKUP($D149,tblPriorPrice,3)</f>
        <v>0</v>
      </c>
      <c r="K149" s="95" t="n">
        <f aca="false">L149-J149</f>
        <v>0</v>
      </c>
      <c r="L149" s="264" t="n">
        <v>0</v>
      </c>
      <c r="M149" s="96" t="n">
        <f aca="false">L149</f>
        <v>0</v>
      </c>
      <c r="N149" s="96" t="n">
        <f aca="false">L149</f>
        <v>0</v>
      </c>
      <c r="O149" s="58" t="n">
        <f aca="true">IF($A149="",0,INDEX(tblPosn,$A149,2))</f>
        <v>0</v>
      </c>
      <c r="P149" s="59" t="n">
        <f aca="true">IF($A149="",0,INDEX(tblPosn,$A149,3))</f>
        <v>0</v>
      </c>
      <c r="Q149" s="59" t="n">
        <f aca="true">IF($A149="",0,INDEX(tblPosn,$A149,4))</f>
        <v>0</v>
      </c>
      <c r="R149" s="59" t="n">
        <f aca="true">IF($A149="",0,INDEX(tblPosn,$A149,5))</f>
        <v>0</v>
      </c>
      <c r="S149" s="59" t="n">
        <f aca="true">IF($A149="",0,INDEX(tblPosn,$A149,6))</f>
        <v>0</v>
      </c>
      <c r="T149" s="98" t="n">
        <f aca="false">O149*F149+P149*K149+R149*AC149+S149*AH149/0.72+Q149*X149</f>
        <v>0</v>
      </c>
      <c r="V149" s="161" t="n">
        <f aca="false">D149</f>
        <v>40422</v>
      </c>
      <c r="W149" s="94" t="n">
        <f aca="false">VLOOKUP($D149,tblPriorPrice,4)</f>
        <v>0</v>
      </c>
      <c r="X149" s="162"/>
      <c r="Y149" s="176" t="n">
        <f aca="false">L149</f>
        <v>0</v>
      </c>
      <c r="Z149" s="177" t="n">
        <f aca="false">Y149</f>
        <v>0</v>
      </c>
      <c r="AA149" s="177" t="n">
        <f aca="false">Y149</f>
        <v>0</v>
      </c>
      <c r="AB149" s="94" t="n">
        <f aca="false">VLOOKUP($D149,tblPriorPrice,5)</f>
        <v>0</v>
      </c>
      <c r="AC149" s="162"/>
      <c r="AD149" s="176" t="n">
        <f aca="false">L149</f>
        <v>0</v>
      </c>
      <c r="AE149" s="96" t="n">
        <f aca="false">AD149</f>
        <v>0</v>
      </c>
      <c r="AF149" s="97" t="n">
        <f aca="false">AD149</f>
        <v>0</v>
      </c>
      <c r="AG149" s="94" t="n">
        <f aca="false">VLOOKUP($D149,tblPriorPrice,6)</f>
        <v>0</v>
      </c>
      <c r="AH149" s="182"/>
      <c r="AI149" s="189" t="n">
        <f aca="false">AG149+AH149</f>
        <v>0</v>
      </c>
      <c r="AJ149" s="96" t="n">
        <f aca="false">AI149</f>
        <v>0</v>
      </c>
      <c r="AK149" s="97" t="n">
        <f aca="false">AI149</f>
        <v>0</v>
      </c>
      <c r="AL149" s="178" t="n">
        <v>39</v>
      </c>
      <c r="AM149" s="165" t="n">
        <v>0.4</v>
      </c>
      <c r="AN149" s="166" t="n">
        <f aca="false">EnergyCurve!AN149*2</f>
        <v>0.37</v>
      </c>
      <c r="AO149" s="166" t="n">
        <f aca="false">EnergyCurve!AO149</f>
        <v>0.1665</v>
      </c>
      <c r="AP149" s="166" t="n">
        <f aca="false">AN149*1.25</f>
        <v>0.4625</v>
      </c>
      <c r="AQ149" s="166" t="n">
        <f aca="false">EnergyCurve!AQ149*2</f>
        <v>0.37</v>
      </c>
      <c r="AR149" s="166" t="n">
        <f aca="false">EnergyCurve!AR149</f>
        <v>0.148</v>
      </c>
      <c r="AS149" s="166" t="n">
        <f aca="false">EnergyCurve!AS149*1.25</f>
        <v>0.2775</v>
      </c>
      <c r="AT149" s="168" t="n">
        <f aca="false">EnergyCurve!AT149*2*2</f>
        <v>7.29020125079811</v>
      </c>
      <c r="AU149" s="169" t="n">
        <f aca="false">EnergyCurve!AU149</f>
        <v>-0.455637578174882</v>
      </c>
      <c r="AV149" s="169" t="n">
        <f aca="false">AT149*1.25</f>
        <v>9.11275156349763</v>
      </c>
      <c r="AW149" s="168" t="n">
        <f aca="false">EnergyCurve!AW149*2*2</f>
        <v>10.116</v>
      </c>
      <c r="AX149" s="169" t="n">
        <f aca="false">EnergyCurve!AX149</f>
        <v>-0.63225</v>
      </c>
      <c r="AY149" s="169" t="n">
        <f aca="false">AW149*1.25</f>
        <v>12.645</v>
      </c>
      <c r="AZ149" s="167" t="n">
        <v>0</v>
      </c>
      <c r="BA149" s="74"/>
      <c r="BQ149" s="108" t="n">
        <v>36907.7428240741</v>
      </c>
      <c r="BR149" s="109" t="n">
        <v>36907.7434490741</v>
      </c>
      <c r="BS149" s="110" t="n">
        <v>40634</v>
      </c>
      <c r="BT149" s="111" t="n">
        <v>0</v>
      </c>
      <c r="BU149" s="112" t="n">
        <v>0</v>
      </c>
      <c r="BV149" s="112" t="n">
        <v>0</v>
      </c>
      <c r="BW149" s="112" t="n">
        <v>0</v>
      </c>
      <c r="BX149" s="113" t="n">
        <v>0</v>
      </c>
      <c r="BZ149" s="110" t="n">
        <v>40422</v>
      </c>
      <c r="CA149" s="116" t="n">
        <v>36.2249984741211</v>
      </c>
      <c r="CB149" s="116" t="n">
        <v>0</v>
      </c>
      <c r="CC149" s="116" t="n">
        <v>0</v>
      </c>
      <c r="CD149" s="116" t="n">
        <v>0</v>
      </c>
      <c r="CE149" s="117" t="n">
        <v>0</v>
      </c>
    </row>
    <row r="150" customFormat="false" ht="12.75" hidden="false" customHeight="false" outlineLevel="0" collapsed="false">
      <c r="A150" s="0" t="n">
        <f aca="true">IF(ISERROR(MATCH(D150,iRefDt,0)),"",MATCH(D150,iRefDt,0))</f>
        <v>141</v>
      </c>
      <c r="B150" s="92" t="n">
        <f aca="false">MATCH(YEAR(D150),iSpreads)</f>
        <v>10</v>
      </c>
      <c r="C150" s="0" t="n">
        <f aca="false">MONTH(D150)</f>
        <v>10</v>
      </c>
      <c r="D150" s="93" t="n">
        <f aca="false">+EnergyCurve!D150</f>
        <v>40452</v>
      </c>
      <c r="E150" s="94" t="n">
        <f aca="false">VLOOKUP($D150,tblPriorPrice,2)</f>
        <v>38.3689994812012</v>
      </c>
      <c r="F150" s="95" t="n">
        <f aca="false">G150-E150</f>
        <v>5.18798827897626E-007</v>
      </c>
      <c r="G150" s="264" t="n">
        <f aca="false">IF(EnergyCurve!G150&lt;200,0.001*EnergyCurve!G150+1,1.2)*EnergyCurve!G150</f>
        <v>38.369</v>
      </c>
      <c r="H150" s="96" t="n">
        <f aca="false">IF(EnergyCurve!H150&lt;200,0.001*EnergyCurve!H150+1,1.2)*EnergyCurve!H150</f>
        <v>33.024</v>
      </c>
      <c r="I150" s="96" t="n">
        <f aca="false">IF(EnergyCurve!I150&lt;200,0.001*EnergyCurve!I150+1,1.2)*EnergyCurve!I150</f>
        <v>64.721</v>
      </c>
      <c r="J150" s="94" t="n">
        <f aca="false">VLOOKUP($D150,tblPriorPrice,3)</f>
        <v>0</v>
      </c>
      <c r="K150" s="95" t="n">
        <f aca="false">L150-J150</f>
        <v>0</v>
      </c>
      <c r="L150" s="264" t="n">
        <v>0</v>
      </c>
      <c r="M150" s="96" t="n">
        <f aca="false">L150</f>
        <v>0</v>
      </c>
      <c r="N150" s="96" t="n">
        <f aca="false">L150</f>
        <v>0</v>
      </c>
      <c r="O150" s="58" t="n">
        <f aca="true">IF($A150="",0,INDEX(tblPosn,$A150,2))</f>
        <v>0</v>
      </c>
      <c r="P150" s="59" t="n">
        <f aca="true">IF($A150="",0,INDEX(tblPosn,$A150,3))</f>
        <v>0</v>
      </c>
      <c r="Q150" s="59" t="n">
        <f aca="true">IF($A150="",0,INDEX(tblPosn,$A150,4))</f>
        <v>0</v>
      </c>
      <c r="R150" s="59" t="n">
        <f aca="true">IF($A150="",0,INDEX(tblPosn,$A150,5))</f>
        <v>0</v>
      </c>
      <c r="S150" s="59" t="n">
        <f aca="true">IF($A150="",0,INDEX(tblPosn,$A150,6))</f>
        <v>0</v>
      </c>
      <c r="T150" s="98" t="n">
        <f aca="false">O150*F150+P150*K150+R150*AC150+S150*AH150/0.72+Q150*X150</f>
        <v>0</v>
      </c>
      <c r="V150" s="161" t="n">
        <f aca="false">D150</f>
        <v>40452</v>
      </c>
      <c r="W150" s="94" t="n">
        <f aca="false">VLOOKUP($D150,tblPriorPrice,4)</f>
        <v>0</v>
      </c>
      <c r="X150" s="162"/>
      <c r="Y150" s="176" t="n">
        <f aca="false">L150</f>
        <v>0</v>
      </c>
      <c r="Z150" s="177" t="n">
        <f aca="false">Y150</f>
        <v>0</v>
      </c>
      <c r="AA150" s="177" t="n">
        <f aca="false">Y150</f>
        <v>0</v>
      </c>
      <c r="AB150" s="94" t="n">
        <f aca="false">VLOOKUP($D150,tblPriorPrice,5)</f>
        <v>0</v>
      </c>
      <c r="AC150" s="162"/>
      <c r="AD150" s="176" t="n">
        <f aca="false">L150</f>
        <v>0</v>
      </c>
      <c r="AE150" s="96" t="n">
        <f aca="false">AD150</f>
        <v>0</v>
      </c>
      <c r="AF150" s="97" t="n">
        <f aca="false">AD150</f>
        <v>0</v>
      </c>
      <c r="AG150" s="94" t="n">
        <f aca="false">VLOOKUP($D150,tblPriorPrice,6)</f>
        <v>0</v>
      </c>
      <c r="AH150" s="182"/>
      <c r="AI150" s="189" t="n">
        <f aca="false">AG150+AH150</f>
        <v>0</v>
      </c>
      <c r="AJ150" s="96" t="n">
        <f aca="false">AI150</f>
        <v>0</v>
      </c>
      <c r="AK150" s="97" t="n">
        <f aca="false">AI150</f>
        <v>0</v>
      </c>
      <c r="AL150" s="178" t="n">
        <v>40</v>
      </c>
      <c r="AM150" s="165" t="n">
        <v>0.4</v>
      </c>
      <c r="AN150" s="166" t="n">
        <f aca="false">EnergyCurve!AN150*2</f>
        <v>0.37</v>
      </c>
      <c r="AO150" s="166" t="n">
        <f aca="false">EnergyCurve!AO150</f>
        <v>0.1665</v>
      </c>
      <c r="AP150" s="166" t="n">
        <f aca="false">AN150*1.25</f>
        <v>0.4625</v>
      </c>
      <c r="AQ150" s="166" t="n">
        <f aca="false">EnergyCurve!AQ150*2</f>
        <v>0.37</v>
      </c>
      <c r="AR150" s="166" t="n">
        <f aca="false">EnergyCurve!AR150</f>
        <v>0.148</v>
      </c>
      <c r="AS150" s="166" t="n">
        <f aca="false">EnergyCurve!AS150*1.25</f>
        <v>0.2775</v>
      </c>
      <c r="AT150" s="168" t="n">
        <f aca="false">EnergyCurve!AT150*2*2</f>
        <v>7.75576329559925</v>
      </c>
      <c r="AU150" s="169" t="n">
        <f aca="false">EnergyCurve!AU150</f>
        <v>-0.484735205974953</v>
      </c>
      <c r="AV150" s="169" t="n">
        <f aca="false">AT150*1.25</f>
        <v>9.69470411949907</v>
      </c>
      <c r="AW150" s="168" t="n">
        <f aca="false">EnergyCurve!AW150*2*2</f>
        <v>9.9276</v>
      </c>
      <c r="AX150" s="169" t="n">
        <f aca="false">EnergyCurve!AX150</f>
        <v>-0.620475</v>
      </c>
      <c r="AY150" s="169" t="n">
        <f aca="false">AW150*1.25</f>
        <v>12.4095</v>
      </c>
      <c r="AZ150" s="167" t="n">
        <v>0</v>
      </c>
      <c r="BA150" s="74"/>
      <c r="BQ150" s="108" t="n">
        <v>36907.7428240741</v>
      </c>
      <c r="BR150" s="109" t="n">
        <v>36907.7434490741</v>
      </c>
      <c r="BS150" s="110" t="n">
        <v>40664</v>
      </c>
      <c r="BT150" s="111" t="n">
        <v>0</v>
      </c>
      <c r="BU150" s="112" t="n">
        <v>0</v>
      </c>
      <c r="BV150" s="112" t="n">
        <v>0</v>
      </c>
      <c r="BW150" s="112" t="n">
        <v>0</v>
      </c>
      <c r="BX150" s="113" t="n">
        <v>0</v>
      </c>
      <c r="BZ150" s="110" t="n">
        <v>40452</v>
      </c>
      <c r="CA150" s="116" t="n">
        <v>38.3689994812012</v>
      </c>
      <c r="CB150" s="116" t="n">
        <v>0</v>
      </c>
      <c r="CC150" s="116" t="n">
        <v>0</v>
      </c>
      <c r="CD150" s="116" t="n">
        <v>0</v>
      </c>
      <c r="CE150" s="117" t="n">
        <v>0</v>
      </c>
    </row>
    <row r="151" customFormat="false" ht="12.75" hidden="false" customHeight="false" outlineLevel="0" collapsed="false">
      <c r="A151" s="0" t="n">
        <f aca="true">IF(ISERROR(MATCH(D151,iRefDt,0)),"",MATCH(D151,iRefDt,0))</f>
        <v>142</v>
      </c>
      <c r="B151" s="92" t="n">
        <f aca="false">MATCH(YEAR(D151),iSpreads)</f>
        <v>10</v>
      </c>
      <c r="C151" s="0" t="n">
        <f aca="false">MONTH(D151)</f>
        <v>11</v>
      </c>
      <c r="D151" s="93" t="n">
        <f aca="false">+EnergyCurve!D151</f>
        <v>40483</v>
      </c>
      <c r="E151" s="94" t="n">
        <f aca="false">VLOOKUP($D151,tblPriorPrice,2)</f>
        <v>31.9610004425049</v>
      </c>
      <c r="F151" s="95" t="n">
        <f aca="false">G151-E151</f>
        <v>-4.42504884290429E-007</v>
      </c>
      <c r="G151" s="264" t="n">
        <f aca="false">IF(EnergyCurve!G151&lt;200,0.001*EnergyCurve!G151+1,1.2)*EnergyCurve!G151</f>
        <v>31.961</v>
      </c>
      <c r="H151" s="96" t="n">
        <f aca="false">IF(EnergyCurve!H151&lt;200,0.001*EnergyCurve!H151+1,1.2)*EnergyCurve!H151</f>
        <v>26.676</v>
      </c>
      <c r="I151" s="96" t="n">
        <f aca="false">IF(EnergyCurve!I151&lt;200,0.001*EnergyCurve!I151+1,1.2)*EnergyCurve!I151</f>
        <v>58.025</v>
      </c>
      <c r="J151" s="94" t="n">
        <f aca="false">VLOOKUP($D151,tblPriorPrice,3)</f>
        <v>0</v>
      </c>
      <c r="K151" s="95" t="n">
        <f aca="false">L151-J151</f>
        <v>0</v>
      </c>
      <c r="L151" s="264" t="n">
        <v>0</v>
      </c>
      <c r="M151" s="96" t="n">
        <f aca="false">L151</f>
        <v>0</v>
      </c>
      <c r="N151" s="96" t="n">
        <f aca="false">L151</f>
        <v>0</v>
      </c>
      <c r="O151" s="58" t="n">
        <f aca="true">IF($A151="",0,INDEX(tblPosn,$A151,2))</f>
        <v>0</v>
      </c>
      <c r="P151" s="59" t="n">
        <f aca="true">IF($A151="",0,INDEX(tblPosn,$A151,3))</f>
        <v>0</v>
      </c>
      <c r="Q151" s="59" t="n">
        <f aca="true">IF($A151="",0,INDEX(tblPosn,$A151,4))</f>
        <v>0</v>
      </c>
      <c r="R151" s="59" t="n">
        <f aca="true">IF($A151="",0,INDEX(tblPosn,$A151,5))</f>
        <v>0</v>
      </c>
      <c r="S151" s="59" t="n">
        <f aca="true">IF($A151="",0,INDEX(tblPosn,$A151,6))</f>
        <v>0</v>
      </c>
      <c r="T151" s="98" t="n">
        <f aca="false">O151*F151+P151*K151+R151*AC151+S151*AH151/0.72+Q151*X151</f>
        <v>0</v>
      </c>
      <c r="V151" s="161" t="n">
        <f aca="false">D151</f>
        <v>40483</v>
      </c>
      <c r="W151" s="94" t="n">
        <f aca="false">VLOOKUP($D151,tblPriorPrice,4)</f>
        <v>0</v>
      </c>
      <c r="X151" s="162"/>
      <c r="Y151" s="176" t="n">
        <f aca="false">L151</f>
        <v>0</v>
      </c>
      <c r="Z151" s="177" t="n">
        <f aca="false">Y151</f>
        <v>0</v>
      </c>
      <c r="AA151" s="177" t="n">
        <f aca="false">Y151</f>
        <v>0</v>
      </c>
      <c r="AB151" s="94" t="n">
        <f aca="false">VLOOKUP($D151,tblPriorPrice,5)</f>
        <v>0</v>
      </c>
      <c r="AC151" s="162"/>
      <c r="AD151" s="176" t="n">
        <f aca="false">L151</f>
        <v>0</v>
      </c>
      <c r="AE151" s="96" t="n">
        <f aca="false">AD151</f>
        <v>0</v>
      </c>
      <c r="AF151" s="97" t="n">
        <f aca="false">AD151</f>
        <v>0</v>
      </c>
      <c r="AG151" s="94" t="n">
        <f aca="false">VLOOKUP($D151,tblPriorPrice,6)</f>
        <v>0</v>
      </c>
      <c r="AH151" s="182"/>
      <c r="AI151" s="189" t="n">
        <f aca="false">AG151+AH151</f>
        <v>0</v>
      </c>
      <c r="AJ151" s="96" t="n">
        <f aca="false">AI151</f>
        <v>0</v>
      </c>
      <c r="AK151" s="97" t="n">
        <f aca="false">AI151</f>
        <v>0</v>
      </c>
      <c r="AL151" s="178" t="n">
        <v>40</v>
      </c>
      <c r="AM151" s="165" t="n">
        <v>0.4</v>
      </c>
      <c r="AN151" s="166" t="n">
        <f aca="false">EnergyCurve!AN151*2</f>
        <v>0.37</v>
      </c>
      <c r="AO151" s="166" t="n">
        <f aca="false">EnergyCurve!AO151</f>
        <v>0.1665</v>
      </c>
      <c r="AP151" s="166" t="n">
        <f aca="false">AN151*1.25</f>
        <v>0.4625</v>
      </c>
      <c r="AQ151" s="166" t="n">
        <f aca="false">EnergyCurve!AQ151*2</f>
        <v>0.37</v>
      </c>
      <c r="AR151" s="166" t="n">
        <f aca="false">EnergyCurve!AR151</f>
        <v>0.148</v>
      </c>
      <c r="AS151" s="166" t="n">
        <f aca="false">EnergyCurve!AS151*1.25</f>
        <v>0.2775</v>
      </c>
      <c r="AT151" s="168" t="n">
        <f aca="false">EnergyCurve!AT151*2*2</f>
        <v>6.56235962744143</v>
      </c>
      <c r="AU151" s="169" t="n">
        <f aca="false">EnergyCurve!AU151</f>
        <v>-0.410147476715089</v>
      </c>
      <c r="AV151" s="169" t="n">
        <f aca="false">AT151*1.25</f>
        <v>8.20294953430178</v>
      </c>
      <c r="AW151" s="168" t="n">
        <f aca="false">EnergyCurve!AW151*2*2</f>
        <v>10.4928</v>
      </c>
      <c r="AX151" s="169" t="n">
        <f aca="false">EnergyCurve!AX151</f>
        <v>-0.6558</v>
      </c>
      <c r="AY151" s="169" t="n">
        <f aca="false">AW151*1.25</f>
        <v>13.116</v>
      </c>
      <c r="AZ151" s="167" t="n">
        <v>0</v>
      </c>
      <c r="BA151" s="74"/>
      <c r="BQ151" s="108" t="n">
        <v>36907.7428240741</v>
      </c>
      <c r="BR151" s="109" t="n">
        <v>36907.7434490741</v>
      </c>
      <c r="BS151" s="110" t="n">
        <v>40695</v>
      </c>
      <c r="BT151" s="111" t="n">
        <v>0</v>
      </c>
      <c r="BU151" s="112" t="n">
        <v>0</v>
      </c>
      <c r="BV151" s="112" t="n">
        <v>0</v>
      </c>
      <c r="BW151" s="112" t="n">
        <v>0</v>
      </c>
      <c r="BX151" s="113" t="n">
        <v>0</v>
      </c>
      <c r="BZ151" s="110" t="n">
        <v>40483</v>
      </c>
      <c r="CA151" s="116" t="n">
        <v>31.9610004425049</v>
      </c>
      <c r="CB151" s="116" t="n">
        <v>0</v>
      </c>
      <c r="CC151" s="116" t="n">
        <v>0</v>
      </c>
      <c r="CD151" s="116" t="n">
        <v>0</v>
      </c>
      <c r="CE151" s="117" t="n">
        <v>0</v>
      </c>
    </row>
    <row r="152" customFormat="false" ht="12.75" hidden="false" customHeight="false" outlineLevel="0" collapsed="false">
      <c r="A152" s="0" t="n">
        <f aca="true">IF(ISERROR(MATCH(D152,iRefDt,0)),"",MATCH(D152,iRefDt,0))</f>
        <v>143</v>
      </c>
      <c r="B152" s="92" t="n">
        <f aca="false">MATCH(YEAR(D152),iSpreads)</f>
        <v>10</v>
      </c>
      <c r="C152" s="0" t="n">
        <f aca="false">MONTH(D152)</f>
        <v>12</v>
      </c>
      <c r="D152" s="93" t="n">
        <f aca="false">+EnergyCurve!D152</f>
        <v>40513</v>
      </c>
      <c r="E152" s="94" t="n">
        <f aca="false">VLOOKUP($D152,tblPriorPrice,2)</f>
        <v>33.0239982604981</v>
      </c>
      <c r="F152" s="95" t="n">
        <f aca="false">G152-E152</f>
        <v>1.73950195403449E-006</v>
      </c>
      <c r="G152" s="264" t="n">
        <f aca="false">IF(EnergyCurve!G152&lt;200,0.001*EnergyCurve!G152+1,1.2)*EnergyCurve!G152</f>
        <v>33.024</v>
      </c>
      <c r="H152" s="96" t="n">
        <f aca="false">IF(EnergyCurve!H152&lt;200,0.001*EnergyCurve!H152+1,1.2)*EnergyCurve!H152</f>
        <v>27.729</v>
      </c>
      <c r="I152" s="96" t="n">
        <f aca="false">IF(EnergyCurve!I152&lt;200,0.001*EnergyCurve!I152+1,1.2)*EnergyCurve!I152</f>
        <v>59.136</v>
      </c>
      <c r="J152" s="94" t="n">
        <f aca="false">VLOOKUP($D152,tblPriorPrice,3)</f>
        <v>0</v>
      </c>
      <c r="K152" s="95" t="n">
        <f aca="false">L152-J152</f>
        <v>0</v>
      </c>
      <c r="L152" s="264" t="n">
        <v>0</v>
      </c>
      <c r="M152" s="96" t="n">
        <f aca="false">L152</f>
        <v>0</v>
      </c>
      <c r="N152" s="96" t="n">
        <f aca="false">L152</f>
        <v>0</v>
      </c>
      <c r="O152" s="58" t="n">
        <f aca="true">IF($A152="",0,INDEX(tblPosn,$A152,2))</f>
        <v>0</v>
      </c>
      <c r="P152" s="59" t="n">
        <f aca="true">IF($A152="",0,INDEX(tblPosn,$A152,3))</f>
        <v>0</v>
      </c>
      <c r="Q152" s="59" t="n">
        <f aca="true">IF($A152="",0,INDEX(tblPosn,$A152,4))</f>
        <v>0</v>
      </c>
      <c r="R152" s="59" t="n">
        <f aca="true">IF($A152="",0,INDEX(tblPosn,$A152,5))</f>
        <v>0</v>
      </c>
      <c r="S152" s="59" t="n">
        <f aca="true">IF($A152="",0,INDEX(tblPosn,$A152,6))</f>
        <v>0</v>
      </c>
      <c r="T152" s="98" t="n">
        <f aca="false">O152*F152+P152*K152+R152*AC152+S152*AH152/0.72+Q152*X152</f>
        <v>0</v>
      </c>
      <c r="V152" s="161" t="n">
        <f aca="false">D152</f>
        <v>40513</v>
      </c>
      <c r="W152" s="94" t="n">
        <f aca="false">VLOOKUP($D152,tblPriorPrice,4)</f>
        <v>0</v>
      </c>
      <c r="X152" s="162"/>
      <c r="Y152" s="176" t="n">
        <f aca="false">L152</f>
        <v>0</v>
      </c>
      <c r="Z152" s="177" t="n">
        <f aca="false">Y152</f>
        <v>0</v>
      </c>
      <c r="AA152" s="177" t="n">
        <f aca="false">Y152</f>
        <v>0</v>
      </c>
      <c r="AB152" s="94" t="n">
        <f aca="false">VLOOKUP($D152,tblPriorPrice,5)</f>
        <v>0</v>
      </c>
      <c r="AC152" s="162"/>
      <c r="AD152" s="176" t="n">
        <f aca="false">L152</f>
        <v>0</v>
      </c>
      <c r="AE152" s="96" t="n">
        <f aca="false">AD152</f>
        <v>0</v>
      </c>
      <c r="AF152" s="97" t="n">
        <f aca="false">AD152</f>
        <v>0</v>
      </c>
      <c r="AG152" s="94" t="n">
        <f aca="false">VLOOKUP($D152,tblPriorPrice,6)</f>
        <v>0</v>
      </c>
      <c r="AH152" s="182"/>
      <c r="AI152" s="189" t="n">
        <f aca="false">AG152+AH152</f>
        <v>0</v>
      </c>
      <c r="AJ152" s="96" t="n">
        <f aca="false">AI152</f>
        <v>0</v>
      </c>
      <c r="AK152" s="97" t="n">
        <f aca="false">AI152</f>
        <v>0</v>
      </c>
      <c r="AL152" s="178" t="n">
        <v>40</v>
      </c>
      <c r="AM152" s="165" t="n">
        <v>0.4</v>
      </c>
      <c r="AN152" s="166" t="n">
        <f aca="false">EnergyCurve!AN152*2</f>
        <v>0.37</v>
      </c>
      <c r="AO152" s="166" t="n">
        <f aca="false">EnergyCurve!AO152</f>
        <v>0.1665</v>
      </c>
      <c r="AP152" s="166" t="n">
        <f aca="false">AN152*1.25</f>
        <v>0.4625</v>
      </c>
      <c r="AQ152" s="166" t="n">
        <f aca="false">EnergyCurve!AQ152*2</f>
        <v>0.37</v>
      </c>
      <c r="AR152" s="166" t="n">
        <f aca="false">EnergyCurve!AR152</f>
        <v>0.148</v>
      </c>
      <c r="AS152" s="166" t="n">
        <f aca="false">EnergyCurve!AS152*1.25</f>
        <v>0.2775</v>
      </c>
      <c r="AT152" s="168" t="n">
        <f aca="false">EnergyCurve!AT152*2*2</f>
        <v>6.71448638739126</v>
      </c>
      <c r="AU152" s="169" t="n">
        <f aca="false">EnergyCurve!AU152</f>
        <v>-0.419655399211954</v>
      </c>
      <c r="AV152" s="169" t="n">
        <f aca="false">AT152*1.25</f>
        <v>8.39310798423907</v>
      </c>
      <c r="AW152" s="168" t="n">
        <f aca="false">EnergyCurve!AW152*2*2</f>
        <v>10.6812</v>
      </c>
      <c r="AX152" s="169" t="n">
        <f aca="false">EnergyCurve!AX152</f>
        <v>-0.667575</v>
      </c>
      <c r="AY152" s="169" t="n">
        <f aca="false">AW152*1.25</f>
        <v>13.3515</v>
      </c>
      <c r="AZ152" s="167" t="n">
        <v>0</v>
      </c>
      <c r="BA152" s="74"/>
      <c r="BQ152" s="108" t="n">
        <v>36907.7428240741</v>
      </c>
      <c r="BR152" s="109" t="n">
        <v>36907.7434490741</v>
      </c>
      <c r="BS152" s="110" t="n">
        <v>40725</v>
      </c>
      <c r="BT152" s="111" t="n">
        <v>0</v>
      </c>
      <c r="BU152" s="112" t="n">
        <v>0</v>
      </c>
      <c r="BV152" s="112" t="n">
        <v>0</v>
      </c>
      <c r="BW152" s="112" t="n">
        <v>0</v>
      </c>
      <c r="BX152" s="113" t="n">
        <v>0</v>
      </c>
      <c r="BZ152" s="110" t="n">
        <v>40513</v>
      </c>
      <c r="CA152" s="116" t="n">
        <v>33.0239982604981</v>
      </c>
      <c r="CB152" s="116" t="n">
        <v>0</v>
      </c>
      <c r="CC152" s="116" t="n">
        <v>0</v>
      </c>
      <c r="CD152" s="116" t="n">
        <v>0</v>
      </c>
      <c r="CE152" s="117" t="n">
        <v>0</v>
      </c>
    </row>
    <row r="153" customFormat="false" ht="12.75" hidden="false" customHeight="false" outlineLevel="0" collapsed="false">
      <c r="A153" s="0" t="n">
        <f aca="true">IF(ISERROR(MATCH(D153,iRefDt,0)),"",MATCH(D153,iRefDt,0))</f>
        <v>144</v>
      </c>
      <c r="B153" s="92" t="n">
        <f aca="false">MATCH(YEAR(D153),iSpreads)</f>
        <v>11</v>
      </c>
      <c r="C153" s="0" t="n">
        <f aca="false">MONTH(D153)</f>
        <v>1</v>
      </c>
      <c r="D153" s="93" t="n">
        <f aca="false">+EnergyCurve!D153</f>
        <v>40544</v>
      </c>
      <c r="E153" s="94" t="n">
        <f aca="false">VLOOKUP($D153,tblPriorPrice,2)</f>
        <v>34.0890007019043</v>
      </c>
      <c r="F153" s="95" t="n">
        <f aca="false">G153-E153</f>
        <v>-7.01904298239242E-007</v>
      </c>
      <c r="G153" s="264" t="n">
        <f aca="false">IF(EnergyCurve!G153&lt;200,0.001*EnergyCurve!G153+1,1.2)*EnergyCurve!G153</f>
        <v>34.089</v>
      </c>
      <c r="H153" s="96" t="n">
        <f aca="false">IF(EnergyCurve!H153&lt;200,0.001*EnergyCurve!H153+1,1.2)*EnergyCurve!H153</f>
        <v>28.784</v>
      </c>
      <c r="I153" s="96" t="n">
        <f aca="false">IF(EnergyCurve!I153&lt;200,0.001*EnergyCurve!I153+1,1.2)*EnergyCurve!I153</f>
        <v>61.364</v>
      </c>
      <c r="J153" s="94" t="n">
        <f aca="false">VLOOKUP($D153,tblPriorPrice,3)</f>
        <v>0</v>
      </c>
      <c r="K153" s="95" t="n">
        <f aca="false">L153-J153</f>
        <v>0</v>
      </c>
      <c r="L153" s="264" t="n">
        <v>0</v>
      </c>
      <c r="M153" s="96" t="n">
        <f aca="false">L153</f>
        <v>0</v>
      </c>
      <c r="N153" s="96" t="n">
        <f aca="false">L153</f>
        <v>0</v>
      </c>
      <c r="O153" s="58" t="n">
        <f aca="true">IF($A153="",0,INDEX(tblPosn,$A153,2))</f>
        <v>0</v>
      </c>
      <c r="P153" s="59" t="n">
        <f aca="true">IF($A153="",0,INDEX(tblPosn,$A153,3))</f>
        <v>0</v>
      </c>
      <c r="Q153" s="59" t="n">
        <f aca="true">IF($A153="",0,INDEX(tblPosn,$A153,4))</f>
        <v>0</v>
      </c>
      <c r="R153" s="59" t="n">
        <f aca="true">IF($A153="",0,INDEX(tblPosn,$A153,5))</f>
        <v>0</v>
      </c>
      <c r="S153" s="59" t="n">
        <f aca="true">IF($A153="",0,INDEX(tblPosn,$A153,6))</f>
        <v>0</v>
      </c>
      <c r="T153" s="98" t="n">
        <f aca="false">O153*F153+P153*K153+R153*AC153+S153*AH153/0.72+Q153*X153</f>
        <v>0</v>
      </c>
      <c r="V153" s="161" t="n">
        <f aca="false">D153</f>
        <v>40544</v>
      </c>
      <c r="W153" s="94" t="n">
        <f aca="false">VLOOKUP($D153,tblPriorPrice,4)</f>
        <v>0</v>
      </c>
      <c r="X153" s="162"/>
      <c r="Y153" s="176" t="n">
        <f aca="false">L153</f>
        <v>0</v>
      </c>
      <c r="Z153" s="177" t="n">
        <f aca="false">Y153</f>
        <v>0</v>
      </c>
      <c r="AA153" s="177" t="n">
        <f aca="false">Y153</f>
        <v>0</v>
      </c>
      <c r="AB153" s="94" t="n">
        <f aca="false">VLOOKUP($D153,tblPriorPrice,5)</f>
        <v>0</v>
      </c>
      <c r="AC153" s="162"/>
      <c r="AD153" s="176" t="n">
        <f aca="false">L153</f>
        <v>0</v>
      </c>
      <c r="AE153" s="96" t="n">
        <f aca="false">AD153</f>
        <v>0</v>
      </c>
      <c r="AF153" s="97" t="n">
        <f aca="false">AD153</f>
        <v>0</v>
      </c>
      <c r="AG153" s="94" t="n">
        <f aca="false">VLOOKUP($D153,tblPriorPrice,6)</f>
        <v>0</v>
      </c>
      <c r="AH153" s="182"/>
      <c r="AI153" s="189" t="n">
        <f aca="false">AG153+AH153</f>
        <v>0</v>
      </c>
      <c r="AJ153" s="96" t="n">
        <f aca="false">AI153</f>
        <v>0</v>
      </c>
      <c r="AK153" s="97" t="n">
        <f aca="false">AI153</f>
        <v>0</v>
      </c>
      <c r="AL153" s="178" t="n">
        <v>41</v>
      </c>
      <c r="AM153" s="165" t="n">
        <v>0.4</v>
      </c>
      <c r="AN153" s="166" t="n">
        <f aca="false">EnergyCurve!AN153*2</f>
        <v>0.37</v>
      </c>
      <c r="AO153" s="166" t="n">
        <f aca="false">EnergyCurve!AO153</f>
        <v>0.1665</v>
      </c>
      <c r="AP153" s="166" t="n">
        <f aca="false">AN153*1.25</f>
        <v>0.4625</v>
      </c>
      <c r="AQ153" s="166" t="n">
        <f aca="false">EnergyCurve!AQ153*2</f>
        <v>0.37</v>
      </c>
      <c r="AR153" s="166" t="n">
        <f aca="false">EnergyCurve!AR153</f>
        <v>0.148</v>
      </c>
      <c r="AS153" s="166" t="n">
        <f aca="false">EnergyCurve!AS153*1.25</f>
        <v>0.2775</v>
      </c>
      <c r="AT153" s="168" t="n">
        <f aca="false">EnergyCurve!AT153*2*2</f>
        <v>6.88781730529552</v>
      </c>
      <c r="AU153" s="169" t="n">
        <f aca="false">EnergyCurve!AU153</f>
        <v>-0.43048858158097</v>
      </c>
      <c r="AV153" s="169" t="n">
        <f aca="false">AT153*1.25</f>
        <v>8.60977163161941</v>
      </c>
      <c r="AW153" s="168" t="n">
        <f aca="false">EnergyCurve!AW153*2*2</f>
        <v>10.4928</v>
      </c>
      <c r="AX153" s="169" t="n">
        <f aca="false">EnergyCurve!AX153</f>
        <v>-0.6558</v>
      </c>
      <c r="AY153" s="169" t="n">
        <f aca="false">AW153*1.25</f>
        <v>13.116</v>
      </c>
      <c r="AZ153" s="167" t="n">
        <v>0</v>
      </c>
      <c r="BA153" s="74"/>
      <c r="BQ153" s="108" t="n">
        <v>36907.7428240741</v>
      </c>
      <c r="BR153" s="109" t="n">
        <v>36907.7434490741</v>
      </c>
      <c r="BS153" s="110" t="n">
        <v>40756</v>
      </c>
      <c r="BT153" s="111" t="n">
        <v>0</v>
      </c>
      <c r="BU153" s="112" t="n">
        <v>0</v>
      </c>
      <c r="BV153" s="112" t="n">
        <v>0</v>
      </c>
      <c r="BW153" s="112" t="n">
        <v>0</v>
      </c>
      <c r="BX153" s="113" t="n">
        <v>0</v>
      </c>
      <c r="BZ153" s="110" t="n">
        <v>40544</v>
      </c>
      <c r="CA153" s="116" t="n">
        <v>34.0890007019043</v>
      </c>
      <c r="CB153" s="116" t="n">
        <v>0</v>
      </c>
      <c r="CC153" s="116" t="n">
        <v>0</v>
      </c>
      <c r="CD153" s="116" t="n">
        <v>0</v>
      </c>
      <c r="CE153" s="117" t="n">
        <v>0</v>
      </c>
    </row>
    <row r="154" customFormat="false" ht="12.75" hidden="false" customHeight="false" outlineLevel="0" collapsed="false">
      <c r="A154" s="0" t="n">
        <f aca="true">IF(ISERROR(MATCH(D154,iRefDt,0)),"",MATCH(D154,iRefDt,0))</f>
        <v>145</v>
      </c>
      <c r="B154" s="92" t="n">
        <f aca="false">MATCH(YEAR(D154),iSpreads)</f>
        <v>11</v>
      </c>
      <c r="C154" s="0" t="n">
        <f aca="false">MONTH(D154)</f>
        <v>2</v>
      </c>
      <c r="D154" s="93" t="n">
        <f aca="false">+EnergyCurve!D154</f>
        <v>40575</v>
      </c>
      <c r="E154" s="94" t="n">
        <f aca="false">VLOOKUP($D154,tblPriorPrice,2)</f>
        <v>30.8999996185303</v>
      </c>
      <c r="F154" s="95" t="n">
        <f aca="false">G154-E154</f>
        <v>3.81469728694128E-007</v>
      </c>
      <c r="G154" s="264" t="n">
        <f aca="false">IF(EnergyCurve!G154&lt;200,0.001*EnergyCurve!G154+1,1.2)*EnergyCurve!G154</f>
        <v>30.9</v>
      </c>
      <c r="H154" s="96" t="n">
        <f aca="false">IF(EnergyCurve!H154&lt;200,0.001*EnergyCurve!H154+1,1.2)*EnergyCurve!H154</f>
        <v>25.625</v>
      </c>
      <c r="I154" s="96" t="n">
        <f aca="false">IF(EnergyCurve!I154&lt;200,0.001*EnergyCurve!I154+1,1.2)*EnergyCurve!I154</f>
        <v>58.025</v>
      </c>
      <c r="J154" s="94" t="n">
        <f aca="false">VLOOKUP($D154,tblPriorPrice,3)</f>
        <v>0</v>
      </c>
      <c r="K154" s="95" t="n">
        <f aca="false">L154-J154</f>
        <v>0</v>
      </c>
      <c r="L154" s="264" t="n">
        <v>0</v>
      </c>
      <c r="M154" s="96" t="n">
        <f aca="false">L154</f>
        <v>0</v>
      </c>
      <c r="N154" s="96" t="n">
        <f aca="false">L154</f>
        <v>0</v>
      </c>
      <c r="O154" s="58" t="n">
        <f aca="true">IF($A154="",0,INDEX(tblPosn,$A154,2))</f>
        <v>0</v>
      </c>
      <c r="P154" s="59" t="n">
        <f aca="true">IF($A154="",0,INDEX(tblPosn,$A154,3))</f>
        <v>0</v>
      </c>
      <c r="Q154" s="59" t="n">
        <f aca="true">IF($A154="",0,INDEX(tblPosn,$A154,4))</f>
        <v>0</v>
      </c>
      <c r="R154" s="59" t="n">
        <f aca="true">IF($A154="",0,INDEX(tblPosn,$A154,5))</f>
        <v>0</v>
      </c>
      <c r="S154" s="59" t="n">
        <f aca="true">IF($A154="",0,INDEX(tblPosn,$A154,6))</f>
        <v>0</v>
      </c>
      <c r="T154" s="98" t="n">
        <f aca="false">O154*F154+P154*K154+R154*AC154+S154*AH154/0.72+Q154*X154</f>
        <v>0</v>
      </c>
      <c r="V154" s="161" t="n">
        <f aca="false">D154</f>
        <v>40575</v>
      </c>
      <c r="W154" s="94" t="n">
        <f aca="false">VLOOKUP($D154,tblPriorPrice,4)</f>
        <v>0</v>
      </c>
      <c r="X154" s="162"/>
      <c r="Y154" s="176" t="n">
        <f aca="false">L154</f>
        <v>0</v>
      </c>
      <c r="Z154" s="177" t="n">
        <f aca="false">Y154</f>
        <v>0</v>
      </c>
      <c r="AA154" s="177" t="n">
        <f aca="false">Y154</f>
        <v>0</v>
      </c>
      <c r="AB154" s="94" t="n">
        <f aca="false">VLOOKUP($D154,tblPriorPrice,5)</f>
        <v>0</v>
      </c>
      <c r="AC154" s="162"/>
      <c r="AD154" s="176" t="n">
        <f aca="false">L154</f>
        <v>0</v>
      </c>
      <c r="AE154" s="96" t="n">
        <f aca="false">AD154</f>
        <v>0</v>
      </c>
      <c r="AF154" s="97" t="n">
        <f aca="false">AD154</f>
        <v>0</v>
      </c>
      <c r="AG154" s="94" t="n">
        <f aca="false">VLOOKUP($D154,tblPriorPrice,6)</f>
        <v>0</v>
      </c>
      <c r="AH154" s="182"/>
      <c r="AI154" s="189" t="n">
        <f aca="false">AG154+AH154</f>
        <v>0</v>
      </c>
      <c r="AJ154" s="96" t="n">
        <f aca="false">AI154</f>
        <v>0</v>
      </c>
      <c r="AK154" s="97" t="n">
        <f aca="false">AI154</f>
        <v>0</v>
      </c>
      <c r="AL154" s="178" t="n">
        <v>41</v>
      </c>
      <c r="AM154" s="165" t="n">
        <v>0.4</v>
      </c>
      <c r="AN154" s="166" t="n">
        <f aca="false">EnergyCurve!AN154*2</f>
        <v>0.37</v>
      </c>
      <c r="AO154" s="166" t="n">
        <f aca="false">EnergyCurve!AO154</f>
        <v>0.1665</v>
      </c>
      <c r="AP154" s="166" t="n">
        <f aca="false">AN154*1.25</f>
        <v>0.4625</v>
      </c>
      <c r="AQ154" s="166" t="n">
        <f aca="false">EnergyCurve!AQ154*2</f>
        <v>0.37</v>
      </c>
      <c r="AR154" s="166" t="n">
        <f aca="false">EnergyCurve!AR154</f>
        <v>0.148</v>
      </c>
      <c r="AS154" s="166" t="n">
        <f aca="false">EnergyCurve!AS154*1.25</f>
        <v>0.2775</v>
      </c>
      <c r="AT154" s="168" t="n">
        <f aca="false">EnergyCurve!AT154*2*2</f>
        <v>6.43371807382396</v>
      </c>
      <c r="AU154" s="169" t="n">
        <f aca="false">EnergyCurve!AU154</f>
        <v>-0.402107379613998</v>
      </c>
      <c r="AV154" s="169" t="n">
        <f aca="false">AT154*1.25</f>
        <v>8.04214759227995</v>
      </c>
      <c r="AW154" s="168" t="n">
        <f aca="false">EnergyCurve!AW154*2*2</f>
        <v>10.587</v>
      </c>
      <c r="AX154" s="169" t="n">
        <f aca="false">EnergyCurve!AX154</f>
        <v>-0.6616875</v>
      </c>
      <c r="AY154" s="169" t="n">
        <f aca="false">AW154*1.25</f>
        <v>13.23375</v>
      </c>
      <c r="AZ154" s="167" t="n">
        <v>0</v>
      </c>
      <c r="BA154" s="74"/>
      <c r="BQ154" s="108" t="n">
        <v>36907.7428240741</v>
      </c>
      <c r="BR154" s="109" t="n">
        <v>36907.7434490741</v>
      </c>
      <c r="BS154" s="110" t="n">
        <v>40787</v>
      </c>
      <c r="BT154" s="111" t="n">
        <v>0</v>
      </c>
      <c r="BU154" s="112" t="n">
        <v>0</v>
      </c>
      <c r="BV154" s="112" t="n">
        <v>0</v>
      </c>
      <c r="BW154" s="112" t="n">
        <v>0</v>
      </c>
      <c r="BX154" s="113" t="n">
        <v>0</v>
      </c>
      <c r="BZ154" s="110" t="n">
        <v>40575</v>
      </c>
      <c r="CA154" s="116" t="n">
        <v>30.8999996185303</v>
      </c>
      <c r="CB154" s="116" t="n">
        <v>0</v>
      </c>
      <c r="CC154" s="116" t="n">
        <v>0</v>
      </c>
      <c r="CD154" s="116" t="n">
        <v>0</v>
      </c>
      <c r="CE154" s="117" t="n">
        <v>0</v>
      </c>
    </row>
    <row r="155" customFormat="false" ht="12.75" hidden="false" customHeight="false" outlineLevel="0" collapsed="false">
      <c r="A155" s="0" t="n">
        <f aca="true">IF(ISERROR(MATCH(D155,iRefDt,0)),"",MATCH(D155,iRefDt,0))</f>
        <v>146</v>
      </c>
      <c r="B155" s="92" t="n">
        <f aca="false">MATCH(YEAR(D155),iSpreads)</f>
        <v>11</v>
      </c>
      <c r="C155" s="0" t="n">
        <f aca="false">MONTH(D155)</f>
        <v>3</v>
      </c>
      <c r="D155" s="93" t="n">
        <f aca="false">+EnergyCurve!D155</f>
        <v>40603</v>
      </c>
      <c r="E155" s="94" t="n">
        <f aca="false">VLOOKUP($D155,tblPriorPrice,2)</f>
        <v>29.8409996032715</v>
      </c>
      <c r="F155" s="95" t="n">
        <f aca="false">G155-E155</f>
        <v>3.96728513152311E-007</v>
      </c>
      <c r="G155" s="264" t="n">
        <f aca="false">IF(EnergyCurve!G155&lt;200,0.001*EnergyCurve!G155+1,1.2)*EnergyCurve!G155</f>
        <v>29.841</v>
      </c>
      <c r="H155" s="96" t="n">
        <f aca="false">IF(EnergyCurve!H155&lt;200,0.001*EnergyCurve!H155+1,1.2)*EnergyCurve!H155</f>
        <v>24.576</v>
      </c>
      <c r="I155" s="96" t="n">
        <f aca="false">IF(EnergyCurve!I155&lt;200,0.001*EnergyCurve!I155+1,1.2)*EnergyCurve!I155</f>
        <v>56.916</v>
      </c>
      <c r="J155" s="94" t="n">
        <f aca="false">VLOOKUP($D155,tblPriorPrice,3)</f>
        <v>0</v>
      </c>
      <c r="K155" s="95" t="n">
        <f aca="false">L155-J155</f>
        <v>0</v>
      </c>
      <c r="L155" s="264" t="n">
        <v>0</v>
      </c>
      <c r="M155" s="96" t="n">
        <f aca="false">L155</f>
        <v>0</v>
      </c>
      <c r="N155" s="96" t="n">
        <f aca="false">L155</f>
        <v>0</v>
      </c>
      <c r="O155" s="58" t="n">
        <f aca="true">IF($A155="",0,INDEX(tblPosn,$A155,2))</f>
        <v>0</v>
      </c>
      <c r="P155" s="59" t="n">
        <f aca="true">IF($A155="",0,INDEX(tblPosn,$A155,3))</f>
        <v>0</v>
      </c>
      <c r="Q155" s="59" t="n">
        <f aca="true">IF($A155="",0,INDEX(tblPosn,$A155,4))</f>
        <v>0</v>
      </c>
      <c r="R155" s="59" t="n">
        <f aca="true">IF($A155="",0,INDEX(tblPosn,$A155,5))</f>
        <v>0</v>
      </c>
      <c r="S155" s="59" t="n">
        <f aca="true">IF($A155="",0,INDEX(tblPosn,$A155,6))</f>
        <v>0</v>
      </c>
      <c r="T155" s="98" t="n">
        <f aca="false">O155*F155+P155*K155+R155*AC155+S155*AH155/0.72+Q155*X155</f>
        <v>0</v>
      </c>
      <c r="V155" s="161" t="n">
        <f aca="false">D155</f>
        <v>40603</v>
      </c>
      <c r="W155" s="94" t="n">
        <f aca="false">VLOOKUP($D155,tblPriorPrice,4)</f>
        <v>0</v>
      </c>
      <c r="X155" s="162"/>
      <c r="Y155" s="176" t="n">
        <f aca="false">L155</f>
        <v>0</v>
      </c>
      <c r="Z155" s="177" t="n">
        <f aca="false">Y155</f>
        <v>0</v>
      </c>
      <c r="AA155" s="177" t="n">
        <f aca="false">Y155</f>
        <v>0</v>
      </c>
      <c r="AB155" s="94" t="n">
        <f aca="false">VLOOKUP($D155,tblPriorPrice,5)</f>
        <v>0</v>
      </c>
      <c r="AC155" s="162"/>
      <c r="AD155" s="176" t="n">
        <f aca="false">L155</f>
        <v>0</v>
      </c>
      <c r="AE155" s="96" t="n">
        <f aca="false">AD155</f>
        <v>0</v>
      </c>
      <c r="AF155" s="97" t="n">
        <f aca="false">AD155</f>
        <v>0</v>
      </c>
      <c r="AG155" s="94" t="n">
        <f aca="false">VLOOKUP($D155,tblPriorPrice,6)</f>
        <v>0</v>
      </c>
      <c r="AH155" s="182"/>
      <c r="AI155" s="189" t="n">
        <f aca="false">AG155+AH155</f>
        <v>0</v>
      </c>
      <c r="AJ155" s="96" t="n">
        <f aca="false">AI155</f>
        <v>0</v>
      </c>
      <c r="AK155" s="97" t="n">
        <f aca="false">AI155</f>
        <v>0</v>
      </c>
      <c r="AL155" s="178" t="n">
        <v>41</v>
      </c>
      <c r="AM155" s="165" t="n">
        <v>0.4</v>
      </c>
      <c r="AN155" s="166" t="n">
        <f aca="false">EnergyCurve!AN155*2</f>
        <v>0.36</v>
      </c>
      <c r="AO155" s="166" t="n">
        <f aca="false">EnergyCurve!AO155</f>
        <v>0.162</v>
      </c>
      <c r="AP155" s="166" t="n">
        <f aca="false">AN155*1.25</f>
        <v>0.45</v>
      </c>
      <c r="AQ155" s="166" t="n">
        <f aca="false">EnergyCurve!AQ155*2</f>
        <v>0.36</v>
      </c>
      <c r="AR155" s="166" t="n">
        <f aca="false">EnergyCurve!AR155</f>
        <v>0.144</v>
      </c>
      <c r="AS155" s="166" t="n">
        <f aca="false">EnergyCurve!AS155*1.25</f>
        <v>0.27</v>
      </c>
      <c r="AT155" s="168" t="n">
        <f aca="false">EnergyCurve!AT155*2*2</f>
        <v>6.33113623762127</v>
      </c>
      <c r="AU155" s="169" t="n">
        <f aca="false">EnergyCurve!AU155</f>
        <v>-0.395696014851329</v>
      </c>
      <c r="AV155" s="169" t="n">
        <f aca="false">AT155*1.25</f>
        <v>7.91392029702658</v>
      </c>
      <c r="AW155" s="168" t="n">
        <f aca="false">EnergyCurve!AW155*2*2</f>
        <v>10.6812</v>
      </c>
      <c r="AX155" s="169" t="n">
        <f aca="false">EnergyCurve!AX155</f>
        <v>-0.667575</v>
      </c>
      <c r="AY155" s="169" t="n">
        <f aca="false">AW155*1.25</f>
        <v>13.3515</v>
      </c>
      <c r="AZ155" s="167" t="n">
        <v>0</v>
      </c>
      <c r="BA155" s="74"/>
      <c r="BQ155" s="108" t="n">
        <v>36907.7428240741</v>
      </c>
      <c r="BR155" s="109" t="n">
        <v>36907.7434490741</v>
      </c>
      <c r="BS155" s="110" t="n">
        <v>40817</v>
      </c>
      <c r="BT155" s="111" t="n">
        <v>0</v>
      </c>
      <c r="BU155" s="112" t="n">
        <v>0</v>
      </c>
      <c r="BV155" s="112" t="n">
        <v>0</v>
      </c>
      <c r="BW155" s="112" t="n">
        <v>0</v>
      </c>
      <c r="BX155" s="113" t="n">
        <v>0</v>
      </c>
      <c r="BZ155" s="110" t="n">
        <v>40603</v>
      </c>
      <c r="CA155" s="116" t="n">
        <v>29.8409996032715</v>
      </c>
      <c r="CB155" s="116" t="n">
        <v>0</v>
      </c>
      <c r="CC155" s="116" t="n">
        <v>0</v>
      </c>
      <c r="CD155" s="116" t="n">
        <v>0</v>
      </c>
      <c r="CE155" s="117" t="n">
        <v>0</v>
      </c>
    </row>
    <row r="156" customFormat="false" ht="12.75" hidden="false" customHeight="false" outlineLevel="0" collapsed="false">
      <c r="A156" s="0" t="n">
        <f aca="true">IF(ISERROR(MATCH(D156,iRefDt,0)),"",MATCH(D156,iRefDt,0))</f>
        <v>147</v>
      </c>
      <c r="B156" s="92" t="n">
        <f aca="false">MATCH(YEAR(D156),iSpreads)</f>
        <v>11</v>
      </c>
      <c r="C156" s="0" t="n">
        <f aca="false">MONTH(D156)</f>
        <v>4</v>
      </c>
      <c r="D156" s="93" t="n">
        <f aca="false">+EnergyCurve!D156</f>
        <v>40634</v>
      </c>
      <c r="E156" s="94" t="n">
        <f aca="false">VLOOKUP($D156,tblPriorPrice,2)</f>
        <v>29.8409996032715</v>
      </c>
      <c r="F156" s="95" t="n">
        <f aca="false">G156-E156</f>
        <v>3.96728513152311E-007</v>
      </c>
      <c r="G156" s="264" t="n">
        <f aca="false">IF(EnergyCurve!G156&lt;200,0.001*EnergyCurve!G156+1,1.2)*EnergyCurve!G156</f>
        <v>29.841</v>
      </c>
      <c r="H156" s="96" t="n">
        <f aca="false">IF(EnergyCurve!H156&lt;200,0.001*EnergyCurve!H156+1,1.2)*EnergyCurve!H156</f>
        <v>24.576</v>
      </c>
      <c r="I156" s="96" t="n">
        <f aca="false">IF(EnergyCurve!I156&lt;200,0.001*EnergyCurve!I156+1,1.2)*EnergyCurve!I156</f>
        <v>56.916</v>
      </c>
      <c r="J156" s="94" t="n">
        <f aca="false">VLOOKUP($D156,tblPriorPrice,3)</f>
        <v>0</v>
      </c>
      <c r="K156" s="95" t="n">
        <f aca="false">L156-J156</f>
        <v>0</v>
      </c>
      <c r="L156" s="264" t="n">
        <v>0</v>
      </c>
      <c r="M156" s="96" t="n">
        <f aca="false">L156</f>
        <v>0</v>
      </c>
      <c r="N156" s="96" t="n">
        <f aca="false">L156</f>
        <v>0</v>
      </c>
      <c r="O156" s="58" t="n">
        <f aca="true">IF($A156="",0,INDEX(tblPosn,$A156,2))</f>
        <v>0</v>
      </c>
      <c r="P156" s="59" t="n">
        <f aca="true">IF($A156="",0,INDEX(tblPosn,$A156,3))</f>
        <v>0</v>
      </c>
      <c r="Q156" s="59" t="n">
        <f aca="true">IF($A156="",0,INDEX(tblPosn,$A156,4))</f>
        <v>0</v>
      </c>
      <c r="R156" s="59" t="n">
        <f aca="true">IF($A156="",0,INDEX(tblPosn,$A156,5))</f>
        <v>0</v>
      </c>
      <c r="S156" s="59" t="n">
        <f aca="true">IF($A156="",0,INDEX(tblPosn,$A156,6))</f>
        <v>0</v>
      </c>
      <c r="T156" s="98" t="n">
        <f aca="false">O156*F156+P156*K156+R156*AC156+S156*AH156/0.72+Q156*X156</f>
        <v>0</v>
      </c>
      <c r="V156" s="161" t="n">
        <f aca="false">D156</f>
        <v>40634</v>
      </c>
      <c r="W156" s="94" t="n">
        <f aca="false">VLOOKUP($D156,tblPriorPrice,4)</f>
        <v>0</v>
      </c>
      <c r="X156" s="162"/>
      <c r="Y156" s="176" t="n">
        <f aca="false">L156</f>
        <v>0</v>
      </c>
      <c r="Z156" s="177" t="n">
        <f aca="false">Y156</f>
        <v>0</v>
      </c>
      <c r="AA156" s="177" t="n">
        <f aca="false">Y156</f>
        <v>0</v>
      </c>
      <c r="AB156" s="94" t="n">
        <f aca="false">VLOOKUP($D156,tblPriorPrice,5)</f>
        <v>0</v>
      </c>
      <c r="AC156" s="162"/>
      <c r="AD156" s="176" t="n">
        <f aca="false">L156</f>
        <v>0</v>
      </c>
      <c r="AE156" s="96" t="n">
        <f aca="false">AD156</f>
        <v>0</v>
      </c>
      <c r="AF156" s="97" t="n">
        <f aca="false">AD156</f>
        <v>0</v>
      </c>
      <c r="AG156" s="94" t="n">
        <f aca="false">VLOOKUP($D156,tblPriorPrice,6)</f>
        <v>0</v>
      </c>
      <c r="AH156" s="182"/>
      <c r="AI156" s="189" t="n">
        <f aca="false">AG156+AH156</f>
        <v>0</v>
      </c>
      <c r="AJ156" s="96" t="n">
        <f aca="false">AI156</f>
        <v>0</v>
      </c>
      <c r="AK156" s="97" t="n">
        <f aca="false">AI156</f>
        <v>0</v>
      </c>
      <c r="AL156" s="178" t="n">
        <v>42</v>
      </c>
      <c r="AM156" s="165" t="n">
        <v>0.4</v>
      </c>
      <c r="AN156" s="166" t="n">
        <f aca="false">EnergyCurve!AN156*2</f>
        <v>0.36</v>
      </c>
      <c r="AO156" s="166" t="n">
        <f aca="false">EnergyCurve!AO156</f>
        <v>0.162</v>
      </c>
      <c r="AP156" s="166" t="n">
        <f aca="false">AN156*1.25</f>
        <v>0.45</v>
      </c>
      <c r="AQ156" s="166" t="n">
        <f aca="false">EnergyCurve!AQ156*2</f>
        <v>0.36</v>
      </c>
      <c r="AR156" s="166" t="n">
        <f aca="false">EnergyCurve!AR156</f>
        <v>0.144</v>
      </c>
      <c r="AS156" s="166" t="n">
        <f aca="false">EnergyCurve!AS156*1.25</f>
        <v>0.27</v>
      </c>
      <c r="AT156" s="168" t="n">
        <f aca="false">EnergyCurve!AT156*2*2</f>
        <v>6.33113623762127</v>
      </c>
      <c r="AU156" s="169" t="n">
        <f aca="false">EnergyCurve!AU156</f>
        <v>-0.395696014851329</v>
      </c>
      <c r="AV156" s="169" t="n">
        <f aca="false">AT156*1.25</f>
        <v>7.91392029702658</v>
      </c>
      <c r="AW156" s="168" t="n">
        <f aca="false">EnergyCurve!AW156*2*2</f>
        <v>10.6812</v>
      </c>
      <c r="AX156" s="169" t="n">
        <f aca="false">EnergyCurve!AX156</f>
        <v>-0.667575</v>
      </c>
      <c r="AY156" s="169" t="n">
        <f aca="false">AW156*1.25</f>
        <v>13.3515</v>
      </c>
      <c r="AZ156" s="167" t="n">
        <v>0</v>
      </c>
      <c r="BA156" s="74"/>
      <c r="BQ156" s="108" t="n">
        <v>36907.7428240741</v>
      </c>
      <c r="BR156" s="109" t="n">
        <v>36907.7434490741</v>
      </c>
      <c r="BS156" s="110" t="n">
        <v>40848</v>
      </c>
      <c r="BT156" s="111" t="n">
        <v>0</v>
      </c>
      <c r="BU156" s="112" t="n">
        <v>0</v>
      </c>
      <c r="BV156" s="112" t="n">
        <v>0</v>
      </c>
      <c r="BW156" s="112" t="n">
        <v>0</v>
      </c>
      <c r="BX156" s="113" t="n">
        <v>0</v>
      </c>
      <c r="BZ156" s="110" t="n">
        <v>40634</v>
      </c>
      <c r="CA156" s="116" t="n">
        <v>29.8409996032715</v>
      </c>
      <c r="CB156" s="116" t="n">
        <v>0</v>
      </c>
      <c r="CC156" s="116" t="n">
        <v>0</v>
      </c>
      <c r="CD156" s="116" t="n">
        <v>0</v>
      </c>
      <c r="CE156" s="117" t="n">
        <v>0</v>
      </c>
    </row>
    <row r="157" customFormat="false" ht="12.75" hidden="false" customHeight="false" outlineLevel="0" collapsed="false">
      <c r="A157" s="0" t="n">
        <f aca="true">IF(ISERROR(MATCH(D157,iRefDt,0)),"",MATCH(D157,iRefDt,0))</f>
        <v>148</v>
      </c>
      <c r="B157" s="92" t="n">
        <f aca="false">MATCH(YEAR(D157),iSpreads)</f>
        <v>11</v>
      </c>
      <c r="C157" s="0" t="n">
        <f aca="false">MONTH(D157)</f>
        <v>5</v>
      </c>
      <c r="D157" s="93" t="n">
        <f aca="false">+EnergyCurve!D157</f>
        <v>40664</v>
      </c>
      <c r="E157" s="94" t="n">
        <f aca="false">VLOOKUP($D157,tblPriorPrice,2)</f>
        <v>33.0239982604981</v>
      </c>
      <c r="F157" s="95" t="n">
        <f aca="false">G157-E157</f>
        <v>1.73950195403449E-006</v>
      </c>
      <c r="G157" s="264" t="n">
        <f aca="false">IF(EnergyCurve!G157&lt;200,0.001*EnergyCurve!G157+1,1.2)*EnergyCurve!G157</f>
        <v>33.024</v>
      </c>
      <c r="H157" s="96" t="n">
        <f aca="false">IF(EnergyCurve!H157&lt;200,0.001*EnergyCurve!H157+1,1.2)*EnergyCurve!H157</f>
        <v>27.729</v>
      </c>
      <c r="I157" s="96" t="n">
        <f aca="false">IF(EnergyCurve!I157&lt;200,0.001*EnergyCurve!I157+1,1.2)*EnergyCurve!I157</f>
        <v>60.249</v>
      </c>
      <c r="J157" s="94" t="n">
        <f aca="false">VLOOKUP($D157,tblPriorPrice,3)</f>
        <v>0</v>
      </c>
      <c r="K157" s="95" t="n">
        <f aca="false">L157-J157</f>
        <v>0</v>
      </c>
      <c r="L157" s="264" t="n">
        <v>0</v>
      </c>
      <c r="M157" s="96" t="n">
        <f aca="false">L157</f>
        <v>0</v>
      </c>
      <c r="N157" s="96" t="n">
        <f aca="false">L157</f>
        <v>0</v>
      </c>
      <c r="O157" s="58" t="n">
        <f aca="true">IF($A157="",0,INDEX(tblPosn,$A157,2))</f>
        <v>0</v>
      </c>
      <c r="P157" s="59" t="n">
        <f aca="true">IF($A157="",0,INDEX(tblPosn,$A157,3))</f>
        <v>0</v>
      </c>
      <c r="Q157" s="59" t="n">
        <f aca="true">IF($A157="",0,INDEX(tblPosn,$A157,4))</f>
        <v>0</v>
      </c>
      <c r="R157" s="59" t="n">
        <f aca="true">IF($A157="",0,INDEX(tblPosn,$A157,5))</f>
        <v>0</v>
      </c>
      <c r="S157" s="59" t="n">
        <f aca="true">IF($A157="",0,INDEX(tblPosn,$A157,6))</f>
        <v>0</v>
      </c>
      <c r="T157" s="98" t="n">
        <f aca="false">O157*F157+P157*K157+R157*AC157+S157*AH157/0.72+Q157*X157</f>
        <v>0</v>
      </c>
      <c r="V157" s="161" t="n">
        <f aca="false">D157</f>
        <v>40664</v>
      </c>
      <c r="W157" s="94" t="n">
        <f aca="false">VLOOKUP($D157,tblPriorPrice,4)</f>
        <v>0</v>
      </c>
      <c r="X157" s="162"/>
      <c r="Y157" s="176" t="n">
        <f aca="false">L157</f>
        <v>0</v>
      </c>
      <c r="Z157" s="177" t="n">
        <f aca="false">Y157</f>
        <v>0</v>
      </c>
      <c r="AA157" s="177" t="n">
        <f aca="false">Y157</f>
        <v>0</v>
      </c>
      <c r="AB157" s="94" t="n">
        <f aca="false">VLOOKUP($D157,tblPriorPrice,5)</f>
        <v>0</v>
      </c>
      <c r="AC157" s="162"/>
      <c r="AD157" s="176" t="n">
        <f aca="false">L157</f>
        <v>0</v>
      </c>
      <c r="AE157" s="96" t="n">
        <f aca="false">AD157</f>
        <v>0</v>
      </c>
      <c r="AF157" s="97" t="n">
        <f aca="false">AD157</f>
        <v>0</v>
      </c>
      <c r="AG157" s="94" t="n">
        <f aca="false">VLOOKUP($D157,tblPriorPrice,6)</f>
        <v>0</v>
      </c>
      <c r="AH157" s="182"/>
      <c r="AI157" s="189" t="n">
        <f aca="false">AG157+AH157</f>
        <v>0</v>
      </c>
      <c r="AJ157" s="96" t="n">
        <f aca="false">AI157</f>
        <v>0</v>
      </c>
      <c r="AK157" s="97" t="n">
        <f aca="false">AI157</f>
        <v>0</v>
      </c>
      <c r="AL157" s="178" t="n">
        <v>42</v>
      </c>
      <c r="AM157" s="165" t="n">
        <v>0.4</v>
      </c>
      <c r="AN157" s="166" t="n">
        <f aca="false">EnergyCurve!AN157*2</f>
        <v>0.36</v>
      </c>
      <c r="AO157" s="166" t="n">
        <f aca="false">EnergyCurve!AO157</f>
        <v>0.162</v>
      </c>
      <c r="AP157" s="166" t="n">
        <f aca="false">AN157*1.25</f>
        <v>0.45</v>
      </c>
      <c r="AQ157" s="166" t="n">
        <f aca="false">EnergyCurve!AQ157*2</f>
        <v>0.36</v>
      </c>
      <c r="AR157" s="166" t="n">
        <f aca="false">EnergyCurve!AR157</f>
        <v>0.144</v>
      </c>
      <c r="AS157" s="166" t="n">
        <f aca="false">EnergyCurve!AS157*1.25</f>
        <v>0.27</v>
      </c>
      <c r="AT157" s="168" t="n">
        <f aca="false">EnergyCurve!AT157*2*2</f>
        <v>6.71448638739126</v>
      </c>
      <c r="AU157" s="169" t="n">
        <f aca="false">EnergyCurve!AU157</f>
        <v>-0.419655399211954</v>
      </c>
      <c r="AV157" s="169" t="n">
        <f aca="false">AT157*1.25</f>
        <v>8.39310798423907</v>
      </c>
      <c r="AW157" s="168" t="n">
        <f aca="false">EnergyCurve!AW157*2*2</f>
        <v>10.3986</v>
      </c>
      <c r="AX157" s="169" t="n">
        <f aca="false">EnergyCurve!AX157</f>
        <v>-0.6499125</v>
      </c>
      <c r="AY157" s="169" t="n">
        <f aca="false">AW157*1.25</f>
        <v>12.99825</v>
      </c>
      <c r="AZ157" s="167" t="n">
        <v>0</v>
      </c>
      <c r="BA157" s="74"/>
      <c r="BQ157" s="108" t="n">
        <v>36907.7428240741</v>
      </c>
      <c r="BR157" s="109" t="n">
        <v>36907.7434490741</v>
      </c>
      <c r="BS157" s="110" t="n">
        <v>40878</v>
      </c>
      <c r="BT157" s="111" t="n">
        <v>0</v>
      </c>
      <c r="BU157" s="112" t="n">
        <v>0</v>
      </c>
      <c r="BV157" s="112" t="n">
        <v>0</v>
      </c>
      <c r="BW157" s="112" t="n">
        <v>0</v>
      </c>
      <c r="BX157" s="113" t="n">
        <v>0</v>
      </c>
      <c r="BZ157" s="110" t="n">
        <v>40664</v>
      </c>
      <c r="CA157" s="116" t="n">
        <v>33.0239982604981</v>
      </c>
      <c r="CB157" s="116" t="n">
        <v>0</v>
      </c>
      <c r="CC157" s="116" t="n">
        <v>0</v>
      </c>
      <c r="CD157" s="116" t="n">
        <v>0</v>
      </c>
      <c r="CE157" s="117" t="n">
        <v>0</v>
      </c>
    </row>
    <row r="158" customFormat="false" ht="12.75" hidden="false" customHeight="false" outlineLevel="0" collapsed="false">
      <c r="A158" s="0" t="n">
        <f aca="true">IF(ISERROR(MATCH(D158,iRefDt,0)),"",MATCH(D158,iRefDt,0))</f>
        <v>149</v>
      </c>
      <c r="B158" s="92" t="n">
        <f aca="false">MATCH(YEAR(D158),iSpreads)</f>
        <v>11</v>
      </c>
      <c r="C158" s="0" t="n">
        <f aca="false">MONTH(D158)</f>
        <v>6</v>
      </c>
      <c r="D158" s="93" t="n">
        <f aca="false">+EnergyCurve!D158</f>
        <v>40695</v>
      </c>
      <c r="E158" s="94" t="n">
        <f aca="false">VLOOKUP($D158,tblPriorPrice,2)</f>
        <v>40.5209999084473</v>
      </c>
      <c r="F158" s="95" t="n">
        <f aca="false">G158-E158</f>
        <v>9.15527280653805E-008</v>
      </c>
      <c r="G158" s="264" t="n">
        <f aca="false">IF(EnergyCurve!G158&lt;200,0.001*EnergyCurve!G158+1,1.2)*EnergyCurve!G158</f>
        <v>40.521</v>
      </c>
      <c r="H158" s="96" t="n">
        <f aca="false">IF(EnergyCurve!H158&lt;200,0.001*EnergyCurve!H158+1,1.2)*EnergyCurve!H158</f>
        <v>35.156</v>
      </c>
      <c r="I158" s="96" t="n">
        <f aca="false">IF(EnergyCurve!I158&lt;200,0.001*EnergyCurve!I158+1,1.2)*EnergyCurve!I158</f>
        <v>68.096</v>
      </c>
      <c r="J158" s="94" t="n">
        <f aca="false">VLOOKUP($D158,tblPriorPrice,3)</f>
        <v>0</v>
      </c>
      <c r="K158" s="95" t="n">
        <f aca="false">L158-J158</f>
        <v>0</v>
      </c>
      <c r="L158" s="264" t="n">
        <v>0</v>
      </c>
      <c r="M158" s="96" t="n">
        <f aca="false">L158</f>
        <v>0</v>
      </c>
      <c r="N158" s="96" t="n">
        <f aca="false">L158</f>
        <v>0</v>
      </c>
      <c r="O158" s="58" t="n">
        <f aca="true">IF($A158="",0,INDEX(tblPosn,$A158,2))</f>
        <v>0</v>
      </c>
      <c r="P158" s="59" t="n">
        <f aca="true">IF($A158="",0,INDEX(tblPosn,$A158,3))</f>
        <v>0</v>
      </c>
      <c r="Q158" s="59" t="n">
        <f aca="true">IF($A158="",0,INDEX(tblPosn,$A158,4))</f>
        <v>0</v>
      </c>
      <c r="R158" s="59" t="n">
        <f aca="true">IF($A158="",0,INDEX(tblPosn,$A158,5))</f>
        <v>0</v>
      </c>
      <c r="S158" s="59" t="n">
        <f aca="true">IF($A158="",0,INDEX(tblPosn,$A158,6))</f>
        <v>0</v>
      </c>
      <c r="T158" s="98" t="n">
        <f aca="false">O158*F158+P158*K158+R158*AC158+S158*AH158/0.72+Q158*X158</f>
        <v>0</v>
      </c>
      <c r="V158" s="161" t="n">
        <f aca="false">D158</f>
        <v>40695</v>
      </c>
      <c r="W158" s="94" t="n">
        <f aca="false">VLOOKUP($D158,tblPriorPrice,4)</f>
        <v>0</v>
      </c>
      <c r="X158" s="162"/>
      <c r="Y158" s="176" t="n">
        <f aca="false">L158</f>
        <v>0</v>
      </c>
      <c r="Z158" s="177" t="n">
        <f aca="false">Y158</f>
        <v>0</v>
      </c>
      <c r="AA158" s="177" t="n">
        <f aca="false">Y158</f>
        <v>0</v>
      </c>
      <c r="AB158" s="94" t="n">
        <f aca="false">VLOOKUP($D158,tblPriorPrice,5)</f>
        <v>0</v>
      </c>
      <c r="AC158" s="162"/>
      <c r="AD158" s="176" t="n">
        <f aca="false">L158</f>
        <v>0</v>
      </c>
      <c r="AE158" s="96" t="n">
        <f aca="false">AD158</f>
        <v>0</v>
      </c>
      <c r="AF158" s="97" t="n">
        <f aca="false">AD158</f>
        <v>0</v>
      </c>
      <c r="AG158" s="94" t="n">
        <f aca="false">VLOOKUP($D158,tblPriorPrice,6)</f>
        <v>0</v>
      </c>
      <c r="AH158" s="182"/>
      <c r="AI158" s="189" t="n">
        <f aca="false">AG158+AH158</f>
        <v>0</v>
      </c>
      <c r="AJ158" s="96" t="n">
        <f aca="false">AI158</f>
        <v>0</v>
      </c>
      <c r="AK158" s="97" t="n">
        <f aca="false">AI158</f>
        <v>0</v>
      </c>
      <c r="AL158" s="178" t="n">
        <v>42</v>
      </c>
      <c r="AM158" s="165" t="n">
        <v>0.4</v>
      </c>
      <c r="AN158" s="166" t="n">
        <f aca="false">EnergyCurve!AN158*2</f>
        <v>0.36</v>
      </c>
      <c r="AO158" s="166" t="n">
        <f aca="false">EnergyCurve!AO158</f>
        <v>0.162</v>
      </c>
      <c r="AP158" s="166" t="n">
        <f aca="false">AN158*1.25</f>
        <v>0.45</v>
      </c>
      <c r="AQ158" s="166" t="n">
        <f aca="false">EnergyCurve!AQ158*2</f>
        <v>0.36</v>
      </c>
      <c r="AR158" s="166" t="n">
        <f aca="false">EnergyCurve!AR158</f>
        <v>0.144</v>
      </c>
      <c r="AS158" s="166" t="n">
        <f aca="false">EnergyCurve!AS158*1.25</f>
        <v>0.27</v>
      </c>
      <c r="AT158" s="168" t="n">
        <f aca="false">EnergyCurve!AT158*2*2</f>
        <v>8.27346121695085</v>
      </c>
      <c r="AU158" s="169" t="n">
        <f aca="false">EnergyCurve!AU158</f>
        <v>-0.517091326059428</v>
      </c>
      <c r="AV158" s="169" t="n">
        <f aca="false">AT158*1.25</f>
        <v>10.3418265211886</v>
      </c>
      <c r="AW158" s="168" t="n">
        <f aca="false">EnergyCurve!AW158*2*2</f>
        <v>9.7392</v>
      </c>
      <c r="AX158" s="169" t="n">
        <f aca="false">EnergyCurve!AX158</f>
        <v>-0.6087</v>
      </c>
      <c r="AY158" s="169" t="n">
        <f aca="false">AW158*1.25</f>
        <v>12.174</v>
      </c>
      <c r="AZ158" s="167" t="n">
        <v>0</v>
      </c>
      <c r="BA158" s="74"/>
      <c r="BQ158" s="108" t="n">
        <v>36907.7428240741</v>
      </c>
      <c r="BR158" s="109" t="n">
        <v>36907.7434490741</v>
      </c>
      <c r="BS158" s="110" t="n">
        <v>40909</v>
      </c>
      <c r="BT158" s="111" t="n">
        <v>0</v>
      </c>
      <c r="BU158" s="112" t="n">
        <v>0</v>
      </c>
      <c r="BV158" s="112" t="n">
        <v>0</v>
      </c>
      <c r="BW158" s="112" t="n">
        <v>0</v>
      </c>
      <c r="BX158" s="113" t="n">
        <v>0</v>
      </c>
      <c r="BZ158" s="110" t="n">
        <v>40695</v>
      </c>
      <c r="CA158" s="116" t="n">
        <v>40.5209999084473</v>
      </c>
      <c r="CB158" s="116" t="n">
        <v>0</v>
      </c>
      <c r="CC158" s="116" t="n">
        <v>0</v>
      </c>
      <c r="CD158" s="116" t="n">
        <v>0</v>
      </c>
      <c r="CE158" s="117" t="n">
        <v>0</v>
      </c>
    </row>
    <row r="159" customFormat="false" ht="12.75" hidden="false" customHeight="false" outlineLevel="0" collapsed="false">
      <c r="A159" s="0" t="n">
        <f aca="true">IF(ISERROR(MATCH(D159,iRefDt,0)),"",MATCH(D159,iRefDt,0))</f>
        <v>150</v>
      </c>
      <c r="B159" s="92" t="n">
        <f aca="false">MATCH(YEAR(D159),iSpreads)</f>
        <v>11</v>
      </c>
      <c r="C159" s="0" t="n">
        <f aca="false">MONTH(D159)</f>
        <v>7</v>
      </c>
      <c r="D159" s="93" t="n">
        <f aca="false">+EnergyCurve!D159</f>
        <v>40725</v>
      </c>
      <c r="E159" s="94" t="n">
        <f aca="false">VLOOKUP($D159,tblPriorPrice,2)</f>
        <v>40.5209999084473</v>
      </c>
      <c r="F159" s="95" t="n">
        <f aca="false">G159-E159</f>
        <v>9.15527280653805E-008</v>
      </c>
      <c r="G159" s="264" t="n">
        <f aca="false">IF(EnergyCurve!G159&lt;200,0.001*EnergyCurve!G159+1,1.2)*EnergyCurve!G159</f>
        <v>40.521</v>
      </c>
      <c r="H159" s="96" t="n">
        <f aca="false">IF(EnergyCurve!H159&lt;200,0.001*EnergyCurve!H159+1,1.2)*EnergyCurve!H159</f>
        <v>35.156</v>
      </c>
      <c r="I159" s="96" t="n">
        <f aca="false">IF(EnergyCurve!I159&lt;200,0.001*EnergyCurve!I159+1,1.2)*EnergyCurve!I159</f>
        <v>68.096</v>
      </c>
      <c r="J159" s="94" t="n">
        <f aca="false">VLOOKUP($D159,tblPriorPrice,3)</f>
        <v>0</v>
      </c>
      <c r="K159" s="95" t="n">
        <f aca="false">L159-J159</f>
        <v>0</v>
      </c>
      <c r="L159" s="264" t="n">
        <v>0</v>
      </c>
      <c r="M159" s="96" t="n">
        <f aca="false">L159</f>
        <v>0</v>
      </c>
      <c r="N159" s="96" t="n">
        <f aca="false">L159</f>
        <v>0</v>
      </c>
      <c r="O159" s="58" t="n">
        <f aca="true">IF($A159="",0,INDEX(tblPosn,$A159,2))</f>
        <v>0</v>
      </c>
      <c r="P159" s="59" t="n">
        <f aca="true">IF($A159="",0,INDEX(tblPosn,$A159,3))</f>
        <v>0</v>
      </c>
      <c r="Q159" s="59" t="n">
        <f aca="true">IF($A159="",0,INDEX(tblPosn,$A159,4))</f>
        <v>0</v>
      </c>
      <c r="R159" s="59" t="n">
        <f aca="true">IF($A159="",0,INDEX(tblPosn,$A159,5))</f>
        <v>0</v>
      </c>
      <c r="S159" s="59" t="n">
        <f aca="true">IF($A159="",0,INDEX(tblPosn,$A159,6))</f>
        <v>0</v>
      </c>
      <c r="T159" s="98" t="n">
        <f aca="false">O159*F159+P159*K159+R159*AC159+S159*AH159/0.72+Q159*X159</f>
        <v>0</v>
      </c>
      <c r="V159" s="161" t="n">
        <f aca="false">D159</f>
        <v>40725</v>
      </c>
      <c r="W159" s="94" t="n">
        <f aca="false">VLOOKUP($D159,tblPriorPrice,4)</f>
        <v>0</v>
      </c>
      <c r="X159" s="162"/>
      <c r="Y159" s="176" t="n">
        <f aca="false">L159</f>
        <v>0</v>
      </c>
      <c r="Z159" s="177" t="n">
        <f aca="false">Y159</f>
        <v>0</v>
      </c>
      <c r="AA159" s="177" t="n">
        <f aca="false">Y159</f>
        <v>0</v>
      </c>
      <c r="AB159" s="94" t="n">
        <f aca="false">VLOOKUP($D159,tblPriorPrice,5)</f>
        <v>0</v>
      </c>
      <c r="AC159" s="162"/>
      <c r="AD159" s="176" t="n">
        <f aca="false">L159</f>
        <v>0</v>
      </c>
      <c r="AE159" s="96" t="n">
        <f aca="false">AD159</f>
        <v>0</v>
      </c>
      <c r="AF159" s="97" t="n">
        <f aca="false">AD159</f>
        <v>0</v>
      </c>
      <c r="AG159" s="94" t="n">
        <f aca="false">VLOOKUP($D159,tblPriorPrice,6)</f>
        <v>0</v>
      </c>
      <c r="AH159" s="182"/>
      <c r="AI159" s="189" t="n">
        <f aca="false">AG159+AH159</f>
        <v>0</v>
      </c>
      <c r="AJ159" s="96" t="n">
        <f aca="false">AI159</f>
        <v>0</v>
      </c>
      <c r="AK159" s="97" t="n">
        <f aca="false">AI159</f>
        <v>0</v>
      </c>
      <c r="AL159" s="178" t="n">
        <v>43</v>
      </c>
      <c r="AM159" s="165" t="n">
        <v>0.4</v>
      </c>
      <c r="AN159" s="166" t="n">
        <f aca="false">EnergyCurve!AN159*2</f>
        <v>0.36</v>
      </c>
      <c r="AO159" s="166" t="n">
        <f aca="false">EnergyCurve!AO159</f>
        <v>0.162</v>
      </c>
      <c r="AP159" s="166" t="n">
        <f aca="false">AN159*1.25</f>
        <v>0.45</v>
      </c>
      <c r="AQ159" s="166" t="n">
        <f aca="false">EnergyCurve!AQ159*2</f>
        <v>0.36</v>
      </c>
      <c r="AR159" s="166" t="n">
        <f aca="false">EnergyCurve!AR159</f>
        <v>0.144</v>
      </c>
      <c r="AS159" s="166" t="n">
        <f aca="false">EnergyCurve!AS159*1.25</f>
        <v>0.27</v>
      </c>
      <c r="AT159" s="168" t="n">
        <f aca="false">EnergyCurve!AT159*2*2</f>
        <v>8.27346121695085</v>
      </c>
      <c r="AU159" s="169" t="n">
        <f aca="false">EnergyCurve!AU159</f>
        <v>-0.517091326059428</v>
      </c>
      <c r="AV159" s="169" t="n">
        <f aca="false">AT159*1.25</f>
        <v>10.3418265211886</v>
      </c>
      <c r="AW159" s="168" t="n">
        <f aca="false">EnergyCurve!AW159*2*2</f>
        <v>9.7392</v>
      </c>
      <c r="AX159" s="169" t="n">
        <f aca="false">EnergyCurve!AX159</f>
        <v>-0.6087</v>
      </c>
      <c r="AY159" s="169" t="n">
        <f aca="false">AW159*1.25</f>
        <v>12.174</v>
      </c>
      <c r="AZ159" s="167" t="n">
        <v>0</v>
      </c>
      <c r="BA159" s="74"/>
      <c r="BQ159" s="108" t="n">
        <v>36907.7428240741</v>
      </c>
      <c r="BR159" s="109" t="n">
        <v>36907.7434490741</v>
      </c>
      <c r="BS159" s="110" t="n">
        <v>40940</v>
      </c>
      <c r="BT159" s="111" t="n">
        <v>0</v>
      </c>
      <c r="BU159" s="112" t="n">
        <v>0</v>
      </c>
      <c r="BV159" s="112" t="n">
        <v>0</v>
      </c>
      <c r="BW159" s="112" t="n">
        <v>0</v>
      </c>
      <c r="BX159" s="113" t="n">
        <v>0</v>
      </c>
      <c r="BZ159" s="110" t="n">
        <v>40725</v>
      </c>
      <c r="CA159" s="116" t="n">
        <v>40.5209999084473</v>
      </c>
      <c r="CB159" s="116" t="n">
        <v>0</v>
      </c>
      <c r="CC159" s="116" t="n">
        <v>0</v>
      </c>
      <c r="CD159" s="116" t="n">
        <v>0</v>
      </c>
      <c r="CE159" s="117" t="n">
        <v>0</v>
      </c>
    </row>
    <row r="160" customFormat="false" ht="12.75" hidden="false" customHeight="false" outlineLevel="0" collapsed="false">
      <c r="A160" s="0" t="n">
        <f aca="true">IF(ISERROR(MATCH(D160,iRefDt,0)),"",MATCH(D160,iRefDt,0))</f>
        <v>151</v>
      </c>
      <c r="B160" s="92" t="n">
        <f aca="false">MATCH(YEAR(D160),iSpreads)</f>
        <v>11</v>
      </c>
      <c r="C160" s="0" t="n">
        <f aca="false">MONTH(D160)</f>
        <v>8</v>
      </c>
      <c r="D160" s="93" t="n">
        <f aca="false">+EnergyCurve!D160</f>
        <v>40756</v>
      </c>
      <c r="E160" s="94" t="n">
        <f aca="false">VLOOKUP($D160,tblPriorPrice,2)</f>
        <v>42.6809997558594</v>
      </c>
      <c r="F160" s="95" t="n">
        <f aca="false">G160-E160</f>
        <v>2.44140622385203E-007</v>
      </c>
      <c r="G160" s="264" t="n">
        <f aca="false">IF(EnergyCurve!G160&lt;200,0.001*EnergyCurve!G160+1,1.2)*EnergyCurve!G160</f>
        <v>42.681</v>
      </c>
      <c r="H160" s="96" t="n">
        <f aca="false">IF(EnergyCurve!H160&lt;200,0.001*EnergyCurve!H160+1,1.2)*EnergyCurve!H160</f>
        <v>37.296</v>
      </c>
      <c r="I160" s="96" t="n">
        <f aca="false">IF(EnergyCurve!I160&lt;200,0.001*EnergyCurve!I160+1,1.2)*EnergyCurve!I160</f>
        <v>70.356</v>
      </c>
      <c r="J160" s="94" t="n">
        <f aca="false">VLOOKUP($D160,tblPriorPrice,3)</f>
        <v>0</v>
      </c>
      <c r="K160" s="95" t="n">
        <f aca="false">L160-J160</f>
        <v>0</v>
      </c>
      <c r="L160" s="264" t="n">
        <v>0</v>
      </c>
      <c r="M160" s="96" t="n">
        <f aca="false">L160</f>
        <v>0</v>
      </c>
      <c r="N160" s="96" t="n">
        <f aca="false">L160</f>
        <v>0</v>
      </c>
      <c r="O160" s="58" t="n">
        <f aca="true">IF($A160="",0,INDEX(tblPosn,$A160,2))</f>
        <v>0</v>
      </c>
      <c r="P160" s="59" t="n">
        <f aca="true">IF($A160="",0,INDEX(tblPosn,$A160,3))</f>
        <v>0</v>
      </c>
      <c r="Q160" s="59" t="n">
        <f aca="true">IF($A160="",0,INDEX(tblPosn,$A160,4))</f>
        <v>0</v>
      </c>
      <c r="R160" s="59" t="n">
        <f aca="true">IF($A160="",0,INDEX(tblPosn,$A160,5))</f>
        <v>0</v>
      </c>
      <c r="S160" s="59" t="n">
        <f aca="true">IF($A160="",0,INDEX(tblPosn,$A160,6))</f>
        <v>0</v>
      </c>
      <c r="T160" s="98" t="n">
        <f aca="false">O160*F160+P160*K160+R160*AC160+S160*AH160/0.72+Q160*X160</f>
        <v>0</v>
      </c>
      <c r="V160" s="161" t="n">
        <f aca="false">D160</f>
        <v>40756</v>
      </c>
      <c r="W160" s="94" t="n">
        <f aca="false">VLOOKUP($D160,tblPriorPrice,4)</f>
        <v>0</v>
      </c>
      <c r="X160" s="162"/>
      <c r="Y160" s="176" t="n">
        <f aca="false">L160</f>
        <v>0</v>
      </c>
      <c r="Z160" s="177" t="n">
        <f aca="false">Y160</f>
        <v>0</v>
      </c>
      <c r="AA160" s="177" t="n">
        <f aca="false">Y160</f>
        <v>0</v>
      </c>
      <c r="AB160" s="94" t="n">
        <f aca="false">VLOOKUP($D160,tblPriorPrice,5)</f>
        <v>0</v>
      </c>
      <c r="AC160" s="162"/>
      <c r="AD160" s="176" t="n">
        <f aca="false">L160</f>
        <v>0</v>
      </c>
      <c r="AE160" s="96" t="n">
        <f aca="false">AD160</f>
        <v>0</v>
      </c>
      <c r="AF160" s="97" t="n">
        <f aca="false">AD160</f>
        <v>0</v>
      </c>
      <c r="AG160" s="94" t="n">
        <f aca="false">VLOOKUP($D160,tblPriorPrice,6)</f>
        <v>0</v>
      </c>
      <c r="AH160" s="182"/>
      <c r="AI160" s="189" t="n">
        <f aca="false">AG160+AH160</f>
        <v>0</v>
      </c>
      <c r="AJ160" s="96" t="n">
        <f aca="false">AI160</f>
        <v>0</v>
      </c>
      <c r="AK160" s="97" t="n">
        <f aca="false">AI160</f>
        <v>0</v>
      </c>
      <c r="AL160" s="178" t="n">
        <v>43</v>
      </c>
      <c r="AM160" s="165" t="n">
        <v>0.4</v>
      </c>
      <c r="AN160" s="166" t="n">
        <f aca="false">EnergyCurve!AN160*2</f>
        <v>0.36</v>
      </c>
      <c r="AO160" s="166" t="n">
        <f aca="false">EnergyCurve!AO160</f>
        <v>0.162</v>
      </c>
      <c r="AP160" s="166" t="n">
        <f aca="false">AN160*1.25</f>
        <v>0.45</v>
      </c>
      <c r="AQ160" s="166" t="n">
        <f aca="false">EnergyCurve!AQ160*2</f>
        <v>0.36</v>
      </c>
      <c r="AR160" s="166" t="n">
        <f aca="false">EnergyCurve!AR160</f>
        <v>0.144</v>
      </c>
      <c r="AS160" s="166" t="n">
        <f aca="false">EnergyCurve!AS160*1.25</f>
        <v>0.27</v>
      </c>
      <c r="AT160" s="168" t="n">
        <f aca="false">EnergyCurve!AT160*2*2</f>
        <v>8.83433884019377</v>
      </c>
      <c r="AU160" s="169" t="n">
        <f aca="false">EnergyCurve!AU160</f>
        <v>-0.552146177512111</v>
      </c>
      <c r="AV160" s="169" t="n">
        <f aca="false">AT160*1.25</f>
        <v>11.0429235502422</v>
      </c>
      <c r="AW160" s="168" t="n">
        <f aca="false">EnergyCurve!AW160*2*2</f>
        <v>9.5508</v>
      </c>
      <c r="AX160" s="169" t="n">
        <f aca="false">EnergyCurve!AX160</f>
        <v>-0.596925</v>
      </c>
      <c r="AY160" s="169" t="n">
        <f aca="false">AW160*1.25</f>
        <v>11.9385</v>
      </c>
      <c r="AZ160" s="167" t="n">
        <v>0</v>
      </c>
      <c r="BA160" s="74"/>
      <c r="BQ160" s="108" t="n">
        <v>36907.7428240741</v>
      </c>
      <c r="BR160" s="109" t="n">
        <v>36907.7434490741</v>
      </c>
      <c r="BS160" s="110" t="n">
        <v>40969</v>
      </c>
      <c r="BT160" s="111" t="n">
        <v>0</v>
      </c>
      <c r="BU160" s="112" t="n">
        <v>0</v>
      </c>
      <c r="BV160" s="112" t="n">
        <v>0</v>
      </c>
      <c r="BW160" s="112" t="n">
        <v>0</v>
      </c>
      <c r="BX160" s="113" t="n">
        <v>0</v>
      </c>
      <c r="BZ160" s="110" t="n">
        <v>40756</v>
      </c>
      <c r="CA160" s="116" t="n">
        <v>42.6809997558594</v>
      </c>
      <c r="CB160" s="116" t="n">
        <v>0</v>
      </c>
      <c r="CC160" s="116" t="n">
        <v>0</v>
      </c>
      <c r="CD160" s="116" t="n">
        <v>0</v>
      </c>
      <c r="CE160" s="117" t="n">
        <v>0</v>
      </c>
    </row>
    <row r="161" customFormat="false" ht="12.75" hidden="false" customHeight="false" outlineLevel="0" collapsed="false">
      <c r="A161" s="0" t="n">
        <f aca="true">IF(ISERROR(MATCH(D161,iRefDt,0)),"",MATCH(D161,iRefDt,0))</f>
        <v>152</v>
      </c>
      <c r="B161" s="92" t="n">
        <f aca="false">MATCH(YEAR(D161),iSpreads)</f>
        <v>11</v>
      </c>
      <c r="C161" s="0" t="n">
        <f aca="false">MONTH(D161)</f>
        <v>9</v>
      </c>
      <c r="D161" s="93" t="n">
        <f aca="false">+EnergyCurve!D161</f>
        <v>40787</v>
      </c>
      <c r="E161" s="94" t="n">
        <f aca="false">VLOOKUP($D161,tblPriorPrice,2)</f>
        <v>36.2249984741211</v>
      </c>
      <c r="F161" s="95" t="n">
        <f aca="false">G161-E161</f>
        <v>1.52587890056566E-006</v>
      </c>
      <c r="G161" s="264" t="n">
        <f aca="false">IF(EnergyCurve!G161&lt;200,0.001*EnergyCurve!G161+1,1.2)*EnergyCurve!G161</f>
        <v>36.225</v>
      </c>
      <c r="H161" s="96" t="n">
        <f aca="false">IF(EnergyCurve!H161&lt;200,0.001*EnergyCurve!H161+1,1.2)*EnergyCurve!H161</f>
        <v>30.9</v>
      </c>
      <c r="I161" s="96" t="n">
        <f aca="false">IF(EnergyCurve!I161&lt;200,0.001*EnergyCurve!I161+1,1.2)*EnergyCurve!I161</f>
        <v>63.6</v>
      </c>
      <c r="J161" s="94" t="n">
        <f aca="false">VLOOKUP($D161,tblPriorPrice,3)</f>
        <v>0</v>
      </c>
      <c r="K161" s="95" t="n">
        <f aca="false">L161-J161</f>
        <v>0</v>
      </c>
      <c r="L161" s="264" t="n">
        <v>0</v>
      </c>
      <c r="M161" s="96" t="n">
        <f aca="false">L161</f>
        <v>0</v>
      </c>
      <c r="N161" s="96" t="n">
        <f aca="false">L161</f>
        <v>0</v>
      </c>
      <c r="O161" s="58" t="n">
        <f aca="true">IF($A161="",0,INDEX(tblPosn,$A161,2))</f>
        <v>0</v>
      </c>
      <c r="P161" s="59" t="n">
        <f aca="true">IF($A161="",0,INDEX(tblPosn,$A161,3))</f>
        <v>0</v>
      </c>
      <c r="Q161" s="59" t="n">
        <f aca="true">IF($A161="",0,INDEX(tblPosn,$A161,4))</f>
        <v>0</v>
      </c>
      <c r="R161" s="59" t="n">
        <f aca="true">IF($A161="",0,INDEX(tblPosn,$A161,5))</f>
        <v>0</v>
      </c>
      <c r="S161" s="59" t="n">
        <f aca="true">IF($A161="",0,INDEX(tblPosn,$A161,6))</f>
        <v>0</v>
      </c>
      <c r="T161" s="98" t="n">
        <f aca="false">O161*F161+P161*K161+R161*AC161+S161*AH161/0.72+Q161*X161</f>
        <v>0</v>
      </c>
      <c r="V161" s="161" t="n">
        <f aca="false">D161</f>
        <v>40787</v>
      </c>
      <c r="W161" s="94" t="n">
        <f aca="false">VLOOKUP($D161,tblPriorPrice,4)</f>
        <v>0</v>
      </c>
      <c r="X161" s="162"/>
      <c r="Y161" s="176" t="n">
        <f aca="false">L161</f>
        <v>0</v>
      </c>
      <c r="Z161" s="177" t="n">
        <f aca="false">Y161</f>
        <v>0</v>
      </c>
      <c r="AA161" s="177" t="n">
        <f aca="false">Y161</f>
        <v>0</v>
      </c>
      <c r="AB161" s="94" t="n">
        <f aca="false">VLOOKUP($D161,tblPriorPrice,5)</f>
        <v>0</v>
      </c>
      <c r="AC161" s="162"/>
      <c r="AD161" s="176" t="n">
        <f aca="false">L161</f>
        <v>0</v>
      </c>
      <c r="AE161" s="96" t="n">
        <f aca="false">AD161</f>
        <v>0</v>
      </c>
      <c r="AF161" s="97" t="n">
        <f aca="false">AD161</f>
        <v>0</v>
      </c>
      <c r="AG161" s="94" t="n">
        <f aca="false">VLOOKUP($D161,tblPriorPrice,6)</f>
        <v>0</v>
      </c>
      <c r="AH161" s="182"/>
      <c r="AI161" s="189" t="n">
        <f aca="false">AG161+AH161</f>
        <v>0</v>
      </c>
      <c r="AJ161" s="96" t="n">
        <f aca="false">AI161</f>
        <v>0</v>
      </c>
      <c r="AK161" s="97" t="n">
        <f aca="false">AI161</f>
        <v>0</v>
      </c>
      <c r="AL161" s="178" t="n">
        <v>43</v>
      </c>
      <c r="AM161" s="165" t="n">
        <v>0.4</v>
      </c>
      <c r="AN161" s="166" t="n">
        <f aca="false">EnergyCurve!AN161*2</f>
        <v>0.36</v>
      </c>
      <c r="AO161" s="166" t="n">
        <f aca="false">EnergyCurve!AO161</f>
        <v>0.162</v>
      </c>
      <c r="AP161" s="166" t="n">
        <f aca="false">AN161*1.25</f>
        <v>0.45</v>
      </c>
      <c r="AQ161" s="166" t="n">
        <f aca="false">EnergyCurve!AQ161*2</f>
        <v>0.36</v>
      </c>
      <c r="AR161" s="166" t="n">
        <f aca="false">EnergyCurve!AR161</f>
        <v>0.144</v>
      </c>
      <c r="AS161" s="166" t="n">
        <f aca="false">EnergyCurve!AS161*1.25</f>
        <v>0.27</v>
      </c>
      <c r="AT161" s="168" t="n">
        <f aca="false">EnergyCurve!AT161*2*2</f>
        <v>7.29020125079811</v>
      </c>
      <c r="AU161" s="169" t="n">
        <f aca="false">EnergyCurve!AU161</f>
        <v>-0.455637578174882</v>
      </c>
      <c r="AV161" s="169" t="n">
        <f aca="false">AT161*1.25</f>
        <v>9.11275156349763</v>
      </c>
      <c r="AW161" s="168" t="n">
        <f aca="false">EnergyCurve!AW161*2*2</f>
        <v>10.116</v>
      </c>
      <c r="AX161" s="169" t="n">
        <f aca="false">EnergyCurve!AX161</f>
        <v>-0.63225</v>
      </c>
      <c r="AY161" s="169" t="n">
        <f aca="false">AW161*1.25</f>
        <v>12.645</v>
      </c>
      <c r="AZ161" s="167" t="n">
        <v>0</v>
      </c>
      <c r="BA161" s="74"/>
      <c r="BQ161" s="108" t="n">
        <v>36907.7428240741</v>
      </c>
      <c r="BR161" s="109" t="n">
        <v>36907.7434490741</v>
      </c>
      <c r="BS161" s="110" t="n">
        <v>41000</v>
      </c>
      <c r="BT161" s="111" t="n">
        <v>0</v>
      </c>
      <c r="BU161" s="112" t="n">
        <v>0</v>
      </c>
      <c r="BV161" s="112" t="n">
        <v>0</v>
      </c>
      <c r="BW161" s="112" t="n">
        <v>0</v>
      </c>
      <c r="BX161" s="113" t="n">
        <v>0</v>
      </c>
      <c r="BZ161" s="110" t="n">
        <v>40787</v>
      </c>
      <c r="CA161" s="116" t="n">
        <v>36.2249984741211</v>
      </c>
      <c r="CB161" s="116" t="n">
        <v>0</v>
      </c>
      <c r="CC161" s="116" t="n">
        <v>0</v>
      </c>
      <c r="CD161" s="116" t="n">
        <v>0</v>
      </c>
      <c r="CE161" s="117" t="n">
        <v>0</v>
      </c>
    </row>
    <row r="162" customFormat="false" ht="12.75" hidden="false" customHeight="false" outlineLevel="0" collapsed="false">
      <c r="A162" s="0" t="n">
        <f aca="true">IF(ISERROR(MATCH(D162,iRefDt,0)),"",MATCH(D162,iRefDt,0))</f>
        <v>153</v>
      </c>
      <c r="B162" s="92" t="n">
        <f aca="false">MATCH(YEAR(D162),iSpreads)</f>
        <v>11</v>
      </c>
      <c r="C162" s="0" t="n">
        <f aca="false">MONTH(D162)</f>
        <v>10</v>
      </c>
      <c r="D162" s="93" t="n">
        <f aca="false">+EnergyCurve!D162</f>
        <v>40817</v>
      </c>
      <c r="E162" s="94" t="n">
        <f aca="false">VLOOKUP($D162,tblPriorPrice,2)</f>
        <v>38.3689994812012</v>
      </c>
      <c r="F162" s="95" t="n">
        <f aca="false">G162-E162</f>
        <v>5.18798827897626E-007</v>
      </c>
      <c r="G162" s="264" t="n">
        <f aca="false">IF(EnergyCurve!G162&lt;200,0.001*EnergyCurve!G162+1,1.2)*EnergyCurve!G162</f>
        <v>38.369</v>
      </c>
      <c r="H162" s="96" t="n">
        <f aca="false">IF(EnergyCurve!H162&lt;200,0.001*EnergyCurve!H162+1,1.2)*EnergyCurve!H162</f>
        <v>33.024</v>
      </c>
      <c r="I162" s="96" t="n">
        <f aca="false">IF(EnergyCurve!I162&lt;200,0.001*EnergyCurve!I162+1,1.2)*EnergyCurve!I162</f>
        <v>65.844</v>
      </c>
      <c r="J162" s="94" t="n">
        <f aca="false">VLOOKUP($D162,tblPriorPrice,3)</f>
        <v>0</v>
      </c>
      <c r="K162" s="95" t="n">
        <f aca="false">L162-J162</f>
        <v>0</v>
      </c>
      <c r="L162" s="264" t="n">
        <v>0</v>
      </c>
      <c r="M162" s="96" t="n">
        <f aca="false">L162</f>
        <v>0</v>
      </c>
      <c r="N162" s="96" t="n">
        <f aca="false">L162</f>
        <v>0</v>
      </c>
      <c r="O162" s="58" t="n">
        <f aca="true">IF($A162="",0,INDEX(tblPosn,$A162,2))</f>
        <v>0</v>
      </c>
      <c r="P162" s="59" t="n">
        <f aca="true">IF($A162="",0,INDEX(tblPosn,$A162,3))</f>
        <v>0</v>
      </c>
      <c r="Q162" s="59" t="n">
        <f aca="true">IF($A162="",0,INDEX(tblPosn,$A162,4))</f>
        <v>0</v>
      </c>
      <c r="R162" s="59" t="n">
        <f aca="true">IF($A162="",0,INDEX(tblPosn,$A162,5))</f>
        <v>0</v>
      </c>
      <c r="S162" s="59" t="n">
        <f aca="true">IF($A162="",0,INDEX(tblPosn,$A162,6))</f>
        <v>0</v>
      </c>
      <c r="T162" s="98" t="n">
        <f aca="false">O162*F162+P162*K162+R162*AC162+S162*AH162/0.72+Q162*X162</f>
        <v>0</v>
      </c>
      <c r="V162" s="161" t="n">
        <f aca="false">D162</f>
        <v>40817</v>
      </c>
      <c r="W162" s="94" t="n">
        <f aca="false">VLOOKUP($D162,tblPriorPrice,4)</f>
        <v>0</v>
      </c>
      <c r="X162" s="162"/>
      <c r="Y162" s="176" t="n">
        <f aca="false">L162</f>
        <v>0</v>
      </c>
      <c r="Z162" s="177" t="n">
        <f aca="false">Y162</f>
        <v>0</v>
      </c>
      <c r="AA162" s="177" t="n">
        <f aca="false">Y162</f>
        <v>0</v>
      </c>
      <c r="AB162" s="94" t="n">
        <f aca="false">VLOOKUP($D162,tblPriorPrice,5)</f>
        <v>0</v>
      </c>
      <c r="AC162" s="162"/>
      <c r="AD162" s="176" t="n">
        <f aca="false">L162</f>
        <v>0</v>
      </c>
      <c r="AE162" s="96" t="n">
        <f aca="false">AD162</f>
        <v>0</v>
      </c>
      <c r="AF162" s="97" t="n">
        <f aca="false">AD162</f>
        <v>0</v>
      </c>
      <c r="AG162" s="94" t="n">
        <f aca="false">VLOOKUP($D162,tblPriorPrice,6)</f>
        <v>0</v>
      </c>
      <c r="AH162" s="182"/>
      <c r="AI162" s="189" t="n">
        <f aca="false">AG162+AH162</f>
        <v>0</v>
      </c>
      <c r="AJ162" s="96" t="n">
        <f aca="false">AI162</f>
        <v>0</v>
      </c>
      <c r="AK162" s="97" t="n">
        <f aca="false">AI162</f>
        <v>0</v>
      </c>
      <c r="AL162" s="178" t="n">
        <v>44</v>
      </c>
      <c r="AM162" s="165" t="n">
        <v>0.4</v>
      </c>
      <c r="AN162" s="166" t="n">
        <f aca="false">EnergyCurve!AN162*2</f>
        <v>0.36</v>
      </c>
      <c r="AO162" s="166" t="n">
        <f aca="false">EnergyCurve!AO162</f>
        <v>0.162</v>
      </c>
      <c r="AP162" s="166" t="n">
        <f aca="false">AN162*1.25</f>
        <v>0.45</v>
      </c>
      <c r="AQ162" s="166" t="n">
        <f aca="false">EnergyCurve!AQ162*2</f>
        <v>0.36</v>
      </c>
      <c r="AR162" s="166" t="n">
        <f aca="false">EnergyCurve!AR162</f>
        <v>0.144</v>
      </c>
      <c r="AS162" s="166" t="n">
        <f aca="false">EnergyCurve!AS162*1.25</f>
        <v>0.27</v>
      </c>
      <c r="AT162" s="168" t="n">
        <f aca="false">EnergyCurve!AT162*2*2</f>
        <v>7.75576329559925</v>
      </c>
      <c r="AU162" s="169" t="n">
        <f aca="false">EnergyCurve!AU162</f>
        <v>-0.484735205974953</v>
      </c>
      <c r="AV162" s="169" t="n">
        <f aca="false">AT162*1.25</f>
        <v>9.69470411949907</v>
      </c>
      <c r="AW162" s="168" t="n">
        <f aca="false">EnergyCurve!AW162*2*2</f>
        <v>9.9276</v>
      </c>
      <c r="AX162" s="169" t="n">
        <f aca="false">EnergyCurve!AX162</f>
        <v>-0.620475</v>
      </c>
      <c r="AY162" s="169" t="n">
        <f aca="false">AW162*1.25</f>
        <v>12.4095</v>
      </c>
      <c r="AZ162" s="167" t="n">
        <v>0</v>
      </c>
      <c r="BA162" s="74"/>
      <c r="BQ162" s="108" t="n">
        <v>36907.7428240741</v>
      </c>
      <c r="BR162" s="109" t="n">
        <v>36907.7434490741</v>
      </c>
      <c r="BS162" s="110" t="n">
        <v>41030</v>
      </c>
      <c r="BT162" s="111" t="n">
        <v>0</v>
      </c>
      <c r="BU162" s="112" t="n">
        <v>0</v>
      </c>
      <c r="BV162" s="112" t="n">
        <v>0</v>
      </c>
      <c r="BW162" s="112" t="n">
        <v>0</v>
      </c>
      <c r="BX162" s="113" t="n">
        <v>0</v>
      </c>
      <c r="BZ162" s="110" t="n">
        <v>40817</v>
      </c>
      <c r="CA162" s="116" t="n">
        <v>38.3689994812012</v>
      </c>
      <c r="CB162" s="116" t="n">
        <v>0</v>
      </c>
      <c r="CC162" s="116" t="n">
        <v>0</v>
      </c>
      <c r="CD162" s="116" t="n">
        <v>0</v>
      </c>
      <c r="CE162" s="117" t="n">
        <v>0</v>
      </c>
    </row>
    <row r="163" customFormat="false" ht="12.75" hidden="false" customHeight="false" outlineLevel="0" collapsed="false">
      <c r="A163" s="0" t="n">
        <f aca="true">IF(ISERROR(MATCH(D163,iRefDt,0)),"",MATCH(D163,iRefDt,0))</f>
        <v>154</v>
      </c>
      <c r="B163" s="92" t="n">
        <f aca="false">MATCH(YEAR(D163),iSpreads)</f>
        <v>11</v>
      </c>
      <c r="C163" s="0" t="n">
        <f aca="false">MONTH(D163)</f>
        <v>11</v>
      </c>
      <c r="D163" s="93" t="n">
        <f aca="false">+EnergyCurve!D163</f>
        <v>40848</v>
      </c>
      <c r="E163" s="94" t="n">
        <f aca="false">VLOOKUP($D163,tblPriorPrice,2)</f>
        <v>31.9610004425049</v>
      </c>
      <c r="F163" s="95" t="n">
        <f aca="false">G163-E163</f>
        <v>-4.42504884290429E-007</v>
      </c>
      <c r="G163" s="264" t="n">
        <f aca="false">IF(EnergyCurve!G163&lt;200,0.001*EnergyCurve!G163+1,1.2)*EnergyCurve!G163</f>
        <v>31.961</v>
      </c>
      <c r="H163" s="96" t="n">
        <f aca="false">IF(EnergyCurve!H163&lt;200,0.001*EnergyCurve!H163+1,1.2)*EnergyCurve!H163</f>
        <v>26.676</v>
      </c>
      <c r="I163" s="96" t="n">
        <f aca="false">IF(EnergyCurve!I163&lt;200,0.001*EnergyCurve!I163+1,1.2)*EnergyCurve!I163</f>
        <v>59.136</v>
      </c>
      <c r="J163" s="94" t="n">
        <f aca="false">VLOOKUP($D163,tblPriorPrice,3)</f>
        <v>0</v>
      </c>
      <c r="K163" s="95" t="n">
        <f aca="false">L163-J163</f>
        <v>0</v>
      </c>
      <c r="L163" s="264" t="n">
        <v>0</v>
      </c>
      <c r="M163" s="96" t="n">
        <f aca="false">L163</f>
        <v>0</v>
      </c>
      <c r="N163" s="96" t="n">
        <f aca="false">L163</f>
        <v>0</v>
      </c>
      <c r="O163" s="58" t="n">
        <f aca="true">IF($A163="",0,INDEX(tblPosn,$A163,2))</f>
        <v>0</v>
      </c>
      <c r="P163" s="59" t="n">
        <f aca="true">IF($A163="",0,INDEX(tblPosn,$A163,3))</f>
        <v>0</v>
      </c>
      <c r="Q163" s="59" t="n">
        <f aca="true">IF($A163="",0,INDEX(tblPosn,$A163,4))</f>
        <v>0</v>
      </c>
      <c r="R163" s="59" t="n">
        <f aca="true">IF($A163="",0,INDEX(tblPosn,$A163,5))</f>
        <v>0</v>
      </c>
      <c r="S163" s="59" t="n">
        <f aca="true">IF($A163="",0,INDEX(tblPosn,$A163,6))</f>
        <v>0</v>
      </c>
      <c r="T163" s="98" t="n">
        <f aca="false">O163*F163+P163*K163+R163*AC163+S163*AH163/0.72+Q163*X163</f>
        <v>0</v>
      </c>
      <c r="V163" s="161" t="n">
        <f aca="false">D163</f>
        <v>40848</v>
      </c>
      <c r="W163" s="94" t="n">
        <f aca="false">VLOOKUP($D163,tblPriorPrice,4)</f>
        <v>0</v>
      </c>
      <c r="X163" s="162"/>
      <c r="Y163" s="176" t="n">
        <f aca="false">L163</f>
        <v>0</v>
      </c>
      <c r="Z163" s="177" t="n">
        <f aca="false">Y163</f>
        <v>0</v>
      </c>
      <c r="AA163" s="177" t="n">
        <f aca="false">Y163</f>
        <v>0</v>
      </c>
      <c r="AB163" s="94" t="n">
        <f aca="false">VLOOKUP($D163,tblPriorPrice,5)</f>
        <v>0</v>
      </c>
      <c r="AC163" s="162"/>
      <c r="AD163" s="176" t="n">
        <f aca="false">L163</f>
        <v>0</v>
      </c>
      <c r="AE163" s="96" t="n">
        <f aca="false">AD163</f>
        <v>0</v>
      </c>
      <c r="AF163" s="97" t="n">
        <f aca="false">AD163</f>
        <v>0</v>
      </c>
      <c r="AG163" s="94" t="n">
        <f aca="false">VLOOKUP($D163,tblPriorPrice,6)</f>
        <v>0</v>
      </c>
      <c r="AH163" s="182"/>
      <c r="AI163" s="189" t="n">
        <f aca="false">AG163+AH163</f>
        <v>0</v>
      </c>
      <c r="AJ163" s="96" t="n">
        <f aca="false">AI163</f>
        <v>0</v>
      </c>
      <c r="AK163" s="97" t="n">
        <f aca="false">AI163</f>
        <v>0</v>
      </c>
      <c r="AL163" s="178" t="n">
        <v>44</v>
      </c>
      <c r="AM163" s="165" t="n">
        <v>0.4</v>
      </c>
      <c r="AN163" s="166" t="n">
        <f aca="false">EnergyCurve!AN163*2</f>
        <v>0.36</v>
      </c>
      <c r="AO163" s="166" t="n">
        <f aca="false">EnergyCurve!AO163</f>
        <v>0.162</v>
      </c>
      <c r="AP163" s="166" t="n">
        <f aca="false">AN163*1.25</f>
        <v>0.45</v>
      </c>
      <c r="AQ163" s="166" t="n">
        <f aca="false">EnergyCurve!AQ163*2</f>
        <v>0.36</v>
      </c>
      <c r="AR163" s="166" t="n">
        <f aca="false">EnergyCurve!AR163</f>
        <v>0.144</v>
      </c>
      <c r="AS163" s="166" t="n">
        <f aca="false">EnergyCurve!AS163*1.25</f>
        <v>0.27</v>
      </c>
      <c r="AT163" s="168" t="n">
        <f aca="false">EnergyCurve!AT163*2*2</f>
        <v>6.56235962744143</v>
      </c>
      <c r="AU163" s="169" t="n">
        <f aca="false">EnergyCurve!AU163</f>
        <v>-0.410147476715089</v>
      </c>
      <c r="AV163" s="169" t="n">
        <f aca="false">AT163*1.25</f>
        <v>8.20294953430178</v>
      </c>
      <c r="AW163" s="168" t="n">
        <f aca="false">EnergyCurve!AW163*2*2</f>
        <v>10.4928</v>
      </c>
      <c r="AX163" s="169" t="n">
        <f aca="false">EnergyCurve!AX163</f>
        <v>-0.6558</v>
      </c>
      <c r="AY163" s="169" t="n">
        <f aca="false">AW163*1.25</f>
        <v>13.116</v>
      </c>
      <c r="AZ163" s="167" t="n">
        <v>0</v>
      </c>
      <c r="BA163" s="74"/>
      <c r="BQ163" s="108" t="n">
        <v>36907.7428240741</v>
      </c>
      <c r="BR163" s="109" t="n">
        <v>36907.7434490741</v>
      </c>
      <c r="BS163" s="110" t="n">
        <v>41061</v>
      </c>
      <c r="BT163" s="111" t="n">
        <v>0</v>
      </c>
      <c r="BU163" s="112" t="n">
        <v>0</v>
      </c>
      <c r="BV163" s="112" t="n">
        <v>0</v>
      </c>
      <c r="BW163" s="112" t="n">
        <v>0</v>
      </c>
      <c r="BX163" s="113" t="n">
        <v>0</v>
      </c>
      <c r="BZ163" s="110" t="n">
        <v>40848</v>
      </c>
      <c r="CA163" s="116" t="n">
        <v>31.9610004425049</v>
      </c>
      <c r="CB163" s="116" t="n">
        <v>0</v>
      </c>
      <c r="CC163" s="116" t="n">
        <v>0</v>
      </c>
      <c r="CD163" s="116" t="n">
        <v>0</v>
      </c>
      <c r="CE163" s="117" t="n">
        <v>0</v>
      </c>
    </row>
    <row r="164" customFormat="false" ht="12.75" hidden="false" customHeight="false" outlineLevel="0" collapsed="false">
      <c r="A164" s="0" t="n">
        <f aca="true">IF(ISERROR(MATCH(D164,iRefDt,0)),"",MATCH(D164,iRefDt,0))</f>
        <v>155</v>
      </c>
      <c r="B164" s="92" t="n">
        <f aca="false">MATCH(YEAR(D164),iSpreads)</f>
        <v>11</v>
      </c>
      <c r="C164" s="0" t="n">
        <f aca="false">MONTH(D164)</f>
        <v>12</v>
      </c>
      <c r="D164" s="93" t="n">
        <f aca="false">+EnergyCurve!D164</f>
        <v>40878</v>
      </c>
      <c r="E164" s="94" t="n">
        <f aca="false">VLOOKUP($D164,tblPriorPrice,2)</f>
        <v>33.0239982604981</v>
      </c>
      <c r="F164" s="95" t="n">
        <f aca="false">G164-E164</f>
        <v>1.73950195403449E-006</v>
      </c>
      <c r="G164" s="264" t="n">
        <f aca="false">IF(EnergyCurve!G164&lt;200,0.001*EnergyCurve!G164+1,1.2)*EnergyCurve!G164</f>
        <v>33.024</v>
      </c>
      <c r="H164" s="96" t="n">
        <f aca="false">IF(EnergyCurve!H164&lt;200,0.001*EnergyCurve!H164+1,1.2)*EnergyCurve!H164</f>
        <v>27.729</v>
      </c>
      <c r="I164" s="96" t="n">
        <f aca="false">IF(EnergyCurve!I164&lt;200,0.001*EnergyCurve!I164+1,1.2)*EnergyCurve!I164</f>
        <v>60.249</v>
      </c>
      <c r="J164" s="94" t="n">
        <f aca="false">VLOOKUP($D164,tblPriorPrice,3)</f>
        <v>0</v>
      </c>
      <c r="K164" s="95" t="n">
        <f aca="false">L164-J164</f>
        <v>0</v>
      </c>
      <c r="L164" s="264" t="n">
        <v>0</v>
      </c>
      <c r="M164" s="96" t="n">
        <f aca="false">L164</f>
        <v>0</v>
      </c>
      <c r="N164" s="96" t="n">
        <f aca="false">L164</f>
        <v>0</v>
      </c>
      <c r="O164" s="58" t="n">
        <f aca="true">IF($A164="",0,INDEX(tblPosn,$A164,2))</f>
        <v>0</v>
      </c>
      <c r="P164" s="59" t="n">
        <f aca="true">IF($A164="",0,INDEX(tblPosn,$A164,3))</f>
        <v>0</v>
      </c>
      <c r="Q164" s="59" t="n">
        <f aca="true">IF($A164="",0,INDEX(tblPosn,$A164,4))</f>
        <v>0</v>
      </c>
      <c r="R164" s="59" t="n">
        <f aca="true">IF($A164="",0,INDEX(tblPosn,$A164,5))</f>
        <v>0</v>
      </c>
      <c r="S164" s="59" t="n">
        <f aca="true">IF($A164="",0,INDEX(tblPosn,$A164,6))</f>
        <v>0</v>
      </c>
      <c r="T164" s="98" t="n">
        <f aca="false">O164*F164+P164*K164+R164*AC164+S164*AH164/0.72+Q164*X164</f>
        <v>0</v>
      </c>
      <c r="V164" s="161" t="n">
        <f aca="false">D164</f>
        <v>40878</v>
      </c>
      <c r="W164" s="94" t="n">
        <f aca="false">VLOOKUP($D164,tblPriorPrice,4)</f>
        <v>0</v>
      </c>
      <c r="X164" s="162"/>
      <c r="Y164" s="176" t="n">
        <f aca="false">L164</f>
        <v>0</v>
      </c>
      <c r="Z164" s="177" t="n">
        <f aca="false">Y164</f>
        <v>0</v>
      </c>
      <c r="AA164" s="177" t="n">
        <f aca="false">Y164</f>
        <v>0</v>
      </c>
      <c r="AB164" s="94" t="n">
        <f aca="false">VLOOKUP($D164,tblPriorPrice,5)</f>
        <v>0</v>
      </c>
      <c r="AC164" s="162"/>
      <c r="AD164" s="176" t="n">
        <f aca="false">L164</f>
        <v>0</v>
      </c>
      <c r="AE164" s="96" t="n">
        <f aca="false">AD164</f>
        <v>0</v>
      </c>
      <c r="AF164" s="97" t="n">
        <f aca="false">AD164</f>
        <v>0</v>
      </c>
      <c r="AG164" s="94" t="n">
        <f aca="false">VLOOKUP($D164,tblPriorPrice,6)</f>
        <v>0</v>
      </c>
      <c r="AH164" s="182"/>
      <c r="AI164" s="189" t="n">
        <f aca="false">AG164+AH164</f>
        <v>0</v>
      </c>
      <c r="AJ164" s="96" t="n">
        <f aca="false">AI164</f>
        <v>0</v>
      </c>
      <c r="AK164" s="97" t="n">
        <f aca="false">AI164</f>
        <v>0</v>
      </c>
      <c r="AL164" s="178" t="n">
        <v>44</v>
      </c>
      <c r="AM164" s="165" t="n">
        <v>0.4</v>
      </c>
      <c r="AN164" s="166" t="n">
        <f aca="false">EnergyCurve!AN164*2</f>
        <v>0.36</v>
      </c>
      <c r="AO164" s="166" t="n">
        <f aca="false">EnergyCurve!AO164</f>
        <v>0.162</v>
      </c>
      <c r="AP164" s="166" t="n">
        <f aca="false">AN164*1.25</f>
        <v>0.45</v>
      </c>
      <c r="AQ164" s="166" t="n">
        <f aca="false">EnergyCurve!AQ164*2</f>
        <v>0.36</v>
      </c>
      <c r="AR164" s="166" t="n">
        <f aca="false">EnergyCurve!AR164</f>
        <v>0.144</v>
      </c>
      <c r="AS164" s="166" t="n">
        <f aca="false">EnergyCurve!AS164*1.25</f>
        <v>0.27</v>
      </c>
      <c r="AT164" s="168" t="n">
        <f aca="false">EnergyCurve!AT164*2*2</f>
        <v>6.71448638739126</v>
      </c>
      <c r="AU164" s="169" t="n">
        <f aca="false">EnergyCurve!AU164</f>
        <v>-0.419655399211954</v>
      </c>
      <c r="AV164" s="169" t="n">
        <f aca="false">AT164*1.25</f>
        <v>8.39310798423907</v>
      </c>
      <c r="AW164" s="168" t="n">
        <f aca="false">EnergyCurve!AW164*2*2</f>
        <v>10.6812</v>
      </c>
      <c r="AX164" s="169" t="n">
        <f aca="false">EnergyCurve!AX164</f>
        <v>-0.667575</v>
      </c>
      <c r="AY164" s="169" t="n">
        <f aca="false">AW164*1.25</f>
        <v>13.3515</v>
      </c>
      <c r="AZ164" s="167" t="n">
        <v>0</v>
      </c>
      <c r="BA164" s="74"/>
      <c r="BQ164" s="108" t="n">
        <v>36907.7428240741</v>
      </c>
      <c r="BR164" s="109" t="n">
        <v>36907.7434490741</v>
      </c>
      <c r="BS164" s="110" t="n">
        <v>41091</v>
      </c>
      <c r="BT164" s="111" t="n">
        <v>0</v>
      </c>
      <c r="BU164" s="112" t="n">
        <v>0</v>
      </c>
      <c r="BV164" s="112" t="n">
        <v>0</v>
      </c>
      <c r="BW164" s="112" t="n">
        <v>0</v>
      </c>
      <c r="BX164" s="113" t="n">
        <v>0</v>
      </c>
      <c r="BZ164" s="110" t="n">
        <v>40878</v>
      </c>
      <c r="CA164" s="116" t="n">
        <v>33.0239982604981</v>
      </c>
      <c r="CB164" s="116" t="n">
        <v>0</v>
      </c>
      <c r="CC164" s="116" t="n">
        <v>0</v>
      </c>
      <c r="CD164" s="116" t="n">
        <v>0</v>
      </c>
      <c r="CE164" s="117" t="n">
        <v>0</v>
      </c>
    </row>
    <row r="165" customFormat="false" ht="12.75" hidden="false" customHeight="false" outlineLevel="0" collapsed="false">
      <c r="A165" s="0" t="n">
        <f aca="true">IF(ISERROR(MATCH(D165,iRefDt,0)),"",MATCH(D165,iRefDt,0))</f>
        <v>156</v>
      </c>
      <c r="B165" s="92" t="n">
        <f aca="false">MATCH(YEAR(D165),iSpreads)</f>
        <v>12</v>
      </c>
      <c r="C165" s="0" t="n">
        <f aca="false">MONTH(D165)</f>
        <v>1</v>
      </c>
      <c r="D165" s="93" t="n">
        <f aca="false">+EnergyCurve!D165</f>
        <v>40909</v>
      </c>
      <c r="E165" s="94" t="n">
        <f aca="false">VLOOKUP($D165,tblPriorPrice,2)</f>
        <v>34.0890007019043</v>
      </c>
      <c r="F165" s="95" t="n">
        <f aca="false">G165-E165</f>
        <v>-7.01904298239242E-007</v>
      </c>
      <c r="G165" s="264" t="n">
        <f aca="false">IF(EnergyCurve!G165&lt;200,0.001*EnergyCurve!G165+1,1.2)*EnergyCurve!G165</f>
        <v>34.089</v>
      </c>
      <c r="H165" s="96" t="n">
        <f aca="false">IF(EnergyCurve!H165&lt;200,0.001*EnergyCurve!H165+1,1.2)*EnergyCurve!H165</f>
        <v>28.784</v>
      </c>
      <c r="I165" s="96" t="n">
        <f aca="false">IF(EnergyCurve!I165&lt;200,0.001*EnergyCurve!I165+1,1.2)*EnergyCurve!I165</f>
        <v>62.481</v>
      </c>
      <c r="J165" s="94" t="n">
        <f aca="false">VLOOKUP($D165,tblPriorPrice,3)</f>
        <v>0</v>
      </c>
      <c r="K165" s="95" t="n">
        <f aca="false">L165-J165</f>
        <v>0</v>
      </c>
      <c r="L165" s="264" t="n">
        <v>0</v>
      </c>
      <c r="M165" s="96" t="n">
        <f aca="false">L165</f>
        <v>0</v>
      </c>
      <c r="N165" s="96" t="n">
        <f aca="false">L165</f>
        <v>0</v>
      </c>
      <c r="O165" s="58" t="n">
        <f aca="true">IF($A165="",0,INDEX(tblPosn,$A165,2))</f>
        <v>0</v>
      </c>
      <c r="P165" s="59" t="n">
        <f aca="true">IF($A165="",0,INDEX(tblPosn,$A165,3))</f>
        <v>0</v>
      </c>
      <c r="Q165" s="59" t="n">
        <f aca="true">IF($A165="",0,INDEX(tblPosn,$A165,4))</f>
        <v>0</v>
      </c>
      <c r="R165" s="59" t="n">
        <f aca="true">IF($A165="",0,INDEX(tblPosn,$A165,5))</f>
        <v>0</v>
      </c>
      <c r="S165" s="59" t="n">
        <f aca="true">IF($A165="",0,INDEX(tblPosn,$A165,6))</f>
        <v>0</v>
      </c>
      <c r="T165" s="98" t="n">
        <f aca="false">O165*F165+P165*K165+R165*AC165+S165*AH165/0.72+Q165*X165</f>
        <v>0</v>
      </c>
      <c r="V165" s="161" t="n">
        <f aca="false">D165</f>
        <v>40909</v>
      </c>
      <c r="W165" s="94" t="n">
        <f aca="false">VLOOKUP($D165,tblPriorPrice,4)</f>
        <v>0</v>
      </c>
      <c r="X165" s="162"/>
      <c r="Y165" s="176" t="n">
        <f aca="false">L165</f>
        <v>0</v>
      </c>
      <c r="Z165" s="177" t="n">
        <f aca="false">Y165</f>
        <v>0</v>
      </c>
      <c r="AA165" s="177" t="n">
        <f aca="false">Y165</f>
        <v>0</v>
      </c>
      <c r="AB165" s="94" t="n">
        <f aca="false">VLOOKUP($D165,tblPriorPrice,5)</f>
        <v>0</v>
      </c>
      <c r="AC165" s="162"/>
      <c r="AD165" s="176" t="n">
        <f aca="false">L165</f>
        <v>0</v>
      </c>
      <c r="AE165" s="96" t="n">
        <f aca="false">AD165</f>
        <v>0</v>
      </c>
      <c r="AF165" s="97" t="n">
        <f aca="false">AD165</f>
        <v>0</v>
      </c>
      <c r="AG165" s="94" t="n">
        <f aca="false">VLOOKUP($D165,tblPriorPrice,6)</f>
        <v>0</v>
      </c>
      <c r="AH165" s="182"/>
      <c r="AI165" s="189" t="n">
        <f aca="false">AG165+AH165</f>
        <v>0</v>
      </c>
      <c r="AJ165" s="96" t="n">
        <f aca="false">AI165</f>
        <v>0</v>
      </c>
      <c r="AK165" s="97" t="n">
        <f aca="false">AI165</f>
        <v>0</v>
      </c>
      <c r="AL165" s="178" t="n">
        <v>45</v>
      </c>
      <c r="AM165" s="165" t="n">
        <v>0.4</v>
      </c>
      <c r="AN165" s="166" t="n">
        <f aca="false">EnergyCurve!AN165*2</f>
        <v>0.36</v>
      </c>
      <c r="AO165" s="166" t="n">
        <f aca="false">EnergyCurve!AO165</f>
        <v>0.162</v>
      </c>
      <c r="AP165" s="166" t="n">
        <f aca="false">AN165*1.25</f>
        <v>0.45</v>
      </c>
      <c r="AQ165" s="166" t="n">
        <f aca="false">EnergyCurve!AQ165*2</f>
        <v>0.36</v>
      </c>
      <c r="AR165" s="166" t="n">
        <f aca="false">EnergyCurve!AR165</f>
        <v>0.144</v>
      </c>
      <c r="AS165" s="166" t="n">
        <f aca="false">EnergyCurve!AS165*1.25</f>
        <v>0.27</v>
      </c>
      <c r="AT165" s="168" t="n">
        <f aca="false">EnergyCurve!AT165*2*2</f>
        <v>6.88781730529552</v>
      </c>
      <c r="AU165" s="169" t="n">
        <f aca="false">EnergyCurve!AU165</f>
        <v>-0.43048858158097</v>
      </c>
      <c r="AV165" s="169" t="n">
        <f aca="false">AT165*1.25</f>
        <v>8.60977163161941</v>
      </c>
      <c r="AW165" s="168" t="n">
        <f aca="false">EnergyCurve!AW165*2*2</f>
        <v>10.4928</v>
      </c>
      <c r="AX165" s="169" t="n">
        <f aca="false">EnergyCurve!AX165</f>
        <v>-0.6558</v>
      </c>
      <c r="AY165" s="169" t="n">
        <f aca="false">AW165*1.25</f>
        <v>13.116</v>
      </c>
      <c r="AZ165" s="167" t="n">
        <v>0</v>
      </c>
      <c r="BA165" s="74"/>
      <c r="BQ165" s="108" t="n">
        <v>36907.7428240741</v>
      </c>
      <c r="BR165" s="109" t="n">
        <v>36907.7434490741</v>
      </c>
      <c r="BS165" s="110" t="n">
        <v>41122</v>
      </c>
      <c r="BT165" s="111" t="n">
        <v>0</v>
      </c>
      <c r="BU165" s="112" t="n">
        <v>0</v>
      </c>
      <c r="BV165" s="112" t="n">
        <v>0</v>
      </c>
      <c r="BW165" s="112" t="n">
        <v>0</v>
      </c>
      <c r="BX165" s="113" t="n">
        <v>0</v>
      </c>
      <c r="BZ165" s="110" t="n">
        <v>40909</v>
      </c>
      <c r="CA165" s="116" t="n">
        <v>34.0890007019043</v>
      </c>
      <c r="CB165" s="116" t="n">
        <v>0</v>
      </c>
      <c r="CC165" s="116" t="n">
        <v>0</v>
      </c>
      <c r="CD165" s="116" t="n">
        <v>0</v>
      </c>
      <c r="CE165" s="117" t="n">
        <v>0</v>
      </c>
    </row>
    <row r="166" customFormat="false" ht="12.75" hidden="false" customHeight="false" outlineLevel="0" collapsed="false">
      <c r="A166" s="0" t="n">
        <f aca="true">IF(ISERROR(MATCH(D166,iRefDt,0)),"",MATCH(D166,iRefDt,0))</f>
        <v>157</v>
      </c>
      <c r="B166" s="92" t="n">
        <f aca="false">MATCH(YEAR(D166),iSpreads)</f>
        <v>12</v>
      </c>
      <c r="C166" s="0" t="n">
        <f aca="false">MONTH(D166)</f>
        <v>2</v>
      </c>
      <c r="D166" s="93" t="n">
        <f aca="false">+EnergyCurve!D166</f>
        <v>40940</v>
      </c>
      <c r="E166" s="94" t="n">
        <f aca="false">VLOOKUP($D166,tblPriorPrice,2)</f>
        <v>30.8999996185303</v>
      </c>
      <c r="F166" s="95" t="n">
        <f aca="false">G166-E166</f>
        <v>3.81469728694128E-007</v>
      </c>
      <c r="G166" s="264" t="n">
        <f aca="false">IF(EnergyCurve!G166&lt;200,0.001*EnergyCurve!G166+1,1.2)*EnergyCurve!G166</f>
        <v>30.9</v>
      </c>
      <c r="H166" s="96" t="n">
        <f aca="false">IF(EnergyCurve!H166&lt;200,0.001*EnergyCurve!H166+1,1.2)*EnergyCurve!H166</f>
        <v>25.625</v>
      </c>
      <c r="I166" s="96" t="n">
        <f aca="false">IF(EnergyCurve!I166&lt;200,0.001*EnergyCurve!I166+1,1.2)*EnergyCurve!I166</f>
        <v>59.136</v>
      </c>
      <c r="J166" s="94" t="n">
        <f aca="false">VLOOKUP($D166,tblPriorPrice,3)</f>
        <v>0</v>
      </c>
      <c r="K166" s="95" t="n">
        <f aca="false">L166-J166</f>
        <v>0</v>
      </c>
      <c r="L166" s="264" t="n">
        <v>0</v>
      </c>
      <c r="M166" s="96" t="n">
        <f aca="false">L166</f>
        <v>0</v>
      </c>
      <c r="N166" s="96" t="n">
        <f aca="false">L166</f>
        <v>0</v>
      </c>
      <c r="O166" s="58" t="n">
        <f aca="true">IF($A166="",0,INDEX(tblPosn,$A166,2))</f>
        <v>0</v>
      </c>
      <c r="P166" s="59" t="n">
        <f aca="true">IF($A166="",0,INDEX(tblPosn,$A166,3))</f>
        <v>0</v>
      </c>
      <c r="Q166" s="59" t="n">
        <f aca="true">IF($A166="",0,INDEX(tblPosn,$A166,4))</f>
        <v>0</v>
      </c>
      <c r="R166" s="59" t="n">
        <f aca="true">IF($A166="",0,INDEX(tblPosn,$A166,5))</f>
        <v>0</v>
      </c>
      <c r="S166" s="59" t="n">
        <f aca="true">IF($A166="",0,INDEX(tblPosn,$A166,6))</f>
        <v>0</v>
      </c>
      <c r="T166" s="98" t="n">
        <f aca="false">O166*F166+P166*K166+R166*AC166+S166*AH166/0.72+Q166*X166</f>
        <v>0</v>
      </c>
      <c r="V166" s="161" t="n">
        <f aca="false">D166</f>
        <v>40940</v>
      </c>
      <c r="W166" s="94" t="n">
        <f aca="false">VLOOKUP($D166,tblPriorPrice,4)</f>
        <v>0</v>
      </c>
      <c r="X166" s="162"/>
      <c r="Y166" s="176" t="n">
        <f aca="false">L166</f>
        <v>0</v>
      </c>
      <c r="Z166" s="177" t="n">
        <f aca="false">Y166</f>
        <v>0</v>
      </c>
      <c r="AA166" s="177" t="n">
        <f aca="false">Y166</f>
        <v>0</v>
      </c>
      <c r="AB166" s="94" t="n">
        <f aca="false">VLOOKUP($D166,tblPriorPrice,5)</f>
        <v>0</v>
      </c>
      <c r="AC166" s="162"/>
      <c r="AD166" s="176" t="n">
        <f aca="false">L166</f>
        <v>0</v>
      </c>
      <c r="AE166" s="96" t="n">
        <f aca="false">AD166</f>
        <v>0</v>
      </c>
      <c r="AF166" s="97" t="n">
        <f aca="false">AD166</f>
        <v>0</v>
      </c>
      <c r="AG166" s="94" t="n">
        <f aca="false">VLOOKUP($D166,tblPriorPrice,6)</f>
        <v>0</v>
      </c>
      <c r="AH166" s="182"/>
      <c r="AI166" s="189" t="n">
        <f aca="false">AG166+AH166</f>
        <v>0</v>
      </c>
      <c r="AJ166" s="96" t="n">
        <f aca="false">AI166</f>
        <v>0</v>
      </c>
      <c r="AK166" s="97" t="n">
        <f aca="false">AI166</f>
        <v>0</v>
      </c>
      <c r="AL166" s="178" t="n">
        <v>45</v>
      </c>
      <c r="AM166" s="165" t="n">
        <v>0.4</v>
      </c>
      <c r="AN166" s="166" t="n">
        <f aca="false">EnergyCurve!AN166*2</f>
        <v>0.35</v>
      </c>
      <c r="AO166" s="166" t="n">
        <f aca="false">EnergyCurve!AO166</f>
        <v>0.1575</v>
      </c>
      <c r="AP166" s="166" t="n">
        <f aca="false">AN166*1.25</f>
        <v>0.4375</v>
      </c>
      <c r="AQ166" s="166" t="n">
        <f aca="false">EnergyCurve!AQ166*2</f>
        <v>0.35</v>
      </c>
      <c r="AR166" s="166" t="n">
        <f aca="false">EnergyCurve!AR166</f>
        <v>0.14</v>
      </c>
      <c r="AS166" s="166" t="n">
        <f aca="false">EnergyCurve!AS166*1.25</f>
        <v>0.2625</v>
      </c>
      <c r="AT166" s="168" t="n">
        <f aca="false">EnergyCurve!AT166*2*2</f>
        <v>6.43371807382396</v>
      </c>
      <c r="AU166" s="169" t="n">
        <f aca="false">EnergyCurve!AU166</f>
        <v>-0.402107379613998</v>
      </c>
      <c r="AV166" s="169" t="n">
        <f aca="false">AT166*1.25</f>
        <v>8.04214759227995</v>
      </c>
      <c r="AW166" s="168" t="n">
        <f aca="false">EnergyCurve!AW166*2*2</f>
        <v>10.587</v>
      </c>
      <c r="AX166" s="169" t="n">
        <f aca="false">EnergyCurve!AX166</f>
        <v>-0.6616875</v>
      </c>
      <c r="AY166" s="169" t="n">
        <f aca="false">AW166*1.25</f>
        <v>13.23375</v>
      </c>
      <c r="AZ166" s="167" t="n">
        <v>0</v>
      </c>
      <c r="BA166" s="74"/>
      <c r="BQ166" s="108" t="n">
        <v>36907.7428240741</v>
      </c>
      <c r="BR166" s="109" t="n">
        <v>36907.7434490741</v>
      </c>
      <c r="BS166" s="110" t="n">
        <v>41153</v>
      </c>
      <c r="BT166" s="111" t="n">
        <v>0</v>
      </c>
      <c r="BU166" s="112" t="n">
        <v>0</v>
      </c>
      <c r="BV166" s="112" t="n">
        <v>0</v>
      </c>
      <c r="BW166" s="112" t="n">
        <v>0</v>
      </c>
      <c r="BX166" s="113" t="n">
        <v>0</v>
      </c>
      <c r="BZ166" s="110" t="n">
        <v>40940</v>
      </c>
      <c r="CA166" s="116" t="n">
        <v>30.8999996185303</v>
      </c>
      <c r="CB166" s="116" t="n">
        <v>0</v>
      </c>
      <c r="CC166" s="116" t="n">
        <v>0</v>
      </c>
      <c r="CD166" s="116" t="n">
        <v>0</v>
      </c>
      <c r="CE166" s="117" t="n">
        <v>0</v>
      </c>
    </row>
    <row r="167" customFormat="false" ht="12.75" hidden="false" customHeight="false" outlineLevel="0" collapsed="false">
      <c r="A167" s="0" t="n">
        <f aca="true">IF(ISERROR(MATCH(D167,iRefDt,0)),"",MATCH(D167,iRefDt,0))</f>
        <v>158</v>
      </c>
      <c r="B167" s="92" t="n">
        <f aca="false">MATCH(YEAR(D167),iSpreads)</f>
        <v>12</v>
      </c>
      <c r="C167" s="0" t="n">
        <f aca="false">MONTH(D167)</f>
        <v>3</v>
      </c>
      <c r="D167" s="93" t="n">
        <f aca="false">+EnergyCurve!D167</f>
        <v>40969</v>
      </c>
      <c r="E167" s="94" t="n">
        <f aca="false">VLOOKUP($D167,tblPriorPrice,2)</f>
        <v>29.8409996032715</v>
      </c>
      <c r="F167" s="95" t="n">
        <f aca="false">G167-E167</f>
        <v>3.96728513152311E-007</v>
      </c>
      <c r="G167" s="264" t="n">
        <f aca="false">IF(EnergyCurve!G167&lt;200,0.001*EnergyCurve!G167+1,1.2)*EnergyCurve!G167</f>
        <v>29.841</v>
      </c>
      <c r="H167" s="96" t="n">
        <f aca="false">IF(EnergyCurve!H167&lt;200,0.001*EnergyCurve!H167+1,1.2)*EnergyCurve!H167</f>
        <v>24.576</v>
      </c>
      <c r="I167" s="96" t="n">
        <f aca="false">IF(EnergyCurve!I167&lt;200,0.001*EnergyCurve!I167+1,1.2)*EnergyCurve!I167</f>
        <v>58.025</v>
      </c>
      <c r="J167" s="94" t="n">
        <f aca="false">VLOOKUP($D167,tblPriorPrice,3)</f>
        <v>0</v>
      </c>
      <c r="K167" s="95" t="n">
        <f aca="false">L167-J167</f>
        <v>0</v>
      </c>
      <c r="L167" s="264" t="n">
        <v>0</v>
      </c>
      <c r="M167" s="96" t="n">
        <f aca="false">L167</f>
        <v>0</v>
      </c>
      <c r="N167" s="96" t="n">
        <f aca="false">L167</f>
        <v>0</v>
      </c>
      <c r="O167" s="58" t="n">
        <f aca="true">IF($A167="",0,INDEX(tblPosn,$A167,2))</f>
        <v>0</v>
      </c>
      <c r="P167" s="59" t="n">
        <f aca="true">IF($A167="",0,INDEX(tblPosn,$A167,3))</f>
        <v>0</v>
      </c>
      <c r="Q167" s="59" t="n">
        <f aca="true">IF($A167="",0,INDEX(tblPosn,$A167,4))</f>
        <v>0</v>
      </c>
      <c r="R167" s="59" t="n">
        <f aca="true">IF($A167="",0,INDEX(tblPosn,$A167,5))</f>
        <v>0</v>
      </c>
      <c r="S167" s="59" t="n">
        <f aca="true">IF($A167="",0,INDEX(tblPosn,$A167,6))</f>
        <v>0</v>
      </c>
      <c r="T167" s="98" t="n">
        <f aca="false">O167*F167+P167*K167+R167*AC167+S167*AH167/0.72+Q167*X167</f>
        <v>0</v>
      </c>
      <c r="V167" s="161" t="n">
        <f aca="false">D167</f>
        <v>40969</v>
      </c>
      <c r="W167" s="94" t="n">
        <f aca="false">VLOOKUP($D167,tblPriorPrice,4)</f>
        <v>0</v>
      </c>
      <c r="X167" s="162"/>
      <c r="Y167" s="176" t="n">
        <f aca="false">L167</f>
        <v>0</v>
      </c>
      <c r="Z167" s="177" t="n">
        <f aca="false">Y167</f>
        <v>0</v>
      </c>
      <c r="AA167" s="177" t="n">
        <f aca="false">Y167</f>
        <v>0</v>
      </c>
      <c r="AB167" s="94" t="n">
        <f aca="false">VLOOKUP($D167,tblPriorPrice,5)</f>
        <v>0</v>
      </c>
      <c r="AC167" s="162"/>
      <c r="AD167" s="176" t="n">
        <f aca="false">L167</f>
        <v>0</v>
      </c>
      <c r="AE167" s="96" t="n">
        <f aca="false">AD167</f>
        <v>0</v>
      </c>
      <c r="AF167" s="97" t="n">
        <f aca="false">AD167</f>
        <v>0</v>
      </c>
      <c r="AG167" s="94" t="n">
        <f aca="false">VLOOKUP($D167,tblPriorPrice,6)</f>
        <v>0</v>
      </c>
      <c r="AH167" s="182"/>
      <c r="AI167" s="189" t="n">
        <f aca="false">AG167+AH167</f>
        <v>0</v>
      </c>
      <c r="AJ167" s="96" t="n">
        <f aca="false">AI167</f>
        <v>0</v>
      </c>
      <c r="AK167" s="97" t="n">
        <f aca="false">AI167</f>
        <v>0</v>
      </c>
      <c r="AL167" s="178" t="n">
        <v>45</v>
      </c>
      <c r="AM167" s="165" t="n">
        <v>0.4</v>
      </c>
      <c r="AN167" s="166" t="n">
        <f aca="false">EnergyCurve!AN167*2</f>
        <v>0.34</v>
      </c>
      <c r="AO167" s="166" t="n">
        <f aca="false">EnergyCurve!AO167</f>
        <v>0.153</v>
      </c>
      <c r="AP167" s="166" t="n">
        <f aca="false">AN167*1.25</f>
        <v>0.425</v>
      </c>
      <c r="AQ167" s="166" t="n">
        <f aca="false">EnergyCurve!AQ167*2</f>
        <v>0.34</v>
      </c>
      <c r="AR167" s="166" t="n">
        <f aca="false">EnergyCurve!AR167</f>
        <v>0.136</v>
      </c>
      <c r="AS167" s="166" t="n">
        <f aca="false">EnergyCurve!AS167*1.25</f>
        <v>0.255</v>
      </c>
      <c r="AT167" s="168" t="n">
        <f aca="false">EnergyCurve!AT167*2*2</f>
        <v>6.33113623762127</v>
      </c>
      <c r="AU167" s="169" t="n">
        <f aca="false">EnergyCurve!AU167</f>
        <v>-0.395696014851329</v>
      </c>
      <c r="AV167" s="169" t="n">
        <f aca="false">AT167*1.25</f>
        <v>7.91392029702658</v>
      </c>
      <c r="AW167" s="168" t="n">
        <f aca="false">EnergyCurve!AW167*2*2</f>
        <v>10.6812</v>
      </c>
      <c r="AX167" s="169" t="n">
        <f aca="false">EnergyCurve!AX167</f>
        <v>-0.667575</v>
      </c>
      <c r="AY167" s="169" t="n">
        <f aca="false">AW167*1.25</f>
        <v>13.3515</v>
      </c>
      <c r="AZ167" s="167" t="n">
        <v>0</v>
      </c>
      <c r="BA167" s="74"/>
      <c r="BQ167" s="108" t="n">
        <v>36907.7428240741</v>
      </c>
      <c r="BR167" s="109" t="n">
        <v>36907.7434490741</v>
      </c>
      <c r="BS167" s="110" t="n">
        <v>41183</v>
      </c>
      <c r="BT167" s="111" t="n">
        <v>0</v>
      </c>
      <c r="BU167" s="112" t="n">
        <v>0</v>
      </c>
      <c r="BV167" s="112" t="n">
        <v>0</v>
      </c>
      <c r="BW167" s="112" t="n">
        <v>0</v>
      </c>
      <c r="BX167" s="113" t="n">
        <v>0</v>
      </c>
      <c r="BZ167" s="110" t="n">
        <v>40969</v>
      </c>
      <c r="CA167" s="116" t="n">
        <v>29.8409996032715</v>
      </c>
      <c r="CB167" s="116" t="n">
        <v>0</v>
      </c>
      <c r="CC167" s="116" t="n">
        <v>0</v>
      </c>
      <c r="CD167" s="116" t="n">
        <v>0</v>
      </c>
      <c r="CE167" s="117" t="n">
        <v>0</v>
      </c>
    </row>
    <row r="168" customFormat="false" ht="12.75" hidden="false" customHeight="false" outlineLevel="0" collapsed="false">
      <c r="A168" s="0" t="n">
        <f aca="true">IF(ISERROR(MATCH(D168,iRefDt,0)),"",MATCH(D168,iRefDt,0))</f>
        <v>159</v>
      </c>
      <c r="B168" s="92" t="n">
        <f aca="false">MATCH(YEAR(D168),iSpreads)</f>
        <v>12</v>
      </c>
      <c r="C168" s="0" t="n">
        <f aca="false">MONTH(D168)</f>
        <v>4</v>
      </c>
      <c r="D168" s="93" t="n">
        <f aca="false">+EnergyCurve!D168</f>
        <v>41000</v>
      </c>
      <c r="E168" s="94" t="n">
        <f aca="false">VLOOKUP($D168,tblPriorPrice,2)</f>
        <v>29.8409996032715</v>
      </c>
      <c r="F168" s="95" t="n">
        <f aca="false">G168-E168</f>
        <v>3.96728513152311E-007</v>
      </c>
      <c r="G168" s="264" t="n">
        <f aca="false">IF(EnergyCurve!G168&lt;200,0.001*EnergyCurve!G168+1,1.2)*EnergyCurve!G168</f>
        <v>29.841</v>
      </c>
      <c r="H168" s="96" t="n">
        <f aca="false">IF(EnergyCurve!H168&lt;200,0.001*EnergyCurve!H168+1,1.2)*EnergyCurve!H168</f>
        <v>24.576</v>
      </c>
      <c r="I168" s="96" t="n">
        <f aca="false">IF(EnergyCurve!I168&lt;200,0.001*EnergyCurve!I168+1,1.2)*EnergyCurve!I168</f>
        <v>58.025</v>
      </c>
      <c r="J168" s="94" t="n">
        <f aca="false">VLOOKUP($D168,tblPriorPrice,3)</f>
        <v>0</v>
      </c>
      <c r="K168" s="95" t="n">
        <f aca="false">L168-J168</f>
        <v>0</v>
      </c>
      <c r="L168" s="264" t="n">
        <v>0</v>
      </c>
      <c r="M168" s="96" t="n">
        <f aca="false">L168</f>
        <v>0</v>
      </c>
      <c r="N168" s="96" t="n">
        <f aca="false">L168</f>
        <v>0</v>
      </c>
      <c r="O168" s="58" t="n">
        <f aca="true">IF($A168="",0,INDEX(tblPosn,$A168,2))</f>
        <v>0</v>
      </c>
      <c r="P168" s="59" t="n">
        <f aca="true">IF($A168="",0,INDEX(tblPosn,$A168,3))</f>
        <v>0</v>
      </c>
      <c r="Q168" s="59" t="n">
        <f aca="true">IF($A168="",0,INDEX(tblPosn,$A168,4))</f>
        <v>0</v>
      </c>
      <c r="R168" s="59" t="n">
        <f aca="true">IF($A168="",0,INDEX(tblPosn,$A168,5))</f>
        <v>0</v>
      </c>
      <c r="S168" s="59" t="n">
        <f aca="true">IF($A168="",0,INDEX(tblPosn,$A168,6))</f>
        <v>0</v>
      </c>
      <c r="T168" s="98" t="n">
        <f aca="false">O168*F168+P168*K168+R168*AC168+S168*AH168/0.72+Q168*X168</f>
        <v>0</v>
      </c>
      <c r="V168" s="161" t="n">
        <f aca="false">D168</f>
        <v>41000</v>
      </c>
      <c r="W168" s="94" t="n">
        <f aca="false">VLOOKUP($D168,tblPriorPrice,4)</f>
        <v>0</v>
      </c>
      <c r="X168" s="162"/>
      <c r="Y168" s="176" t="n">
        <f aca="false">L168</f>
        <v>0</v>
      </c>
      <c r="Z168" s="177" t="n">
        <f aca="false">Y168</f>
        <v>0</v>
      </c>
      <c r="AA168" s="177" t="n">
        <f aca="false">Y168</f>
        <v>0</v>
      </c>
      <c r="AB168" s="94" t="n">
        <f aca="false">VLOOKUP($D168,tblPriorPrice,5)</f>
        <v>0</v>
      </c>
      <c r="AC168" s="162"/>
      <c r="AD168" s="176" t="n">
        <f aca="false">L168</f>
        <v>0</v>
      </c>
      <c r="AE168" s="96" t="n">
        <f aca="false">AD168</f>
        <v>0</v>
      </c>
      <c r="AF168" s="97" t="n">
        <f aca="false">AD168</f>
        <v>0</v>
      </c>
      <c r="AG168" s="94" t="n">
        <f aca="false">VLOOKUP($D168,tblPriorPrice,6)</f>
        <v>0</v>
      </c>
      <c r="AH168" s="182"/>
      <c r="AI168" s="189" t="n">
        <f aca="false">AG168+AH168</f>
        <v>0</v>
      </c>
      <c r="AJ168" s="96" t="n">
        <f aca="false">AI168</f>
        <v>0</v>
      </c>
      <c r="AK168" s="97" t="n">
        <f aca="false">AI168</f>
        <v>0</v>
      </c>
      <c r="AL168" s="178" t="n">
        <v>46</v>
      </c>
      <c r="AM168" s="165" t="n">
        <v>0.4</v>
      </c>
      <c r="AN168" s="166" t="n">
        <f aca="false">EnergyCurve!AN168*2</f>
        <v>0.34</v>
      </c>
      <c r="AO168" s="166" t="n">
        <f aca="false">EnergyCurve!AO168</f>
        <v>0.153</v>
      </c>
      <c r="AP168" s="166" t="n">
        <f aca="false">AN168*1.25</f>
        <v>0.425</v>
      </c>
      <c r="AQ168" s="166" t="n">
        <f aca="false">EnergyCurve!AQ168*2</f>
        <v>0.34</v>
      </c>
      <c r="AR168" s="166" t="n">
        <f aca="false">EnergyCurve!AR168</f>
        <v>0.136</v>
      </c>
      <c r="AS168" s="166" t="n">
        <f aca="false">EnergyCurve!AS168*1.25</f>
        <v>0.255</v>
      </c>
      <c r="AT168" s="168" t="n">
        <f aca="false">EnergyCurve!AT168*2*2</f>
        <v>6.33113623762127</v>
      </c>
      <c r="AU168" s="169" t="n">
        <f aca="false">EnergyCurve!AU168</f>
        <v>-0.395696014851329</v>
      </c>
      <c r="AV168" s="169" t="n">
        <f aca="false">AT168*1.25</f>
        <v>7.91392029702658</v>
      </c>
      <c r="AW168" s="168" t="n">
        <f aca="false">EnergyCurve!AW168*2*2</f>
        <v>10.6812</v>
      </c>
      <c r="AX168" s="169" t="n">
        <f aca="false">EnergyCurve!AX168</f>
        <v>-0.667575</v>
      </c>
      <c r="AY168" s="169" t="n">
        <f aca="false">AW168*1.25</f>
        <v>13.3515</v>
      </c>
      <c r="AZ168" s="167" t="n">
        <v>0</v>
      </c>
      <c r="BA168" s="74"/>
      <c r="BQ168" s="108" t="n">
        <v>36907.7428240741</v>
      </c>
      <c r="BR168" s="109" t="n">
        <v>36907.7434490741</v>
      </c>
      <c r="BS168" s="110" t="n">
        <v>41214</v>
      </c>
      <c r="BT168" s="111" t="n">
        <v>0</v>
      </c>
      <c r="BU168" s="112" t="n">
        <v>0</v>
      </c>
      <c r="BV168" s="112" t="n">
        <v>0</v>
      </c>
      <c r="BW168" s="112" t="n">
        <v>0</v>
      </c>
      <c r="BX168" s="113" t="n">
        <v>0</v>
      </c>
      <c r="BZ168" s="110" t="n">
        <v>41000</v>
      </c>
      <c r="CA168" s="116" t="n">
        <v>29.8409996032715</v>
      </c>
      <c r="CB168" s="116" t="n">
        <v>0</v>
      </c>
      <c r="CC168" s="116" t="n">
        <v>0</v>
      </c>
      <c r="CD168" s="116" t="n">
        <v>0</v>
      </c>
      <c r="CE168" s="117" t="n">
        <v>0</v>
      </c>
    </row>
    <row r="169" customFormat="false" ht="12.75" hidden="false" customHeight="false" outlineLevel="0" collapsed="false">
      <c r="A169" s="0" t="n">
        <f aca="true">IF(ISERROR(MATCH(D169,iRefDt,0)),"",MATCH(D169,iRefDt,0))</f>
        <v>160</v>
      </c>
      <c r="B169" s="92" t="n">
        <f aca="false">MATCH(YEAR(D169),iSpreads)</f>
        <v>12</v>
      </c>
      <c r="C169" s="0" t="n">
        <f aca="false">MONTH(D169)</f>
        <v>5</v>
      </c>
      <c r="D169" s="93" t="n">
        <f aca="false">+EnergyCurve!D169</f>
        <v>41030</v>
      </c>
      <c r="E169" s="94" t="n">
        <f aca="false">VLOOKUP($D169,tblPriorPrice,2)</f>
        <v>33.0239982604981</v>
      </c>
      <c r="F169" s="95" t="n">
        <f aca="false">G169-E169</f>
        <v>1.73950195403449E-006</v>
      </c>
      <c r="G169" s="264" t="n">
        <f aca="false">IF(EnergyCurve!G169&lt;200,0.001*EnergyCurve!G169+1,1.2)*EnergyCurve!G169</f>
        <v>33.024</v>
      </c>
      <c r="H169" s="96" t="n">
        <f aca="false">IF(EnergyCurve!H169&lt;200,0.001*EnergyCurve!H169+1,1.2)*EnergyCurve!H169</f>
        <v>27.729</v>
      </c>
      <c r="I169" s="96" t="n">
        <f aca="false">IF(EnergyCurve!I169&lt;200,0.001*EnergyCurve!I169+1,1.2)*EnergyCurve!I169</f>
        <v>61.364</v>
      </c>
      <c r="J169" s="94" t="n">
        <f aca="false">VLOOKUP($D169,tblPriorPrice,3)</f>
        <v>0</v>
      </c>
      <c r="K169" s="95" t="n">
        <f aca="false">L169-J169</f>
        <v>0</v>
      </c>
      <c r="L169" s="264" t="n">
        <v>0</v>
      </c>
      <c r="M169" s="96" t="n">
        <f aca="false">L169</f>
        <v>0</v>
      </c>
      <c r="N169" s="96" t="n">
        <f aca="false">L169</f>
        <v>0</v>
      </c>
      <c r="O169" s="58" t="n">
        <f aca="true">IF($A169="",0,INDEX(tblPosn,$A169,2))</f>
        <v>0</v>
      </c>
      <c r="P169" s="59" t="n">
        <f aca="true">IF($A169="",0,INDEX(tblPosn,$A169,3))</f>
        <v>0</v>
      </c>
      <c r="Q169" s="59" t="n">
        <f aca="true">IF($A169="",0,INDEX(tblPosn,$A169,4))</f>
        <v>0</v>
      </c>
      <c r="R169" s="59" t="n">
        <f aca="true">IF($A169="",0,INDEX(tblPosn,$A169,5))</f>
        <v>0</v>
      </c>
      <c r="S169" s="59" t="n">
        <f aca="true">IF($A169="",0,INDEX(tblPosn,$A169,6))</f>
        <v>0</v>
      </c>
      <c r="T169" s="98" t="n">
        <f aca="false">O169*F169+P169*K169+R169*AC169+S169*AH169/0.72+Q169*X169</f>
        <v>0</v>
      </c>
      <c r="V169" s="161" t="n">
        <f aca="false">D169</f>
        <v>41030</v>
      </c>
      <c r="W169" s="94" t="n">
        <f aca="false">VLOOKUP($D169,tblPriorPrice,4)</f>
        <v>0</v>
      </c>
      <c r="X169" s="162"/>
      <c r="Y169" s="176" t="n">
        <f aca="false">L169</f>
        <v>0</v>
      </c>
      <c r="Z169" s="177" t="n">
        <f aca="false">Y169</f>
        <v>0</v>
      </c>
      <c r="AA169" s="177" t="n">
        <f aca="false">Y169</f>
        <v>0</v>
      </c>
      <c r="AB169" s="94" t="n">
        <f aca="false">VLOOKUP($D169,tblPriorPrice,5)</f>
        <v>0</v>
      </c>
      <c r="AC169" s="162"/>
      <c r="AD169" s="176" t="n">
        <f aca="false">L169</f>
        <v>0</v>
      </c>
      <c r="AE169" s="96" t="n">
        <f aca="false">AD169</f>
        <v>0</v>
      </c>
      <c r="AF169" s="97" t="n">
        <f aca="false">AD169</f>
        <v>0</v>
      </c>
      <c r="AG169" s="94" t="n">
        <f aca="false">VLOOKUP($D169,tblPriorPrice,6)</f>
        <v>0</v>
      </c>
      <c r="AH169" s="182"/>
      <c r="AI169" s="189" t="n">
        <f aca="false">AG169+AH169</f>
        <v>0</v>
      </c>
      <c r="AJ169" s="96" t="n">
        <f aca="false">AI169</f>
        <v>0</v>
      </c>
      <c r="AK169" s="97" t="n">
        <f aca="false">AI169</f>
        <v>0</v>
      </c>
      <c r="AL169" s="178" t="n">
        <v>46</v>
      </c>
      <c r="AM169" s="165" t="n">
        <v>0.4</v>
      </c>
      <c r="AN169" s="166" t="n">
        <f aca="false">EnergyCurve!AN169*2</f>
        <v>0.34</v>
      </c>
      <c r="AO169" s="166" t="n">
        <f aca="false">EnergyCurve!AO169</f>
        <v>0.153</v>
      </c>
      <c r="AP169" s="166" t="n">
        <f aca="false">AN169*1.25</f>
        <v>0.425</v>
      </c>
      <c r="AQ169" s="166" t="n">
        <f aca="false">EnergyCurve!AQ169*2</f>
        <v>0.34</v>
      </c>
      <c r="AR169" s="166" t="n">
        <f aca="false">EnergyCurve!AR169</f>
        <v>0.136</v>
      </c>
      <c r="AS169" s="166" t="n">
        <f aca="false">EnergyCurve!AS169*1.25</f>
        <v>0.255</v>
      </c>
      <c r="AT169" s="168" t="n">
        <f aca="false">EnergyCurve!AT169*2*2</f>
        <v>6.71448638739126</v>
      </c>
      <c r="AU169" s="169" t="n">
        <f aca="false">EnergyCurve!AU169</f>
        <v>-0.419655399211954</v>
      </c>
      <c r="AV169" s="169" t="n">
        <f aca="false">AT169*1.25</f>
        <v>8.39310798423907</v>
      </c>
      <c r="AW169" s="168" t="n">
        <f aca="false">EnergyCurve!AW169*2*2</f>
        <v>10.3986</v>
      </c>
      <c r="AX169" s="169" t="n">
        <f aca="false">EnergyCurve!AX169</f>
        <v>-0.6499125</v>
      </c>
      <c r="AY169" s="169" t="n">
        <f aca="false">AW169*1.25</f>
        <v>12.99825</v>
      </c>
      <c r="AZ169" s="167" t="n">
        <v>0</v>
      </c>
      <c r="BA169" s="74"/>
      <c r="BQ169" s="108" t="n">
        <v>36907.7428240741</v>
      </c>
      <c r="BR169" s="109" t="n">
        <v>36907.7434490741</v>
      </c>
      <c r="BS169" s="110" t="n">
        <v>41244</v>
      </c>
      <c r="BT169" s="111" t="n">
        <v>0</v>
      </c>
      <c r="BU169" s="112" t="n">
        <v>0</v>
      </c>
      <c r="BV169" s="112" t="n">
        <v>0</v>
      </c>
      <c r="BW169" s="112" t="n">
        <v>0</v>
      </c>
      <c r="BX169" s="113" t="n">
        <v>0</v>
      </c>
      <c r="BZ169" s="110" t="n">
        <v>41030</v>
      </c>
      <c r="CA169" s="116" t="n">
        <v>33.0239982604981</v>
      </c>
      <c r="CB169" s="116" t="n">
        <v>0</v>
      </c>
      <c r="CC169" s="116" t="n">
        <v>0</v>
      </c>
      <c r="CD169" s="116" t="n">
        <v>0</v>
      </c>
      <c r="CE169" s="117" t="n">
        <v>0</v>
      </c>
    </row>
    <row r="170" customFormat="false" ht="12.75" hidden="false" customHeight="false" outlineLevel="0" collapsed="false">
      <c r="A170" s="0" t="n">
        <f aca="true">IF(ISERROR(MATCH(D170,iRefDt,0)),"",MATCH(D170,iRefDt,0))</f>
        <v>161</v>
      </c>
      <c r="B170" s="92" t="n">
        <f aca="false">MATCH(YEAR(D170),iSpreads)</f>
        <v>12</v>
      </c>
      <c r="C170" s="0" t="n">
        <f aca="false">MONTH(D170)</f>
        <v>6</v>
      </c>
      <c r="D170" s="93" t="n">
        <f aca="false">+EnergyCurve!D170</f>
        <v>41061</v>
      </c>
      <c r="E170" s="94" t="n">
        <f aca="false">VLOOKUP($D170,tblPriorPrice,2)</f>
        <v>40.5209999084473</v>
      </c>
      <c r="F170" s="95" t="n">
        <f aca="false">G170-E170</f>
        <v>9.15527280653805E-008</v>
      </c>
      <c r="G170" s="264" t="n">
        <f aca="false">IF(EnergyCurve!G170&lt;200,0.001*EnergyCurve!G170+1,1.2)*EnergyCurve!G170</f>
        <v>40.521</v>
      </c>
      <c r="H170" s="96" t="n">
        <f aca="false">IF(EnergyCurve!H170&lt;200,0.001*EnergyCurve!H170+1,1.2)*EnergyCurve!H170</f>
        <v>35.156</v>
      </c>
      <c r="I170" s="96" t="n">
        <f aca="false">IF(EnergyCurve!I170&lt;200,0.001*EnergyCurve!I170+1,1.2)*EnergyCurve!I170</f>
        <v>69.225</v>
      </c>
      <c r="J170" s="94" t="n">
        <f aca="false">VLOOKUP($D170,tblPriorPrice,3)</f>
        <v>0</v>
      </c>
      <c r="K170" s="95" t="n">
        <f aca="false">L170-J170</f>
        <v>0</v>
      </c>
      <c r="L170" s="264" t="n">
        <v>0</v>
      </c>
      <c r="M170" s="96" t="n">
        <f aca="false">L170</f>
        <v>0</v>
      </c>
      <c r="N170" s="96" t="n">
        <f aca="false">L170</f>
        <v>0</v>
      </c>
      <c r="O170" s="58" t="n">
        <f aca="true">IF($A170="",0,INDEX(tblPosn,$A170,2))</f>
        <v>0</v>
      </c>
      <c r="P170" s="59" t="n">
        <f aca="true">IF($A170="",0,INDEX(tblPosn,$A170,3))</f>
        <v>0</v>
      </c>
      <c r="Q170" s="59" t="n">
        <f aca="true">IF($A170="",0,INDEX(tblPosn,$A170,4))</f>
        <v>0</v>
      </c>
      <c r="R170" s="59" t="n">
        <f aca="true">IF($A170="",0,INDEX(tblPosn,$A170,5))</f>
        <v>0</v>
      </c>
      <c r="S170" s="59" t="n">
        <f aca="true">IF($A170="",0,INDEX(tblPosn,$A170,6))</f>
        <v>0</v>
      </c>
      <c r="T170" s="98" t="n">
        <f aca="false">O170*F170+P170*K170+R170*AC170+S170*AH170/0.72+Q170*X170</f>
        <v>0</v>
      </c>
      <c r="V170" s="161" t="n">
        <f aca="false">D170</f>
        <v>41061</v>
      </c>
      <c r="W170" s="94" t="n">
        <f aca="false">VLOOKUP($D170,tblPriorPrice,4)</f>
        <v>0</v>
      </c>
      <c r="X170" s="162"/>
      <c r="Y170" s="176" t="n">
        <f aca="false">L170</f>
        <v>0</v>
      </c>
      <c r="Z170" s="177" t="n">
        <f aca="false">Y170</f>
        <v>0</v>
      </c>
      <c r="AA170" s="177" t="n">
        <f aca="false">Y170</f>
        <v>0</v>
      </c>
      <c r="AB170" s="94" t="n">
        <f aca="false">VLOOKUP($D170,tblPriorPrice,5)</f>
        <v>0</v>
      </c>
      <c r="AC170" s="162"/>
      <c r="AD170" s="176" t="n">
        <f aca="false">L170</f>
        <v>0</v>
      </c>
      <c r="AE170" s="96" t="n">
        <f aca="false">AD170</f>
        <v>0</v>
      </c>
      <c r="AF170" s="97" t="n">
        <f aca="false">AD170</f>
        <v>0</v>
      </c>
      <c r="AG170" s="94" t="n">
        <f aca="false">VLOOKUP($D170,tblPriorPrice,6)</f>
        <v>0</v>
      </c>
      <c r="AH170" s="182"/>
      <c r="AI170" s="189" t="n">
        <f aca="false">AG170+AH170</f>
        <v>0</v>
      </c>
      <c r="AJ170" s="96" t="n">
        <f aca="false">AI170</f>
        <v>0</v>
      </c>
      <c r="AK170" s="97" t="n">
        <f aca="false">AI170</f>
        <v>0</v>
      </c>
      <c r="AL170" s="178" t="n">
        <v>46</v>
      </c>
      <c r="AM170" s="165" t="n">
        <v>0.4</v>
      </c>
      <c r="AN170" s="166" t="n">
        <f aca="false">EnergyCurve!AN170*2</f>
        <v>0.34</v>
      </c>
      <c r="AO170" s="166" t="n">
        <f aca="false">EnergyCurve!AO170</f>
        <v>0.153</v>
      </c>
      <c r="AP170" s="166" t="n">
        <f aca="false">AN170*1.25</f>
        <v>0.425</v>
      </c>
      <c r="AQ170" s="166" t="n">
        <f aca="false">EnergyCurve!AQ170*2</f>
        <v>0.34</v>
      </c>
      <c r="AR170" s="166" t="n">
        <f aca="false">EnergyCurve!AR170</f>
        <v>0.136</v>
      </c>
      <c r="AS170" s="166" t="n">
        <f aca="false">EnergyCurve!AS170*1.25</f>
        <v>0.255</v>
      </c>
      <c r="AT170" s="168" t="n">
        <f aca="false">EnergyCurve!AT170*2*2</f>
        <v>8.27346121695085</v>
      </c>
      <c r="AU170" s="169" t="n">
        <f aca="false">EnergyCurve!AU170</f>
        <v>-0.517091326059428</v>
      </c>
      <c r="AV170" s="169" t="n">
        <f aca="false">AT170*1.25</f>
        <v>10.3418265211886</v>
      </c>
      <c r="AW170" s="168" t="n">
        <f aca="false">EnergyCurve!AW170*2*2</f>
        <v>9.7392</v>
      </c>
      <c r="AX170" s="169" t="n">
        <f aca="false">EnergyCurve!AX170</f>
        <v>-0.6087</v>
      </c>
      <c r="AY170" s="169" t="n">
        <f aca="false">AW170*1.25</f>
        <v>12.174</v>
      </c>
      <c r="AZ170" s="167" t="n">
        <v>0</v>
      </c>
      <c r="BA170" s="74"/>
      <c r="BQ170" s="108" t="n">
        <v>36907.7428240741</v>
      </c>
      <c r="BR170" s="109" t="n">
        <v>36907.7434490741</v>
      </c>
      <c r="BS170" s="110" t="n">
        <v>41275</v>
      </c>
      <c r="BT170" s="111" t="n">
        <v>0</v>
      </c>
      <c r="BU170" s="112" t="n">
        <v>0</v>
      </c>
      <c r="BV170" s="112" t="n">
        <v>0</v>
      </c>
      <c r="BW170" s="112" t="n">
        <v>0</v>
      </c>
      <c r="BX170" s="113" t="n">
        <v>0</v>
      </c>
      <c r="BZ170" s="110" t="n">
        <v>41061</v>
      </c>
      <c r="CA170" s="116" t="n">
        <v>40.5209999084473</v>
      </c>
      <c r="CB170" s="116" t="n">
        <v>0</v>
      </c>
      <c r="CC170" s="116" t="n">
        <v>0</v>
      </c>
      <c r="CD170" s="116" t="n">
        <v>0</v>
      </c>
      <c r="CE170" s="117" t="n">
        <v>0</v>
      </c>
    </row>
    <row r="171" customFormat="false" ht="12.75" hidden="false" customHeight="false" outlineLevel="0" collapsed="false">
      <c r="A171" s="0" t="n">
        <f aca="true">IF(ISERROR(MATCH(D171,iRefDt,0)),"",MATCH(D171,iRefDt,0))</f>
        <v>162</v>
      </c>
      <c r="B171" s="92" t="n">
        <f aca="false">MATCH(YEAR(D171),iSpreads)</f>
        <v>12</v>
      </c>
      <c r="C171" s="0" t="n">
        <f aca="false">MONTH(D171)</f>
        <v>7</v>
      </c>
      <c r="D171" s="93" t="n">
        <f aca="false">+EnergyCurve!D171</f>
        <v>41091</v>
      </c>
      <c r="E171" s="94" t="n">
        <f aca="false">VLOOKUP($D171,tblPriorPrice,2)</f>
        <v>40.5209999084473</v>
      </c>
      <c r="F171" s="95" t="n">
        <f aca="false">G171-E171</f>
        <v>9.15527280653805E-008</v>
      </c>
      <c r="G171" s="264" t="n">
        <f aca="false">IF(EnergyCurve!G171&lt;200,0.001*EnergyCurve!G171+1,1.2)*EnergyCurve!G171</f>
        <v>40.521</v>
      </c>
      <c r="H171" s="96" t="n">
        <f aca="false">IF(EnergyCurve!H171&lt;200,0.001*EnergyCurve!H171+1,1.2)*EnergyCurve!H171</f>
        <v>35.156</v>
      </c>
      <c r="I171" s="96" t="n">
        <f aca="false">IF(EnergyCurve!I171&lt;200,0.001*EnergyCurve!I171+1,1.2)*EnergyCurve!I171</f>
        <v>69.225</v>
      </c>
      <c r="J171" s="94" t="n">
        <f aca="false">VLOOKUP($D171,tblPriorPrice,3)</f>
        <v>0</v>
      </c>
      <c r="K171" s="95" t="n">
        <f aca="false">L171-J171</f>
        <v>0</v>
      </c>
      <c r="L171" s="264" t="n">
        <v>0</v>
      </c>
      <c r="M171" s="96" t="n">
        <f aca="false">L171</f>
        <v>0</v>
      </c>
      <c r="N171" s="96" t="n">
        <f aca="false">L171</f>
        <v>0</v>
      </c>
      <c r="O171" s="58" t="n">
        <f aca="true">IF($A171="",0,INDEX(tblPosn,$A171,2))</f>
        <v>0</v>
      </c>
      <c r="P171" s="59" t="n">
        <f aca="true">IF($A171="",0,INDEX(tblPosn,$A171,3))</f>
        <v>0</v>
      </c>
      <c r="Q171" s="59" t="n">
        <f aca="true">IF($A171="",0,INDEX(tblPosn,$A171,4))</f>
        <v>0</v>
      </c>
      <c r="R171" s="59" t="n">
        <f aca="true">IF($A171="",0,INDEX(tblPosn,$A171,5))</f>
        <v>0</v>
      </c>
      <c r="S171" s="59" t="n">
        <f aca="true">IF($A171="",0,INDEX(tblPosn,$A171,6))</f>
        <v>0</v>
      </c>
      <c r="T171" s="98" t="n">
        <f aca="false">O171*F171+P171*K171+R171*AC171+S171*AH171/0.72+Q171*X171</f>
        <v>0</v>
      </c>
      <c r="V171" s="161" t="n">
        <f aca="false">D171</f>
        <v>41091</v>
      </c>
      <c r="W171" s="94" t="n">
        <f aca="false">VLOOKUP($D171,tblPriorPrice,4)</f>
        <v>0</v>
      </c>
      <c r="X171" s="162"/>
      <c r="Y171" s="176" t="n">
        <f aca="false">L171</f>
        <v>0</v>
      </c>
      <c r="Z171" s="177" t="n">
        <f aca="false">Y171</f>
        <v>0</v>
      </c>
      <c r="AA171" s="177" t="n">
        <f aca="false">Y171</f>
        <v>0</v>
      </c>
      <c r="AB171" s="94" t="n">
        <f aca="false">VLOOKUP($D171,tblPriorPrice,5)</f>
        <v>0</v>
      </c>
      <c r="AC171" s="162"/>
      <c r="AD171" s="176" t="n">
        <f aca="false">L171</f>
        <v>0</v>
      </c>
      <c r="AE171" s="96" t="n">
        <f aca="false">AD171</f>
        <v>0</v>
      </c>
      <c r="AF171" s="97" t="n">
        <f aca="false">AD171</f>
        <v>0</v>
      </c>
      <c r="AG171" s="94" t="n">
        <f aca="false">VLOOKUP($D171,tblPriorPrice,6)</f>
        <v>0</v>
      </c>
      <c r="AH171" s="182"/>
      <c r="AI171" s="189" t="n">
        <f aca="false">AG171+AH171</f>
        <v>0</v>
      </c>
      <c r="AJ171" s="96" t="n">
        <f aca="false">AI171</f>
        <v>0</v>
      </c>
      <c r="AK171" s="97" t="n">
        <f aca="false">AI171</f>
        <v>0</v>
      </c>
      <c r="AL171" s="178" t="n">
        <v>47</v>
      </c>
      <c r="AM171" s="165" t="n">
        <v>0.4</v>
      </c>
      <c r="AN171" s="166" t="n">
        <f aca="false">EnergyCurve!AN171*2</f>
        <v>0.34</v>
      </c>
      <c r="AO171" s="166" t="n">
        <f aca="false">EnergyCurve!AO171</f>
        <v>0.153</v>
      </c>
      <c r="AP171" s="166" t="n">
        <f aca="false">AN171*1.25</f>
        <v>0.425</v>
      </c>
      <c r="AQ171" s="166" t="n">
        <f aca="false">EnergyCurve!AQ171*2</f>
        <v>0.34</v>
      </c>
      <c r="AR171" s="166" t="n">
        <f aca="false">EnergyCurve!AR171</f>
        <v>0.136</v>
      </c>
      <c r="AS171" s="166" t="n">
        <f aca="false">EnergyCurve!AS171*1.25</f>
        <v>0.255</v>
      </c>
      <c r="AT171" s="168" t="n">
        <f aca="false">EnergyCurve!AT171*2*2</f>
        <v>8.27346121695085</v>
      </c>
      <c r="AU171" s="169" t="n">
        <f aca="false">EnergyCurve!AU171</f>
        <v>-0.517091326059428</v>
      </c>
      <c r="AV171" s="169" t="n">
        <f aca="false">AT171*1.25</f>
        <v>10.3418265211886</v>
      </c>
      <c r="AW171" s="168" t="n">
        <f aca="false">EnergyCurve!AW171*2*2</f>
        <v>9.7392</v>
      </c>
      <c r="AX171" s="169" t="n">
        <f aca="false">EnergyCurve!AX171</f>
        <v>-0.6087</v>
      </c>
      <c r="AY171" s="169" t="n">
        <f aca="false">AW171*1.25</f>
        <v>12.174</v>
      </c>
      <c r="AZ171" s="167" t="n">
        <v>0</v>
      </c>
      <c r="BA171" s="74"/>
      <c r="BQ171" s="108" t="n">
        <v>36907.7428240741</v>
      </c>
      <c r="BR171" s="109" t="n">
        <v>36907.7434490741</v>
      </c>
      <c r="BS171" s="110" t="n">
        <v>41306</v>
      </c>
      <c r="BT171" s="111" t="n">
        <v>0</v>
      </c>
      <c r="BU171" s="112" t="n">
        <v>0</v>
      </c>
      <c r="BV171" s="112" t="n">
        <v>0</v>
      </c>
      <c r="BW171" s="112" t="n">
        <v>0</v>
      </c>
      <c r="BX171" s="113" t="n">
        <v>0</v>
      </c>
      <c r="BZ171" s="110" t="n">
        <v>41091</v>
      </c>
      <c r="CA171" s="116" t="n">
        <v>40.5209999084473</v>
      </c>
      <c r="CB171" s="116" t="n">
        <v>0</v>
      </c>
      <c r="CC171" s="116" t="n">
        <v>0</v>
      </c>
      <c r="CD171" s="116" t="n">
        <v>0</v>
      </c>
      <c r="CE171" s="117" t="n">
        <v>0</v>
      </c>
    </row>
    <row r="172" customFormat="false" ht="12.75" hidden="false" customHeight="false" outlineLevel="0" collapsed="false">
      <c r="A172" s="0" t="n">
        <f aca="true">IF(ISERROR(MATCH(D172,iRefDt,0)),"",MATCH(D172,iRefDt,0))</f>
        <v>163</v>
      </c>
      <c r="B172" s="92" t="n">
        <f aca="false">MATCH(YEAR(D172),iSpreads)</f>
        <v>12</v>
      </c>
      <c r="C172" s="0" t="n">
        <f aca="false">MONTH(D172)</f>
        <v>8</v>
      </c>
      <c r="D172" s="93" t="n">
        <f aca="false">+EnergyCurve!D172</f>
        <v>41122</v>
      </c>
      <c r="E172" s="94" t="n">
        <f aca="false">VLOOKUP($D172,tblPriorPrice,2)</f>
        <v>42.6809997558594</v>
      </c>
      <c r="F172" s="95" t="n">
        <f aca="false">G172-E172</f>
        <v>2.44140622385203E-007</v>
      </c>
      <c r="G172" s="264" t="n">
        <f aca="false">IF(EnergyCurve!G172&lt;200,0.001*EnergyCurve!G172+1,1.2)*EnergyCurve!G172</f>
        <v>42.681</v>
      </c>
      <c r="H172" s="96" t="n">
        <f aca="false">IF(EnergyCurve!H172&lt;200,0.001*EnergyCurve!H172+1,1.2)*EnergyCurve!H172</f>
        <v>37.296</v>
      </c>
      <c r="I172" s="96" t="n">
        <f aca="false">IF(EnergyCurve!I172&lt;200,0.001*EnergyCurve!I172+1,1.2)*EnergyCurve!I172</f>
        <v>71.489</v>
      </c>
      <c r="J172" s="94" t="n">
        <f aca="false">VLOOKUP($D172,tblPriorPrice,3)</f>
        <v>0</v>
      </c>
      <c r="K172" s="95" t="n">
        <f aca="false">L172-J172</f>
        <v>0</v>
      </c>
      <c r="L172" s="264" t="n">
        <v>0</v>
      </c>
      <c r="M172" s="96" t="n">
        <f aca="false">L172</f>
        <v>0</v>
      </c>
      <c r="N172" s="96" t="n">
        <f aca="false">L172</f>
        <v>0</v>
      </c>
      <c r="O172" s="58" t="n">
        <f aca="true">IF($A172="",0,INDEX(tblPosn,$A172,2))</f>
        <v>0</v>
      </c>
      <c r="P172" s="59" t="n">
        <f aca="true">IF($A172="",0,INDEX(tblPosn,$A172,3))</f>
        <v>0</v>
      </c>
      <c r="Q172" s="59" t="n">
        <f aca="true">IF($A172="",0,INDEX(tblPosn,$A172,4))</f>
        <v>0</v>
      </c>
      <c r="R172" s="59" t="n">
        <f aca="true">IF($A172="",0,INDEX(tblPosn,$A172,5))</f>
        <v>0</v>
      </c>
      <c r="S172" s="59" t="n">
        <f aca="true">IF($A172="",0,INDEX(tblPosn,$A172,6))</f>
        <v>0</v>
      </c>
      <c r="T172" s="98" t="n">
        <f aca="false">O172*F172+P172*K172+R172*AC172+S172*AH172/0.72+Q172*X172</f>
        <v>0</v>
      </c>
      <c r="V172" s="161" t="n">
        <f aca="false">D172</f>
        <v>41122</v>
      </c>
      <c r="W172" s="94" t="n">
        <f aca="false">VLOOKUP($D172,tblPriorPrice,4)</f>
        <v>0</v>
      </c>
      <c r="X172" s="162"/>
      <c r="Y172" s="176" t="n">
        <f aca="false">L172</f>
        <v>0</v>
      </c>
      <c r="Z172" s="177" t="n">
        <f aca="false">Y172</f>
        <v>0</v>
      </c>
      <c r="AA172" s="177" t="n">
        <f aca="false">Y172</f>
        <v>0</v>
      </c>
      <c r="AB172" s="94" t="n">
        <f aca="false">VLOOKUP($D172,tblPriorPrice,5)</f>
        <v>0</v>
      </c>
      <c r="AC172" s="162"/>
      <c r="AD172" s="176" t="n">
        <f aca="false">L172</f>
        <v>0</v>
      </c>
      <c r="AE172" s="96" t="n">
        <f aca="false">AD172</f>
        <v>0</v>
      </c>
      <c r="AF172" s="97" t="n">
        <f aca="false">AD172</f>
        <v>0</v>
      </c>
      <c r="AG172" s="94" t="n">
        <f aca="false">VLOOKUP($D172,tblPriorPrice,6)</f>
        <v>0</v>
      </c>
      <c r="AH172" s="182"/>
      <c r="AI172" s="189" t="n">
        <f aca="false">AG172+AH172</f>
        <v>0</v>
      </c>
      <c r="AJ172" s="96" t="n">
        <f aca="false">AI172</f>
        <v>0</v>
      </c>
      <c r="AK172" s="97" t="n">
        <f aca="false">AI172</f>
        <v>0</v>
      </c>
      <c r="AL172" s="178" t="n">
        <v>47</v>
      </c>
      <c r="AM172" s="165" t="n">
        <v>0.4</v>
      </c>
      <c r="AN172" s="166" t="n">
        <f aca="false">EnergyCurve!AN172*2</f>
        <v>0.34</v>
      </c>
      <c r="AO172" s="166" t="n">
        <f aca="false">EnergyCurve!AO172</f>
        <v>0.153</v>
      </c>
      <c r="AP172" s="166" t="n">
        <f aca="false">AN172*1.25</f>
        <v>0.425</v>
      </c>
      <c r="AQ172" s="166" t="n">
        <f aca="false">EnergyCurve!AQ172*2</f>
        <v>0.34</v>
      </c>
      <c r="AR172" s="166" t="n">
        <f aca="false">EnergyCurve!AR172</f>
        <v>0.136</v>
      </c>
      <c r="AS172" s="166" t="n">
        <f aca="false">EnergyCurve!AS172*1.25</f>
        <v>0.255</v>
      </c>
      <c r="AT172" s="168" t="n">
        <f aca="false">EnergyCurve!AT172*2*2</f>
        <v>8.83433884019377</v>
      </c>
      <c r="AU172" s="169" t="n">
        <f aca="false">EnergyCurve!AU172</f>
        <v>-0.552146177512111</v>
      </c>
      <c r="AV172" s="169" t="n">
        <f aca="false">AT172*1.25</f>
        <v>11.0429235502422</v>
      </c>
      <c r="AW172" s="168" t="n">
        <f aca="false">EnergyCurve!AW172*2*2</f>
        <v>9.5508</v>
      </c>
      <c r="AX172" s="169" t="n">
        <f aca="false">EnergyCurve!AX172</f>
        <v>-0.596925</v>
      </c>
      <c r="AY172" s="169" t="n">
        <f aca="false">AW172*1.25</f>
        <v>11.9385</v>
      </c>
      <c r="AZ172" s="167" t="n">
        <v>0</v>
      </c>
      <c r="BA172" s="74"/>
      <c r="BQ172" s="108" t="n">
        <v>36907.7428240741</v>
      </c>
      <c r="BR172" s="109" t="n">
        <v>36907.7434490741</v>
      </c>
      <c r="BS172" s="110" t="n">
        <v>41334</v>
      </c>
      <c r="BT172" s="111" t="n">
        <v>0</v>
      </c>
      <c r="BU172" s="112" t="n">
        <v>0</v>
      </c>
      <c r="BV172" s="112" t="n">
        <v>0</v>
      </c>
      <c r="BW172" s="112" t="n">
        <v>0</v>
      </c>
      <c r="BX172" s="113" t="n">
        <v>0</v>
      </c>
      <c r="BZ172" s="110" t="n">
        <v>41122</v>
      </c>
      <c r="CA172" s="116" t="n">
        <v>42.6809997558594</v>
      </c>
      <c r="CB172" s="116" t="n">
        <v>0</v>
      </c>
      <c r="CC172" s="116" t="n">
        <v>0</v>
      </c>
      <c r="CD172" s="116" t="n">
        <v>0</v>
      </c>
      <c r="CE172" s="117" t="n">
        <v>0</v>
      </c>
    </row>
    <row r="173" customFormat="false" ht="12.75" hidden="false" customHeight="false" outlineLevel="0" collapsed="false">
      <c r="A173" s="0" t="n">
        <f aca="true">IF(ISERROR(MATCH(D173,iRefDt,0)),"",MATCH(D173,iRefDt,0))</f>
        <v>164</v>
      </c>
      <c r="B173" s="92" t="n">
        <f aca="false">MATCH(YEAR(D173),iSpreads)</f>
        <v>12</v>
      </c>
      <c r="C173" s="0" t="n">
        <f aca="false">MONTH(D173)</f>
        <v>9</v>
      </c>
      <c r="D173" s="93" t="n">
        <f aca="false">+EnergyCurve!D173</f>
        <v>41153</v>
      </c>
      <c r="E173" s="94" t="n">
        <f aca="false">VLOOKUP($D173,tblPriorPrice,2)</f>
        <v>36.2249984741211</v>
      </c>
      <c r="F173" s="95" t="n">
        <f aca="false">G173-E173</f>
        <v>1.52587890056566E-006</v>
      </c>
      <c r="G173" s="264" t="n">
        <f aca="false">IF(EnergyCurve!G173&lt;200,0.001*EnergyCurve!G173+1,1.2)*EnergyCurve!G173</f>
        <v>36.225</v>
      </c>
      <c r="H173" s="96" t="n">
        <f aca="false">IF(EnergyCurve!H173&lt;200,0.001*EnergyCurve!H173+1,1.2)*EnergyCurve!H173</f>
        <v>30.9</v>
      </c>
      <c r="I173" s="96" t="n">
        <f aca="false">IF(EnergyCurve!I173&lt;200,0.001*EnergyCurve!I173+1,1.2)*EnergyCurve!I173</f>
        <v>64.721</v>
      </c>
      <c r="J173" s="94" t="n">
        <f aca="false">VLOOKUP($D173,tblPriorPrice,3)</f>
        <v>0</v>
      </c>
      <c r="K173" s="95" t="n">
        <f aca="false">L173-J173</f>
        <v>0</v>
      </c>
      <c r="L173" s="264" t="n">
        <v>0</v>
      </c>
      <c r="M173" s="96" t="n">
        <f aca="false">L173</f>
        <v>0</v>
      </c>
      <c r="N173" s="96" t="n">
        <f aca="false">L173</f>
        <v>0</v>
      </c>
      <c r="O173" s="58" t="n">
        <f aca="true">IF($A173="",0,INDEX(tblPosn,$A173,2))</f>
        <v>0</v>
      </c>
      <c r="P173" s="59" t="n">
        <f aca="true">IF($A173="",0,INDEX(tblPosn,$A173,3))</f>
        <v>0</v>
      </c>
      <c r="Q173" s="59" t="n">
        <f aca="true">IF($A173="",0,INDEX(tblPosn,$A173,4))</f>
        <v>0</v>
      </c>
      <c r="R173" s="59" t="n">
        <f aca="true">IF($A173="",0,INDEX(tblPosn,$A173,5))</f>
        <v>0</v>
      </c>
      <c r="S173" s="59" t="n">
        <f aca="true">IF($A173="",0,INDEX(tblPosn,$A173,6))</f>
        <v>0</v>
      </c>
      <c r="T173" s="98" t="n">
        <f aca="false">O173*F173+P173*K173+R173*AC173+S173*AH173/0.72+Q173*X173</f>
        <v>0</v>
      </c>
      <c r="V173" s="161" t="n">
        <f aca="false">D173</f>
        <v>41153</v>
      </c>
      <c r="W173" s="94" t="n">
        <f aca="false">VLOOKUP($D173,tblPriorPrice,4)</f>
        <v>0</v>
      </c>
      <c r="X173" s="162"/>
      <c r="Y173" s="176" t="n">
        <f aca="false">L173</f>
        <v>0</v>
      </c>
      <c r="Z173" s="177" t="n">
        <f aca="false">Y173</f>
        <v>0</v>
      </c>
      <c r="AA173" s="177" t="n">
        <f aca="false">Y173</f>
        <v>0</v>
      </c>
      <c r="AB173" s="94" t="n">
        <f aca="false">VLOOKUP($D173,tblPriorPrice,5)</f>
        <v>0</v>
      </c>
      <c r="AC173" s="162"/>
      <c r="AD173" s="176" t="n">
        <f aca="false">L173</f>
        <v>0</v>
      </c>
      <c r="AE173" s="96" t="n">
        <f aca="false">AD173</f>
        <v>0</v>
      </c>
      <c r="AF173" s="97" t="n">
        <f aca="false">AD173</f>
        <v>0</v>
      </c>
      <c r="AG173" s="94" t="n">
        <f aca="false">VLOOKUP($D173,tblPriorPrice,6)</f>
        <v>0</v>
      </c>
      <c r="AH173" s="182"/>
      <c r="AI173" s="189" t="n">
        <f aca="false">AG173+AH173</f>
        <v>0</v>
      </c>
      <c r="AJ173" s="96" t="n">
        <f aca="false">AI173</f>
        <v>0</v>
      </c>
      <c r="AK173" s="97" t="n">
        <f aca="false">AI173</f>
        <v>0</v>
      </c>
      <c r="AL173" s="178" t="n">
        <v>47</v>
      </c>
      <c r="AM173" s="165" t="n">
        <v>0.4</v>
      </c>
      <c r="AN173" s="166" t="n">
        <f aca="false">EnergyCurve!AN173*2</f>
        <v>0.34</v>
      </c>
      <c r="AO173" s="166" t="n">
        <f aca="false">EnergyCurve!AO173</f>
        <v>0.153</v>
      </c>
      <c r="AP173" s="166" t="n">
        <f aca="false">AN173*1.25</f>
        <v>0.425</v>
      </c>
      <c r="AQ173" s="166" t="n">
        <f aca="false">EnergyCurve!AQ173*2</f>
        <v>0.34</v>
      </c>
      <c r="AR173" s="166" t="n">
        <f aca="false">EnergyCurve!AR173</f>
        <v>0.136</v>
      </c>
      <c r="AS173" s="166" t="n">
        <f aca="false">EnergyCurve!AS173*1.25</f>
        <v>0.255</v>
      </c>
      <c r="AT173" s="168" t="n">
        <f aca="false">EnergyCurve!AT173*2*2</f>
        <v>7.29020125079811</v>
      </c>
      <c r="AU173" s="169" t="n">
        <f aca="false">EnergyCurve!AU173</f>
        <v>-0.455637578174882</v>
      </c>
      <c r="AV173" s="169" t="n">
        <f aca="false">AT173*1.25</f>
        <v>9.11275156349763</v>
      </c>
      <c r="AW173" s="168" t="n">
        <f aca="false">EnergyCurve!AW173*2*2</f>
        <v>10.116</v>
      </c>
      <c r="AX173" s="169" t="n">
        <f aca="false">EnergyCurve!AX173</f>
        <v>-0.63225</v>
      </c>
      <c r="AY173" s="169" t="n">
        <f aca="false">AW173*1.25</f>
        <v>12.645</v>
      </c>
      <c r="AZ173" s="167" t="n">
        <v>0</v>
      </c>
      <c r="BA173" s="74"/>
      <c r="BQ173" s="108" t="n">
        <v>36907.7428240741</v>
      </c>
      <c r="BR173" s="109" t="n">
        <v>36907.7434490741</v>
      </c>
      <c r="BS173" s="110" t="n">
        <v>41365</v>
      </c>
      <c r="BT173" s="111" t="n">
        <v>0</v>
      </c>
      <c r="BU173" s="112" t="n">
        <v>0</v>
      </c>
      <c r="BV173" s="112" t="n">
        <v>0</v>
      </c>
      <c r="BW173" s="112" t="n">
        <v>0</v>
      </c>
      <c r="BX173" s="113" t="n">
        <v>0</v>
      </c>
      <c r="BZ173" s="110" t="n">
        <v>41153</v>
      </c>
      <c r="CA173" s="116" t="n">
        <v>36.2249984741211</v>
      </c>
      <c r="CB173" s="116" t="n">
        <v>0</v>
      </c>
      <c r="CC173" s="116" t="n">
        <v>0</v>
      </c>
      <c r="CD173" s="116" t="n">
        <v>0</v>
      </c>
      <c r="CE173" s="117" t="n">
        <v>0</v>
      </c>
    </row>
    <row r="174" customFormat="false" ht="12.75" hidden="false" customHeight="false" outlineLevel="0" collapsed="false">
      <c r="A174" s="0" t="n">
        <f aca="true">IF(ISERROR(MATCH(D174,iRefDt,0)),"",MATCH(D174,iRefDt,0))</f>
        <v>165</v>
      </c>
      <c r="B174" s="92" t="n">
        <f aca="false">MATCH(YEAR(D174),iSpreads)</f>
        <v>12</v>
      </c>
      <c r="C174" s="0" t="n">
        <f aca="false">MONTH(D174)</f>
        <v>10</v>
      </c>
      <c r="D174" s="93" t="n">
        <f aca="false">+EnergyCurve!D174</f>
        <v>41183</v>
      </c>
      <c r="E174" s="94" t="n">
        <f aca="false">VLOOKUP($D174,tblPriorPrice,2)</f>
        <v>38.3689994812012</v>
      </c>
      <c r="F174" s="95" t="n">
        <f aca="false">G174-E174</f>
        <v>5.18798827897626E-007</v>
      </c>
      <c r="G174" s="264" t="n">
        <f aca="false">IF(EnergyCurve!G174&lt;200,0.001*EnergyCurve!G174+1,1.2)*EnergyCurve!G174</f>
        <v>38.369</v>
      </c>
      <c r="H174" s="96" t="n">
        <f aca="false">IF(EnergyCurve!H174&lt;200,0.001*EnergyCurve!H174+1,1.2)*EnergyCurve!H174</f>
        <v>33.024</v>
      </c>
      <c r="I174" s="96" t="n">
        <f aca="false">IF(EnergyCurve!I174&lt;200,0.001*EnergyCurve!I174+1,1.2)*EnergyCurve!I174</f>
        <v>66.969</v>
      </c>
      <c r="J174" s="94" t="n">
        <f aca="false">VLOOKUP($D174,tblPriorPrice,3)</f>
        <v>0</v>
      </c>
      <c r="K174" s="95" t="n">
        <f aca="false">L174-J174</f>
        <v>0</v>
      </c>
      <c r="L174" s="264" t="n">
        <v>0</v>
      </c>
      <c r="M174" s="96" t="n">
        <f aca="false">L174</f>
        <v>0</v>
      </c>
      <c r="N174" s="96" t="n">
        <f aca="false">L174</f>
        <v>0</v>
      </c>
      <c r="O174" s="58" t="n">
        <f aca="true">IF($A174="",0,INDEX(tblPosn,$A174,2))</f>
        <v>0</v>
      </c>
      <c r="P174" s="59" t="n">
        <f aca="true">IF($A174="",0,INDEX(tblPosn,$A174,3))</f>
        <v>0</v>
      </c>
      <c r="Q174" s="59" t="n">
        <f aca="true">IF($A174="",0,INDEX(tblPosn,$A174,4))</f>
        <v>0</v>
      </c>
      <c r="R174" s="59" t="n">
        <f aca="true">IF($A174="",0,INDEX(tblPosn,$A174,5))</f>
        <v>0</v>
      </c>
      <c r="S174" s="59" t="n">
        <f aca="true">IF($A174="",0,INDEX(tblPosn,$A174,6))</f>
        <v>0</v>
      </c>
      <c r="T174" s="98" t="n">
        <f aca="false">O174*F174+P174*K174+R174*AC174+S174*AH174/0.72+Q174*X174</f>
        <v>0</v>
      </c>
      <c r="V174" s="161" t="n">
        <f aca="false">D174</f>
        <v>41183</v>
      </c>
      <c r="W174" s="94" t="n">
        <f aca="false">VLOOKUP($D174,tblPriorPrice,4)</f>
        <v>0</v>
      </c>
      <c r="X174" s="162"/>
      <c r="Y174" s="176" t="n">
        <f aca="false">L174</f>
        <v>0</v>
      </c>
      <c r="Z174" s="177" t="n">
        <f aca="false">Y174</f>
        <v>0</v>
      </c>
      <c r="AA174" s="177" t="n">
        <f aca="false">Y174</f>
        <v>0</v>
      </c>
      <c r="AB174" s="94" t="n">
        <f aca="false">VLOOKUP($D174,tblPriorPrice,5)</f>
        <v>0</v>
      </c>
      <c r="AC174" s="162"/>
      <c r="AD174" s="176" t="n">
        <f aca="false">L174</f>
        <v>0</v>
      </c>
      <c r="AE174" s="96" t="n">
        <f aca="false">AD174</f>
        <v>0</v>
      </c>
      <c r="AF174" s="97" t="n">
        <f aca="false">AD174</f>
        <v>0</v>
      </c>
      <c r="AG174" s="94" t="n">
        <f aca="false">VLOOKUP($D174,tblPriorPrice,6)</f>
        <v>0</v>
      </c>
      <c r="AH174" s="182"/>
      <c r="AI174" s="189" t="n">
        <f aca="false">AG174+AH174</f>
        <v>0</v>
      </c>
      <c r="AJ174" s="96" t="n">
        <f aca="false">AI174</f>
        <v>0</v>
      </c>
      <c r="AK174" s="97" t="n">
        <f aca="false">AI174</f>
        <v>0</v>
      </c>
      <c r="AL174" s="178" t="n">
        <v>48</v>
      </c>
      <c r="AM174" s="165" t="n">
        <v>0.4</v>
      </c>
      <c r="AN174" s="166" t="n">
        <f aca="false">EnergyCurve!AN174*2</f>
        <v>0.34</v>
      </c>
      <c r="AO174" s="166" t="n">
        <f aca="false">EnergyCurve!AO174</f>
        <v>0.153</v>
      </c>
      <c r="AP174" s="166" t="n">
        <f aca="false">AN174*1.25</f>
        <v>0.425</v>
      </c>
      <c r="AQ174" s="166" t="n">
        <f aca="false">EnergyCurve!AQ174*2</f>
        <v>0.34</v>
      </c>
      <c r="AR174" s="166" t="n">
        <f aca="false">EnergyCurve!AR174</f>
        <v>0.136</v>
      </c>
      <c r="AS174" s="166" t="n">
        <f aca="false">EnergyCurve!AS174*1.25</f>
        <v>0.255</v>
      </c>
      <c r="AT174" s="168" t="n">
        <f aca="false">EnergyCurve!AT174*2*2</f>
        <v>7.75576329559925</v>
      </c>
      <c r="AU174" s="169" t="n">
        <f aca="false">EnergyCurve!AU174</f>
        <v>-0.484735205974953</v>
      </c>
      <c r="AV174" s="169" t="n">
        <f aca="false">AT174*1.25</f>
        <v>9.69470411949907</v>
      </c>
      <c r="AW174" s="168" t="n">
        <f aca="false">EnergyCurve!AW174*2*2</f>
        <v>9.9276</v>
      </c>
      <c r="AX174" s="169" t="n">
        <f aca="false">EnergyCurve!AX174</f>
        <v>-0.620475</v>
      </c>
      <c r="AY174" s="169" t="n">
        <f aca="false">AW174*1.25</f>
        <v>12.4095</v>
      </c>
      <c r="AZ174" s="167" t="n">
        <v>0</v>
      </c>
      <c r="BA174" s="74"/>
      <c r="BQ174" s="108" t="n">
        <v>36907.7428240741</v>
      </c>
      <c r="BR174" s="109" t="n">
        <v>36907.7434490741</v>
      </c>
      <c r="BS174" s="110" t="n">
        <v>41395</v>
      </c>
      <c r="BT174" s="111" t="n">
        <v>0</v>
      </c>
      <c r="BU174" s="112" t="n">
        <v>0</v>
      </c>
      <c r="BV174" s="112" t="n">
        <v>0</v>
      </c>
      <c r="BW174" s="112" t="n">
        <v>0</v>
      </c>
      <c r="BX174" s="113" t="n">
        <v>0</v>
      </c>
      <c r="BZ174" s="110" t="n">
        <v>41183</v>
      </c>
      <c r="CA174" s="116" t="n">
        <v>38.3689994812012</v>
      </c>
      <c r="CB174" s="116" t="n">
        <v>0</v>
      </c>
      <c r="CC174" s="116" t="n">
        <v>0</v>
      </c>
      <c r="CD174" s="116" t="n">
        <v>0</v>
      </c>
      <c r="CE174" s="117" t="n">
        <v>0</v>
      </c>
    </row>
    <row r="175" customFormat="false" ht="12.75" hidden="false" customHeight="false" outlineLevel="0" collapsed="false">
      <c r="A175" s="0" t="n">
        <f aca="true">IF(ISERROR(MATCH(D175,iRefDt,0)),"",MATCH(D175,iRefDt,0))</f>
        <v>166</v>
      </c>
      <c r="B175" s="92" t="n">
        <f aca="false">MATCH(YEAR(D175),iSpreads)</f>
        <v>12</v>
      </c>
      <c r="C175" s="0" t="n">
        <f aca="false">MONTH(D175)</f>
        <v>11</v>
      </c>
      <c r="D175" s="93" t="n">
        <f aca="false">+EnergyCurve!D175</f>
        <v>41214</v>
      </c>
      <c r="E175" s="94" t="n">
        <f aca="false">VLOOKUP($D175,tblPriorPrice,2)</f>
        <v>31.9610004425049</v>
      </c>
      <c r="F175" s="95" t="n">
        <f aca="false">G175-E175</f>
        <v>-4.42504884290429E-007</v>
      </c>
      <c r="G175" s="264" t="n">
        <f aca="false">IF(EnergyCurve!G175&lt;200,0.001*EnergyCurve!G175+1,1.2)*EnergyCurve!G175</f>
        <v>31.961</v>
      </c>
      <c r="H175" s="96" t="n">
        <f aca="false">IF(EnergyCurve!H175&lt;200,0.001*EnergyCurve!H175+1,1.2)*EnergyCurve!H175</f>
        <v>26.676</v>
      </c>
      <c r="I175" s="96" t="n">
        <f aca="false">IF(EnergyCurve!I175&lt;200,0.001*EnergyCurve!I175+1,1.2)*EnergyCurve!I175</f>
        <v>60.249</v>
      </c>
      <c r="J175" s="94" t="n">
        <f aca="false">VLOOKUP($D175,tblPriorPrice,3)</f>
        <v>0</v>
      </c>
      <c r="K175" s="95" t="n">
        <f aca="false">L175-J175</f>
        <v>0</v>
      </c>
      <c r="L175" s="264" t="n">
        <v>0</v>
      </c>
      <c r="M175" s="96" t="n">
        <f aca="false">L175</f>
        <v>0</v>
      </c>
      <c r="N175" s="96" t="n">
        <f aca="false">L175</f>
        <v>0</v>
      </c>
      <c r="O175" s="58" t="n">
        <f aca="true">IF($A175="",0,INDEX(tblPosn,$A175,2))</f>
        <v>0</v>
      </c>
      <c r="P175" s="59" t="n">
        <f aca="true">IF($A175="",0,INDEX(tblPosn,$A175,3))</f>
        <v>0</v>
      </c>
      <c r="Q175" s="59" t="n">
        <f aca="true">IF($A175="",0,INDEX(tblPosn,$A175,4))</f>
        <v>0</v>
      </c>
      <c r="R175" s="59" t="n">
        <f aca="true">IF($A175="",0,INDEX(tblPosn,$A175,5))</f>
        <v>0</v>
      </c>
      <c r="S175" s="59" t="n">
        <f aca="true">IF($A175="",0,INDEX(tblPosn,$A175,6))</f>
        <v>0</v>
      </c>
      <c r="T175" s="98" t="n">
        <f aca="false">O175*F175+P175*K175+R175*AC175+S175*AH175/0.72+Q175*X175</f>
        <v>0</v>
      </c>
      <c r="V175" s="161" t="n">
        <f aca="false">D175</f>
        <v>41214</v>
      </c>
      <c r="W175" s="94" t="n">
        <f aca="false">VLOOKUP($D175,tblPriorPrice,4)</f>
        <v>0</v>
      </c>
      <c r="X175" s="162"/>
      <c r="Y175" s="176" t="n">
        <f aca="false">L175</f>
        <v>0</v>
      </c>
      <c r="Z175" s="177" t="n">
        <f aca="false">Y175</f>
        <v>0</v>
      </c>
      <c r="AA175" s="177" t="n">
        <f aca="false">Y175</f>
        <v>0</v>
      </c>
      <c r="AB175" s="94" t="n">
        <f aca="false">VLOOKUP($D175,tblPriorPrice,5)</f>
        <v>0</v>
      </c>
      <c r="AC175" s="162"/>
      <c r="AD175" s="176" t="n">
        <f aca="false">L175</f>
        <v>0</v>
      </c>
      <c r="AE175" s="96" t="n">
        <f aca="false">AD175</f>
        <v>0</v>
      </c>
      <c r="AF175" s="97" t="n">
        <f aca="false">AD175</f>
        <v>0</v>
      </c>
      <c r="AG175" s="94" t="n">
        <f aca="false">VLOOKUP($D175,tblPriorPrice,6)</f>
        <v>0</v>
      </c>
      <c r="AH175" s="182"/>
      <c r="AI175" s="189" t="n">
        <f aca="false">AG175+AH175</f>
        <v>0</v>
      </c>
      <c r="AJ175" s="96" t="n">
        <f aca="false">AI175</f>
        <v>0</v>
      </c>
      <c r="AK175" s="97" t="n">
        <f aca="false">AI175</f>
        <v>0</v>
      </c>
      <c r="AL175" s="178" t="n">
        <v>48</v>
      </c>
      <c r="AM175" s="165" t="n">
        <v>0.4</v>
      </c>
      <c r="AN175" s="166" t="n">
        <f aca="false">EnergyCurve!AN175*2</f>
        <v>0.34</v>
      </c>
      <c r="AO175" s="166" t="n">
        <f aca="false">EnergyCurve!AO175</f>
        <v>0.153</v>
      </c>
      <c r="AP175" s="166" t="n">
        <f aca="false">AN175*1.25</f>
        <v>0.425</v>
      </c>
      <c r="AQ175" s="166" t="n">
        <f aca="false">EnergyCurve!AQ175*2</f>
        <v>0.34</v>
      </c>
      <c r="AR175" s="166" t="n">
        <f aca="false">EnergyCurve!AR175</f>
        <v>0.136</v>
      </c>
      <c r="AS175" s="166" t="n">
        <f aca="false">EnergyCurve!AS175*1.25</f>
        <v>0.255</v>
      </c>
      <c r="AT175" s="168" t="n">
        <f aca="false">EnergyCurve!AT175*2*2</f>
        <v>6.56235962744143</v>
      </c>
      <c r="AU175" s="169" t="n">
        <f aca="false">EnergyCurve!AU175</f>
        <v>-0.410147476715089</v>
      </c>
      <c r="AV175" s="169" t="n">
        <f aca="false">AT175*1.25</f>
        <v>8.20294953430178</v>
      </c>
      <c r="AW175" s="168" t="n">
        <f aca="false">EnergyCurve!AW175*2*2</f>
        <v>10.4928</v>
      </c>
      <c r="AX175" s="169" t="n">
        <f aca="false">EnergyCurve!AX175</f>
        <v>-0.6558</v>
      </c>
      <c r="AY175" s="169" t="n">
        <f aca="false">AW175*1.25</f>
        <v>13.116</v>
      </c>
      <c r="AZ175" s="167" t="n">
        <v>0</v>
      </c>
      <c r="BA175" s="74"/>
      <c r="BQ175" s="108" t="n">
        <v>36907.7428240741</v>
      </c>
      <c r="BR175" s="109" t="n">
        <v>36907.7434490741</v>
      </c>
      <c r="BS175" s="110" t="n">
        <v>41426</v>
      </c>
      <c r="BT175" s="111" t="n">
        <v>0</v>
      </c>
      <c r="BU175" s="112" t="n">
        <v>0</v>
      </c>
      <c r="BV175" s="112" t="n">
        <v>0</v>
      </c>
      <c r="BW175" s="112" t="n">
        <v>0</v>
      </c>
      <c r="BX175" s="113" t="n">
        <v>0</v>
      </c>
      <c r="BZ175" s="110" t="n">
        <v>41214</v>
      </c>
      <c r="CA175" s="116" t="n">
        <v>31.9610004425049</v>
      </c>
      <c r="CB175" s="116" t="n">
        <v>0</v>
      </c>
      <c r="CC175" s="116" t="n">
        <v>0</v>
      </c>
      <c r="CD175" s="116" t="n">
        <v>0</v>
      </c>
      <c r="CE175" s="117" t="n">
        <v>0</v>
      </c>
    </row>
    <row r="176" customFormat="false" ht="12.75" hidden="false" customHeight="false" outlineLevel="0" collapsed="false">
      <c r="A176" s="0" t="n">
        <f aca="true">IF(ISERROR(MATCH(D176,iRefDt,0)),"",MATCH(D176,iRefDt,0))</f>
        <v>167</v>
      </c>
      <c r="B176" s="92" t="n">
        <f aca="false">MATCH(YEAR(D176),iSpreads)</f>
        <v>12</v>
      </c>
      <c r="C176" s="0" t="n">
        <f aca="false">MONTH(D176)</f>
        <v>12</v>
      </c>
      <c r="D176" s="93" t="n">
        <f aca="false">+EnergyCurve!D176</f>
        <v>41244</v>
      </c>
      <c r="E176" s="94" t="n">
        <f aca="false">VLOOKUP($D176,tblPriorPrice,2)</f>
        <v>33.0239982604981</v>
      </c>
      <c r="F176" s="95" t="n">
        <f aca="false">G176-E176</f>
        <v>1.73950195403449E-006</v>
      </c>
      <c r="G176" s="264" t="n">
        <f aca="false">IF(EnergyCurve!G176&lt;200,0.001*EnergyCurve!G176+1,1.2)*EnergyCurve!G176</f>
        <v>33.024</v>
      </c>
      <c r="H176" s="96" t="n">
        <f aca="false">IF(EnergyCurve!H176&lt;200,0.001*EnergyCurve!H176+1,1.2)*EnergyCurve!H176</f>
        <v>27.729</v>
      </c>
      <c r="I176" s="96" t="n">
        <f aca="false">IF(EnergyCurve!I176&lt;200,0.001*EnergyCurve!I176+1,1.2)*EnergyCurve!I176</f>
        <v>61.364</v>
      </c>
      <c r="J176" s="94" t="n">
        <f aca="false">VLOOKUP($D176,tblPriorPrice,3)</f>
        <v>0</v>
      </c>
      <c r="K176" s="95" t="n">
        <f aca="false">L176-J176</f>
        <v>0</v>
      </c>
      <c r="L176" s="264" t="n">
        <v>0</v>
      </c>
      <c r="M176" s="96" t="n">
        <f aca="false">L176</f>
        <v>0</v>
      </c>
      <c r="N176" s="96" t="n">
        <f aca="false">L176</f>
        <v>0</v>
      </c>
      <c r="O176" s="58" t="n">
        <f aca="true">IF($A176="",0,INDEX(tblPosn,$A176,2))</f>
        <v>0</v>
      </c>
      <c r="P176" s="59" t="n">
        <f aca="true">IF($A176="",0,INDEX(tblPosn,$A176,3))</f>
        <v>0</v>
      </c>
      <c r="Q176" s="59" t="n">
        <f aca="true">IF($A176="",0,INDEX(tblPosn,$A176,4))</f>
        <v>0</v>
      </c>
      <c r="R176" s="59" t="n">
        <f aca="true">IF($A176="",0,INDEX(tblPosn,$A176,5))</f>
        <v>0</v>
      </c>
      <c r="S176" s="59" t="n">
        <f aca="true">IF($A176="",0,INDEX(tblPosn,$A176,6))</f>
        <v>0</v>
      </c>
      <c r="T176" s="98" t="n">
        <f aca="false">O176*F176+P176*K176+R176*AC176+S176*AH176/0.72+Q176*X176</f>
        <v>0</v>
      </c>
      <c r="V176" s="161" t="n">
        <f aca="false">D176</f>
        <v>41244</v>
      </c>
      <c r="W176" s="94" t="n">
        <f aca="false">VLOOKUP($D176,tblPriorPrice,4)</f>
        <v>0</v>
      </c>
      <c r="X176" s="162"/>
      <c r="Y176" s="176" t="n">
        <f aca="false">L176</f>
        <v>0</v>
      </c>
      <c r="Z176" s="177" t="n">
        <f aca="false">Y176</f>
        <v>0</v>
      </c>
      <c r="AA176" s="177" t="n">
        <f aca="false">Y176</f>
        <v>0</v>
      </c>
      <c r="AB176" s="94" t="n">
        <f aca="false">VLOOKUP($D176,tblPriorPrice,5)</f>
        <v>0</v>
      </c>
      <c r="AC176" s="162"/>
      <c r="AD176" s="176" t="n">
        <f aca="false">L176</f>
        <v>0</v>
      </c>
      <c r="AE176" s="96" t="n">
        <f aca="false">AD176</f>
        <v>0</v>
      </c>
      <c r="AF176" s="97" t="n">
        <f aca="false">AD176</f>
        <v>0</v>
      </c>
      <c r="AG176" s="94" t="n">
        <f aca="false">VLOOKUP($D176,tblPriorPrice,6)</f>
        <v>0</v>
      </c>
      <c r="AH176" s="182"/>
      <c r="AI176" s="189" t="n">
        <f aca="false">AG176+AH176</f>
        <v>0</v>
      </c>
      <c r="AJ176" s="96" t="n">
        <f aca="false">AI176</f>
        <v>0</v>
      </c>
      <c r="AK176" s="97" t="n">
        <f aca="false">AI176</f>
        <v>0</v>
      </c>
      <c r="AL176" s="178" t="n">
        <v>48</v>
      </c>
      <c r="AM176" s="165" t="n">
        <v>0.4</v>
      </c>
      <c r="AN176" s="166" t="n">
        <f aca="false">EnergyCurve!AN176*2</f>
        <v>0.34</v>
      </c>
      <c r="AO176" s="166" t="n">
        <f aca="false">EnergyCurve!AO176</f>
        <v>0.153</v>
      </c>
      <c r="AP176" s="166" t="n">
        <f aca="false">AN176*1.25</f>
        <v>0.425</v>
      </c>
      <c r="AQ176" s="166" t="n">
        <f aca="false">EnergyCurve!AQ176*2</f>
        <v>0.34</v>
      </c>
      <c r="AR176" s="166" t="n">
        <f aca="false">EnergyCurve!AR176</f>
        <v>0.136</v>
      </c>
      <c r="AS176" s="166" t="n">
        <f aca="false">EnergyCurve!AS176*1.25</f>
        <v>0.255</v>
      </c>
      <c r="AT176" s="168" t="n">
        <f aca="false">EnergyCurve!AT176*2*2</f>
        <v>6.71448638739126</v>
      </c>
      <c r="AU176" s="169" t="n">
        <f aca="false">EnergyCurve!AU176</f>
        <v>-0.419655399211954</v>
      </c>
      <c r="AV176" s="169" t="n">
        <f aca="false">AT176*1.25</f>
        <v>8.39310798423907</v>
      </c>
      <c r="AW176" s="168" t="n">
        <f aca="false">EnergyCurve!AW176*2*2</f>
        <v>10.6812</v>
      </c>
      <c r="AX176" s="169" t="n">
        <f aca="false">EnergyCurve!AX176</f>
        <v>-0.667575</v>
      </c>
      <c r="AY176" s="169" t="n">
        <f aca="false">AW176*1.25</f>
        <v>13.3515</v>
      </c>
      <c r="AZ176" s="167" t="n">
        <v>0</v>
      </c>
      <c r="BA176" s="74"/>
      <c r="BQ176" s="108" t="n">
        <v>36907.7428240741</v>
      </c>
      <c r="BR176" s="109" t="n">
        <v>36907.7434490741</v>
      </c>
      <c r="BS176" s="110" t="n">
        <v>41456</v>
      </c>
      <c r="BT176" s="111" t="n">
        <v>0</v>
      </c>
      <c r="BU176" s="112" t="n">
        <v>0</v>
      </c>
      <c r="BV176" s="112" t="n">
        <v>0</v>
      </c>
      <c r="BW176" s="112" t="n">
        <v>0</v>
      </c>
      <c r="BX176" s="113" t="n">
        <v>0</v>
      </c>
      <c r="BZ176" s="110" t="n">
        <v>41244</v>
      </c>
      <c r="CA176" s="116" t="n">
        <v>33.0239982604981</v>
      </c>
      <c r="CB176" s="116" t="n">
        <v>0</v>
      </c>
      <c r="CC176" s="116" t="n">
        <v>0</v>
      </c>
      <c r="CD176" s="116" t="n">
        <v>0</v>
      </c>
      <c r="CE176" s="117" t="n">
        <v>0</v>
      </c>
    </row>
    <row r="177" customFormat="false" ht="12.75" hidden="false" customHeight="false" outlineLevel="0" collapsed="false">
      <c r="A177" s="0" t="n">
        <f aca="true">IF(ISERROR(MATCH(D177,iRefDt,0)),"",MATCH(D177,iRefDt,0))</f>
        <v>168</v>
      </c>
      <c r="B177" s="92" t="n">
        <f aca="false">MATCH(YEAR(D177),iSpreads)</f>
        <v>13</v>
      </c>
      <c r="C177" s="0" t="n">
        <f aca="false">MONTH(D177)</f>
        <v>1</v>
      </c>
      <c r="D177" s="93" t="n">
        <f aca="false">+EnergyCurve!D177</f>
        <v>41275</v>
      </c>
      <c r="E177" s="94" t="n">
        <f aca="false">VLOOKUP($D177,tblPriorPrice,2)</f>
        <v>34.0890007019043</v>
      </c>
      <c r="F177" s="95" t="n">
        <f aca="false">G177-E177</f>
        <v>-7.01904298239242E-007</v>
      </c>
      <c r="G177" s="264" t="n">
        <f aca="false">IF(EnergyCurve!G177&lt;200,0.001*EnergyCurve!G177+1,1.2)*EnergyCurve!G177</f>
        <v>34.089</v>
      </c>
      <c r="H177" s="96" t="n">
        <f aca="false">IF(EnergyCurve!H177&lt;200,0.001*EnergyCurve!H177+1,1.2)*EnergyCurve!H177</f>
        <v>28.784</v>
      </c>
      <c r="I177" s="96" t="n">
        <f aca="false">IF(EnergyCurve!I177&lt;200,0.001*EnergyCurve!I177+1,1.2)*EnergyCurve!I177</f>
        <v>63.6</v>
      </c>
      <c r="J177" s="94" t="n">
        <f aca="false">VLOOKUP($D177,tblPriorPrice,3)</f>
        <v>0</v>
      </c>
      <c r="K177" s="95" t="n">
        <f aca="false">L177-J177</f>
        <v>0</v>
      </c>
      <c r="L177" s="264" t="n">
        <v>0</v>
      </c>
      <c r="M177" s="96" t="n">
        <f aca="false">L177</f>
        <v>0</v>
      </c>
      <c r="N177" s="96" t="n">
        <f aca="false">L177</f>
        <v>0</v>
      </c>
      <c r="O177" s="58" t="n">
        <f aca="true">IF($A177="",0,INDEX(tblPosn,$A177,2))</f>
        <v>0</v>
      </c>
      <c r="P177" s="59" t="n">
        <f aca="true">IF($A177="",0,INDEX(tblPosn,$A177,3))</f>
        <v>0</v>
      </c>
      <c r="Q177" s="59" t="n">
        <f aca="true">IF($A177="",0,INDEX(tblPosn,$A177,4))</f>
        <v>0</v>
      </c>
      <c r="R177" s="59" t="n">
        <f aca="true">IF($A177="",0,INDEX(tblPosn,$A177,5))</f>
        <v>0</v>
      </c>
      <c r="S177" s="59" t="n">
        <f aca="true">IF($A177="",0,INDEX(tblPosn,$A177,6))</f>
        <v>0</v>
      </c>
      <c r="T177" s="98" t="n">
        <f aca="false">O177*F177+P177*K177+R177*AC177+S177*AH177/0.72+Q177*X177</f>
        <v>0</v>
      </c>
      <c r="V177" s="161" t="n">
        <f aca="false">D177</f>
        <v>41275</v>
      </c>
      <c r="W177" s="94" t="n">
        <f aca="false">VLOOKUP($D177,tblPriorPrice,4)</f>
        <v>0</v>
      </c>
      <c r="X177" s="162"/>
      <c r="Y177" s="176" t="n">
        <f aca="false">L177</f>
        <v>0</v>
      </c>
      <c r="Z177" s="177" t="n">
        <f aca="false">Y177</f>
        <v>0</v>
      </c>
      <c r="AA177" s="177" t="n">
        <f aca="false">Y177</f>
        <v>0</v>
      </c>
      <c r="AB177" s="94" t="n">
        <f aca="false">VLOOKUP($D177,tblPriorPrice,5)</f>
        <v>0</v>
      </c>
      <c r="AC177" s="162"/>
      <c r="AD177" s="176" t="n">
        <f aca="false">L177</f>
        <v>0</v>
      </c>
      <c r="AE177" s="96" t="n">
        <f aca="false">AD177</f>
        <v>0</v>
      </c>
      <c r="AF177" s="97" t="n">
        <f aca="false">AD177</f>
        <v>0</v>
      </c>
      <c r="AG177" s="94" t="n">
        <f aca="false">VLOOKUP($D177,tblPriorPrice,6)</f>
        <v>0</v>
      </c>
      <c r="AH177" s="182"/>
      <c r="AI177" s="189" t="n">
        <f aca="false">AG177+AH177</f>
        <v>0</v>
      </c>
      <c r="AJ177" s="96" t="n">
        <f aca="false">AI177</f>
        <v>0</v>
      </c>
      <c r="AK177" s="97" t="n">
        <f aca="false">AI177</f>
        <v>0</v>
      </c>
      <c r="AL177" s="178" t="n">
        <v>49</v>
      </c>
      <c r="AM177" s="165" t="n">
        <v>0.4</v>
      </c>
      <c r="AN177" s="166" t="n">
        <f aca="false">EnergyCurve!AN177*2</f>
        <v>0.34</v>
      </c>
      <c r="AO177" s="166" t="n">
        <f aca="false">EnergyCurve!AO177</f>
        <v>0.153</v>
      </c>
      <c r="AP177" s="166" t="n">
        <f aca="false">AN177*1.25</f>
        <v>0.425</v>
      </c>
      <c r="AQ177" s="166" t="n">
        <f aca="false">EnergyCurve!AQ177*2</f>
        <v>0.34</v>
      </c>
      <c r="AR177" s="166" t="n">
        <f aca="false">EnergyCurve!AR177</f>
        <v>0.136</v>
      </c>
      <c r="AS177" s="166" t="n">
        <f aca="false">EnergyCurve!AS177*1.25</f>
        <v>0.255</v>
      </c>
      <c r="AT177" s="168" t="n">
        <f aca="false">EnergyCurve!AT177*2*2</f>
        <v>6.88781730529552</v>
      </c>
      <c r="AU177" s="169" t="n">
        <f aca="false">EnergyCurve!AU177</f>
        <v>-0.43048858158097</v>
      </c>
      <c r="AV177" s="169" t="n">
        <f aca="false">AT177*1.25</f>
        <v>8.60977163161941</v>
      </c>
      <c r="AW177" s="168" t="n">
        <f aca="false">EnergyCurve!AW177*2*2</f>
        <v>10.4928</v>
      </c>
      <c r="AX177" s="169" t="n">
        <f aca="false">EnergyCurve!AX177</f>
        <v>-0.6558</v>
      </c>
      <c r="AY177" s="169" t="n">
        <f aca="false">AW177*1.25</f>
        <v>13.116</v>
      </c>
      <c r="AZ177" s="167" t="n">
        <v>0</v>
      </c>
      <c r="BA177" s="74"/>
      <c r="BQ177" s="108" t="n">
        <v>36907.7428240741</v>
      </c>
      <c r="BR177" s="109" t="n">
        <v>36907.7434490741</v>
      </c>
      <c r="BS177" s="110" t="n">
        <v>41487</v>
      </c>
      <c r="BT177" s="111" t="n">
        <v>0</v>
      </c>
      <c r="BU177" s="112" t="n">
        <v>0</v>
      </c>
      <c r="BV177" s="112" t="n">
        <v>0</v>
      </c>
      <c r="BW177" s="112" t="n">
        <v>0</v>
      </c>
      <c r="BX177" s="113" t="n">
        <v>0</v>
      </c>
      <c r="BZ177" s="110" t="n">
        <v>41275</v>
      </c>
      <c r="CA177" s="116" t="n">
        <v>34.0890007019043</v>
      </c>
      <c r="CB177" s="116" t="n">
        <v>0</v>
      </c>
      <c r="CC177" s="116" t="n">
        <v>0</v>
      </c>
      <c r="CD177" s="116" t="n">
        <v>0</v>
      </c>
      <c r="CE177" s="117" t="n">
        <v>0</v>
      </c>
    </row>
    <row r="178" customFormat="false" ht="12.75" hidden="false" customHeight="false" outlineLevel="0" collapsed="false">
      <c r="A178" s="0" t="n">
        <f aca="true">IF(ISERROR(MATCH(D178,iRefDt,0)),"",MATCH(D178,iRefDt,0))</f>
        <v>169</v>
      </c>
      <c r="B178" s="92" t="n">
        <f aca="false">MATCH(YEAR(D178),iSpreads)</f>
        <v>13</v>
      </c>
      <c r="C178" s="0" t="n">
        <f aca="false">MONTH(D178)</f>
        <v>2</v>
      </c>
      <c r="D178" s="93" t="n">
        <f aca="false">+EnergyCurve!D178</f>
        <v>41306</v>
      </c>
      <c r="E178" s="94" t="n">
        <f aca="false">VLOOKUP($D178,tblPriorPrice,2)</f>
        <v>30.8999996185303</v>
      </c>
      <c r="F178" s="95" t="n">
        <f aca="false">G178-E178</f>
        <v>3.81469728694128E-007</v>
      </c>
      <c r="G178" s="264" t="n">
        <f aca="false">IF(EnergyCurve!G178&lt;200,0.001*EnergyCurve!G178+1,1.2)*EnergyCurve!G178</f>
        <v>30.9</v>
      </c>
      <c r="H178" s="96" t="n">
        <f aca="false">IF(EnergyCurve!H178&lt;200,0.001*EnergyCurve!H178+1,1.2)*EnergyCurve!H178</f>
        <v>25.625</v>
      </c>
      <c r="I178" s="96" t="n">
        <f aca="false">IF(EnergyCurve!I178&lt;200,0.001*EnergyCurve!I178+1,1.2)*EnergyCurve!I178</f>
        <v>60.249</v>
      </c>
      <c r="J178" s="94" t="n">
        <f aca="false">VLOOKUP($D178,tblPriorPrice,3)</f>
        <v>0</v>
      </c>
      <c r="K178" s="95" t="n">
        <f aca="false">L178-J178</f>
        <v>0</v>
      </c>
      <c r="L178" s="264" t="n">
        <v>0</v>
      </c>
      <c r="M178" s="96" t="n">
        <f aca="false">L178</f>
        <v>0</v>
      </c>
      <c r="N178" s="96" t="n">
        <f aca="false">L178</f>
        <v>0</v>
      </c>
      <c r="O178" s="58" t="n">
        <f aca="true">IF($A178="",0,INDEX(tblPosn,$A178,2))</f>
        <v>0</v>
      </c>
      <c r="P178" s="59" t="n">
        <f aca="true">IF($A178="",0,INDEX(tblPosn,$A178,3))</f>
        <v>0</v>
      </c>
      <c r="Q178" s="59" t="n">
        <f aca="true">IF($A178="",0,INDEX(tblPosn,$A178,4))</f>
        <v>0</v>
      </c>
      <c r="R178" s="59" t="n">
        <f aca="true">IF($A178="",0,INDEX(tblPosn,$A178,5))</f>
        <v>0</v>
      </c>
      <c r="S178" s="59" t="n">
        <f aca="true">IF($A178="",0,INDEX(tblPosn,$A178,6))</f>
        <v>0</v>
      </c>
      <c r="T178" s="98" t="n">
        <f aca="false">O178*F178+P178*K178+R178*AC178+S178*AH178/0.72+Q178*X178</f>
        <v>0</v>
      </c>
      <c r="V178" s="161" t="n">
        <f aca="false">D178</f>
        <v>41306</v>
      </c>
      <c r="W178" s="94" t="n">
        <f aca="false">VLOOKUP($D178,tblPriorPrice,4)</f>
        <v>0</v>
      </c>
      <c r="X178" s="162"/>
      <c r="Y178" s="176" t="n">
        <f aca="false">L178</f>
        <v>0</v>
      </c>
      <c r="Z178" s="177" t="n">
        <f aca="false">Y178</f>
        <v>0</v>
      </c>
      <c r="AA178" s="177" t="n">
        <f aca="false">Y178</f>
        <v>0</v>
      </c>
      <c r="AB178" s="94" t="n">
        <f aca="false">VLOOKUP($D178,tblPriorPrice,5)</f>
        <v>0</v>
      </c>
      <c r="AC178" s="162"/>
      <c r="AD178" s="176" t="n">
        <f aca="false">L178</f>
        <v>0</v>
      </c>
      <c r="AE178" s="96" t="n">
        <f aca="false">AD178</f>
        <v>0</v>
      </c>
      <c r="AF178" s="97" t="n">
        <f aca="false">AD178</f>
        <v>0</v>
      </c>
      <c r="AG178" s="94" t="n">
        <f aca="false">VLOOKUP($D178,tblPriorPrice,6)</f>
        <v>0</v>
      </c>
      <c r="AH178" s="182"/>
      <c r="AI178" s="189" t="n">
        <f aca="false">AG178+AH178</f>
        <v>0</v>
      </c>
      <c r="AJ178" s="96" t="n">
        <f aca="false">AI178</f>
        <v>0</v>
      </c>
      <c r="AK178" s="97" t="n">
        <f aca="false">AI178</f>
        <v>0</v>
      </c>
      <c r="AL178" s="178" t="n">
        <v>49</v>
      </c>
      <c r="AM178" s="165" t="n">
        <v>0.4</v>
      </c>
      <c r="AN178" s="166" t="n">
        <f aca="false">EnergyCurve!AN178*2</f>
        <v>0.34</v>
      </c>
      <c r="AO178" s="166" t="n">
        <f aca="false">EnergyCurve!AO178</f>
        <v>0.153</v>
      </c>
      <c r="AP178" s="166" t="n">
        <f aca="false">AN178*1.25</f>
        <v>0.425</v>
      </c>
      <c r="AQ178" s="166" t="n">
        <f aca="false">EnergyCurve!AQ178*2</f>
        <v>0.34</v>
      </c>
      <c r="AR178" s="166" t="n">
        <f aca="false">EnergyCurve!AR178</f>
        <v>0.136</v>
      </c>
      <c r="AS178" s="166" t="n">
        <f aca="false">EnergyCurve!AS178*1.25</f>
        <v>0.255</v>
      </c>
      <c r="AT178" s="168" t="n">
        <f aca="false">EnergyCurve!AT178*2*2</f>
        <v>6.43371807382396</v>
      </c>
      <c r="AU178" s="169" t="n">
        <f aca="false">EnergyCurve!AU178</f>
        <v>-0.402107379613998</v>
      </c>
      <c r="AV178" s="169" t="n">
        <f aca="false">AT178*1.25</f>
        <v>8.04214759227995</v>
      </c>
      <c r="AW178" s="168" t="n">
        <f aca="false">EnergyCurve!AW178*2*2</f>
        <v>10.587</v>
      </c>
      <c r="AX178" s="169" t="n">
        <f aca="false">EnergyCurve!AX178</f>
        <v>-0.6616875</v>
      </c>
      <c r="AY178" s="169" t="n">
        <f aca="false">AW178*1.25</f>
        <v>13.23375</v>
      </c>
      <c r="AZ178" s="167" t="n">
        <v>0</v>
      </c>
      <c r="BA178" s="74"/>
      <c r="BQ178" s="108" t="n">
        <v>36907.7428240741</v>
      </c>
      <c r="BR178" s="109" t="n">
        <v>36907.7434490741</v>
      </c>
      <c r="BS178" s="110" t="n">
        <v>41518</v>
      </c>
      <c r="BT178" s="111" t="n">
        <v>0</v>
      </c>
      <c r="BU178" s="112" t="n">
        <v>0</v>
      </c>
      <c r="BV178" s="112" t="n">
        <v>0</v>
      </c>
      <c r="BW178" s="112" t="n">
        <v>0</v>
      </c>
      <c r="BX178" s="113" t="n">
        <v>0</v>
      </c>
      <c r="BZ178" s="110" t="n">
        <v>41306</v>
      </c>
      <c r="CA178" s="116" t="n">
        <v>30.8999996185303</v>
      </c>
      <c r="CB178" s="116" t="n">
        <v>0</v>
      </c>
      <c r="CC178" s="116" t="n">
        <v>0</v>
      </c>
      <c r="CD178" s="116" t="n">
        <v>0</v>
      </c>
      <c r="CE178" s="117" t="n">
        <v>0</v>
      </c>
    </row>
    <row r="179" customFormat="false" ht="12.75" hidden="false" customHeight="false" outlineLevel="0" collapsed="false">
      <c r="A179" s="0" t="n">
        <f aca="true">IF(ISERROR(MATCH(D179,iRefDt,0)),"",MATCH(D179,iRefDt,0))</f>
        <v>170</v>
      </c>
      <c r="B179" s="92" t="n">
        <f aca="false">MATCH(YEAR(D179),iSpreads)</f>
        <v>13</v>
      </c>
      <c r="C179" s="0" t="n">
        <f aca="false">MONTH(D179)</f>
        <v>3</v>
      </c>
      <c r="D179" s="93" t="n">
        <f aca="false">+EnergyCurve!D179</f>
        <v>41334</v>
      </c>
      <c r="E179" s="94" t="n">
        <f aca="false">VLOOKUP($D179,tblPriorPrice,2)</f>
        <v>29.8409996032715</v>
      </c>
      <c r="F179" s="95" t="n">
        <f aca="false">G179-E179</f>
        <v>3.96728513152311E-007</v>
      </c>
      <c r="G179" s="264" t="n">
        <f aca="false">IF(EnergyCurve!G179&lt;200,0.001*EnergyCurve!G179+1,1.2)*EnergyCurve!G179</f>
        <v>29.841</v>
      </c>
      <c r="H179" s="96" t="n">
        <f aca="false">IF(EnergyCurve!H179&lt;200,0.001*EnergyCurve!H179+1,1.2)*EnergyCurve!H179</f>
        <v>24.576</v>
      </c>
      <c r="I179" s="96" t="n">
        <f aca="false">IF(EnergyCurve!I179&lt;200,0.001*EnergyCurve!I179+1,1.2)*EnergyCurve!I179</f>
        <v>59.136</v>
      </c>
      <c r="J179" s="94" t="n">
        <f aca="false">VLOOKUP($D179,tblPriorPrice,3)</f>
        <v>0</v>
      </c>
      <c r="K179" s="95" t="n">
        <f aca="false">L179-J179</f>
        <v>0</v>
      </c>
      <c r="L179" s="264" t="n">
        <v>0</v>
      </c>
      <c r="M179" s="96" t="n">
        <f aca="false">L179</f>
        <v>0</v>
      </c>
      <c r="N179" s="96" t="n">
        <f aca="false">L179</f>
        <v>0</v>
      </c>
      <c r="O179" s="58" t="n">
        <f aca="true">IF($A179="",0,INDEX(tblPosn,$A179,2))</f>
        <v>0</v>
      </c>
      <c r="P179" s="59" t="n">
        <f aca="true">IF($A179="",0,INDEX(tblPosn,$A179,3))</f>
        <v>0</v>
      </c>
      <c r="Q179" s="59" t="n">
        <f aca="true">IF($A179="",0,INDEX(tblPosn,$A179,4))</f>
        <v>0</v>
      </c>
      <c r="R179" s="59" t="n">
        <f aca="true">IF($A179="",0,INDEX(tblPosn,$A179,5))</f>
        <v>0</v>
      </c>
      <c r="S179" s="59" t="n">
        <f aca="true">IF($A179="",0,INDEX(tblPosn,$A179,6))</f>
        <v>0</v>
      </c>
      <c r="T179" s="98" t="n">
        <f aca="false">O179*F179+P179*K179+R179*AC179+S179*AH179/0.72+Q179*X179</f>
        <v>0</v>
      </c>
      <c r="V179" s="161" t="n">
        <f aca="false">D179</f>
        <v>41334</v>
      </c>
      <c r="W179" s="94" t="n">
        <f aca="false">VLOOKUP($D179,tblPriorPrice,4)</f>
        <v>0</v>
      </c>
      <c r="X179" s="162"/>
      <c r="Y179" s="176" t="n">
        <f aca="false">L179</f>
        <v>0</v>
      </c>
      <c r="Z179" s="177" t="n">
        <f aca="false">Y179</f>
        <v>0</v>
      </c>
      <c r="AA179" s="177" t="n">
        <f aca="false">Y179</f>
        <v>0</v>
      </c>
      <c r="AB179" s="94" t="n">
        <f aca="false">VLOOKUP($D179,tblPriorPrice,5)</f>
        <v>0</v>
      </c>
      <c r="AC179" s="162"/>
      <c r="AD179" s="176" t="n">
        <f aca="false">L179</f>
        <v>0</v>
      </c>
      <c r="AE179" s="96" t="n">
        <f aca="false">AD179</f>
        <v>0</v>
      </c>
      <c r="AF179" s="97" t="n">
        <f aca="false">AD179</f>
        <v>0</v>
      </c>
      <c r="AG179" s="94" t="n">
        <f aca="false">VLOOKUP($D179,tblPriorPrice,6)</f>
        <v>0</v>
      </c>
      <c r="AH179" s="182"/>
      <c r="AI179" s="189" t="n">
        <f aca="false">AG179+AH179</f>
        <v>0</v>
      </c>
      <c r="AJ179" s="96" t="n">
        <f aca="false">AI179</f>
        <v>0</v>
      </c>
      <c r="AK179" s="97" t="n">
        <f aca="false">AI179</f>
        <v>0</v>
      </c>
      <c r="AL179" s="178" t="n">
        <v>49</v>
      </c>
      <c r="AM179" s="165" t="n">
        <v>0.4</v>
      </c>
      <c r="AN179" s="166" t="n">
        <f aca="false">EnergyCurve!AN179*2</f>
        <v>0.34</v>
      </c>
      <c r="AO179" s="166" t="n">
        <f aca="false">EnergyCurve!AO179</f>
        <v>0.153</v>
      </c>
      <c r="AP179" s="166" t="n">
        <f aca="false">AN179*1.25</f>
        <v>0.425</v>
      </c>
      <c r="AQ179" s="166" t="n">
        <f aca="false">EnergyCurve!AQ179*2</f>
        <v>0.34</v>
      </c>
      <c r="AR179" s="166" t="n">
        <f aca="false">EnergyCurve!AR179</f>
        <v>0.136</v>
      </c>
      <c r="AS179" s="166" t="n">
        <f aca="false">EnergyCurve!AS179*1.25</f>
        <v>0.255</v>
      </c>
      <c r="AT179" s="168" t="n">
        <f aca="false">EnergyCurve!AT179*2*2</f>
        <v>6.33113623762127</v>
      </c>
      <c r="AU179" s="169" t="n">
        <f aca="false">EnergyCurve!AU179</f>
        <v>-0.395696014851329</v>
      </c>
      <c r="AV179" s="169" t="n">
        <f aca="false">AT179*1.25</f>
        <v>7.91392029702658</v>
      </c>
      <c r="AW179" s="168" t="n">
        <f aca="false">EnergyCurve!AW179*2*2</f>
        <v>10.6812</v>
      </c>
      <c r="AX179" s="169" t="n">
        <f aca="false">EnergyCurve!AX179</f>
        <v>-0.667575</v>
      </c>
      <c r="AY179" s="169" t="n">
        <f aca="false">AW179*1.25</f>
        <v>13.3515</v>
      </c>
      <c r="AZ179" s="167" t="n">
        <v>0</v>
      </c>
      <c r="BA179" s="74"/>
      <c r="BQ179" s="108" t="n">
        <v>36907.7428240741</v>
      </c>
      <c r="BR179" s="109" t="n">
        <v>36907.7434490741</v>
      </c>
      <c r="BS179" s="110" t="n">
        <v>41548</v>
      </c>
      <c r="BT179" s="111" t="n">
        <v>0</v>
      </c>
      <c r="BU179" s="112" t="n">
        <v>0</v>
      </c>
      <c r="BV179" s="112" t="n">
        <v>0</v>
      </c>
      <c r="BW179" s="112" t="n">
        <v>0</v>
      </c>
      <c r="BX179" s="113" t="n">
        <v>0</v>
      </c>
      <c r="BZ179" s="110" t="n">
        <v>41334</v>
      </c>
      <c r="CA179" s="116" t="n">
        <v>29.8409996032715</v>
      </c>
      <c r="CB179" s="116" t="n">
        <v>0</v>
      </c>
      <c r="CC179" s="116" t="n">
        <v>0</v>
      </c>
      <c r="CD179" s="116" t="n">
        <v>0</v>
      </c>
      <c r="CE179" s="117" t="n">
        <v>0</v>
      </c>
    </row>
    <row r="180" customFormat="false" ht="12.75" hidden="false" customHeight="false" outlineLevel="0" collapsed="false">
      <c r="A180" s="0" t="n">
        <f aca="true">IF(ISERROR(MATCH(D180,iRefDt,0)),"",MATCH(D180,iRefDt,0))</f>
        <v>171</v>
      </c>
      <c r="B180" s="92" t="n">
        <f aca="false">MATCH(YEAR(D180),iSpreads)</f>
        <v>13</v>
      </c>
      <c r="C180" s="0" t="n">
        <f aca="false">MONTH(D180)</f>
        <v>4</v>
      </c>
      <c r="D180" s="93" t="n">
        <f aca="false">+EnergyCurve!D180</f>
        <v>41365</v>
      </c>
      <c r="E180" s="94" t="n">
        <f aca="false">VLOOKUP($D180,tblPriorPrice,2)</f>
        <v>29.8409996032715</v>
      </c>
      <c r="F180" s="95" t="n">
        <f aca="false">G180-E180</f>
        <v>3.96728513152311E-007</v>
      </c>
      <c r="G180" s="264" t="n">
        <f aca="false">IF(EnergyCurve!G180&lt;200,0.001*EnergyCurve!G180+1,1.2)*EnergyCurve!G180</f>
        <v>29.841</v>
      </c>
      <c r="H180" s="96" t="n">
        <f aca="false">IF(EnergyCurve!H180&lt;200,0.001*EnergyCurve!H180+1,1.2)*EnergyCurve!H180</f>
        <v>24.576</v>
      </c>
      <c r="I180" s="96" t="n">
        <f aca="false">IF(EnergyCurve!I180&lt;200,0.001*EnergyCurve!I180+1,1.2)*EnergyCurve!I180</f>
        <v>59.136</v>
      </c>
      <c r="J180" s="94" t="n">
        <f aca="false">VLOOKUP($D180,tblPriorPrice,3)</f>
        <v>0</v>
      </c>
      <c r="K180" s="95" t="n">
        <f aca="false">L180-J180</f>
        <v>0</v>
      </c>
      <c r="L180" s="264" t="n">
        <v>0</v>
      </c>
      <c r="M180" s="96" t="n">
        <f aca="false">L180</f>
        <v>0</v>
      </c>
      <c r="N180" s="96" t="n">
        <f aca="false">L180</f>
        <v>0</v>
      </c>
      <c r="O180" s="58" t="n">
        <f aca="true">IF($A180="",0,INDEX(tblPosn,$A180,2))</f>
        <v>0</v>
      </c>
      <c r="P180" s="59" t="n">
        <f aca="true">IF($A180="",0,INDEX(tblPosn,$A180,3))</f>
        <v>0</v>
      </c>
      <c r="Q180" s="59" t="n">
        <f aca="true">IF($A180="",0,INDEX(tblPosn,$A180,4))</f>
        <v>0</v>
      </c>
      <c r="R180" s="59" t="n">
        <f aca="true">IF($A180="",0,INDEX(tblPosn,$A180,5))</f>
        <v>0</v>
      </c>
      <c r="S180" s="59" t="n">
        <f aca="true">IF($A180="",0,INDEX(tblPosn,$A180,6))</f>
        <v>0</v>
      </c>
      <c r="T180" s="98" t="n">
        <f aca="false">O180*F180+P180*K180+R180*AC180+S180*AH180/0.72+Q180*X180</f>
        <v>0</v>
      </c>
      <c r="V180" s="161" t="n">
        <f aca="false">D180</f>
        <v>41365</v>
      </c>
      <c r="W180" s="94" t="n">
        <f aca="false">VLOOKUP($D180,tblPriorPrice,4)</f>
        <v>0</v>
      </c>
      <c r="X180" s="162"/>
      <c r="Y180" s="176" t="n">
        <f aca="false">L180</f>
        <v>0</v>
      </c>
      <c r="Z180" s="177" t="n">
        <f aca="false">Y180</f>
        <v>0</v>
      </c>
      <c r="AA180" s="177" t="n">
        <f aca="false">Y180</f>
        <v>0</v>
      </c>
      <c r="AB180" s="94" t="n">
        <f aca="false">VLOOKUP($D180,tblPriorPrice,5)</f>
        <v>0</v>
      </c>
      <c r="AC180" s="162"/>
      <c r="AD180" s="176" t="n">
        <f aca="false">L180</f>
        <v>0</v>
      </c>
      <c r="AE180" s="96" t="n">
        <f aca="false">AD180</f>
        <v>0</v>
      </c>
      <c r="AF180" s="97" t="n">
        <f aca="false">AD180</f>
        <v>0</v>
      </c>
      <c r="AG180" s="94" t="n">
        <f aca="false">VLOOKUP($D180,tblPriorPrice,6)</f>
        <v>0</v>
      </c>
      <c r="AH180" s="182"/>
      <c r="AI180" s="189" t="n">
        <f aca="false">AG180+AH180</f>
        <v>0</v>
      </c>
      <c r="AJ180" s="96" t="n">
        <f aca="false">AI180</f>
        <v>0</v>
      </c>
      <c r="AK180" s="97" t="n">
        <f aca="false">AI180</f>
        <v>0</v>
      </c>
      <c r="AL180" s="178" t="n">
        <v>50</v>
      </c>
      <c r="AM180" s="165" t="n">
        <v>0.4</v>
      </c>
      <c r="AN180" s="166" t="n">
        <f aca="false">EnergyCurve!AN180*2</f>
        <v>0.34</v>
      </c>
      <c r="AO180" s="166" t="n">
        <f aca="false">EnergyCurve!AO180</f>
        <v>0.153</v>
      </c>
      <c r="AP180" s="166" t="n">
        <f aca="false">AN180*1.25</f>
        <v>0.425</v>
      </c>
      <c r="AQ180" s="166" t="n">
        <f aca="false">EnergyCurve!AQ180*2</f>
        <v>0.34</v>
      </c>
      <c r="AR180" s="166" t="n">
        <f aca="false">EnergyCurve!AR180</f>
        <v>0.136</v>
      </c>
      <c r="AS180" s="166" t="n">
        <f aca="false">EnergyCurve!AS180*1.25</f>
        <v>0.255</v>
      </c>
      <c r="AT180" s="168" t="n">
        <f aca="false">EnergyCurve!AT180*2*2</f>
        <v>6.33113623762127</v>
      </c>
      <c r="AU180" s="169" t="n">
        <f aca="false">EnergyCurve!AU180</f>
        <v>-0.395696014851329</v>
      </c>
      <c r="AV180" s="169" t="n">
        <f aca="false">AT180*1.25</f>
        <v>7.91392029702658</v>
      </c>
      <c r="AW180" s="168" t="n">
        <f aca="false">EnergyCurve!AW180*2*2</f>
        <v>10.6812</v>
      </c>
      <c r="AX180" s="169" t="n">
        <f aca="false">EnergyCurve!AX180</f>
        <v>-0.667575</v>
      </c>
      <c r="AY180" s="169" t="n">
        <f aca="false">AW180*1.25</f>
        <v>13.3515</v>
      </c>
      <c r="AZ180" s="167" t="n">
        <v>0</v>
      </c>
      <c r="BA180" s="74"/>
      <c r="BQ180" s="108" t="n">
        <v>36907.7428240741</v>
      </c>
      <c r="BR180" s="109" t="n">
        <v>36907.7434490741</v>
      </c>
      <c r="BS180" s="110" t="n">
        <v>41579</v>
      </c>
      <c r="BT180" s="111" t="n">
        <v>0</v>
      </c>
      <c r="BU180" s="112" t="n">
        <v>0</v>
      </c>
      <c r="BV180" s="112" t="n">
        <v>0</v>
      </c>
      <c r="BW180" s="112" t="n">
        <v>0</v>
      </c>
      <c r="BX180" s="113" t="n">
        <v>0</v>
      </c>
      <c r="BZ180" s="110" t="n">
        <v>41365</v>
      </c>
      <c r="CA180" s="116" t="n">
        <v>29.8409996032715</v>
      </c>
      <c r="CB180" s="116" t="n">
        <v>0</v>
      </c>
      <c r="CC180" s="116" t="n">
        <v>0</v>
      </c>
      <c r="CD180" s="116" t="n">
        <v>0</v>
      </c>
      <c r="CE180" s="117" t="n">
        <v>0</v>
      </c>
    </row>
    <row r="181" customFormat="false" ht="12.75" hidden="false" customHeight="false" outlineLevel="0" collapsed="false">
      <c r="A181" s="0" t="n">
        <f aca="true">IF(ISERROR(MATCH(D181,iRefDt,0)),"",MATCH(D181,iRefDt,0))</f>
        <v>172</v>
      </c>
      <c r="B181" s="92" t="n">
        <f aca="false">MATCH(YEAR(D181),iSpreads)</f>
        <v>13</v>
      </c>
      <c r="C181" s="0" t="n">
        <f aca="false">MONTH(D181)</f>
        <v>5</v>
      </c>
      <c r="D181" s="93" t="n">
        <f aca="false">+EnergyCurve!D181</f>
        <v>41395</v>
      </c>
      <c r="E181" s="94" t="n">
        <f aca="false">VLOOKUP($D181,tblPriorPrice,2)</f>
        <v>33.0239982604981</v>
      </c>
      <c r="F181" s="95" t="n">
        <f aca="false">G181-E181</f>
        <v>1.73950195403449E-006</v>
      </c>
      <c r="G181" s="264" t="n">
        <f aca="false">IF(EnergyCurve!G181&lt;200,0.001*EnergyCurve!G181+1,1.2)*EnergyCurve!G181</f>
        <v>33.024</v>
      </c>
      <c r="H181" s="96" t="n">
        <f aca="false">IF(EnergyCurve!H181&lt;200,0.001*EnergyCurve!H181+1,1.2)*EnergyCurve!H181</f>
        <v>27.729</v>
      </c>
      <c r="I181" s="96" t="n">
        <f aca="false">IF(EnergyCurve!I181&lt;200,0.001*EnergyCurve!I181+1,1.2)*EnergyCurve!I181</f>
        <v>62.481</v>
      </c>
      <c r="J181" s="94" t="n">
        <f aca="false">VLOOKUP($D181,tblPriorPrice,3)</f>
        <v>0</v>
      </c>
      <c r="K181" s="95" t="n">
        <f aca="false">L181-J181</f>
        <v>0</v>
      </c>
      <c r="L181" s="264" t="n">
        <v>0</v>
      </c>
      <c r="M181" s="96" t="n">
        <f aca="false">L181</f>
        <v>0</v>
      </c>
      <c r="N181" s="96" t="n">
        <f aca="false">L181</f>
        <v>0</v>
      </c>
      <c r="O181" s="58" t="n">
        <f aca="true">IF($A181="",0,INDEX(tblPosn,$A181,2))</f>
        <v>0</v>
      </c>
      <c r="P181" s="59" t="n">
        <f aca="true">IF($A181="",0,INDEX(tblPosn,$A181,3))</f>
        <v>0</v>
      </c>
      <c r="Q181" s="59" t="n">
        <f aca="true">IF($A181="",0,INDEX(tblPosn,$A181,4))</f>
        <v>0</v>
      </c>
      <c r="R181" s="59" t="n">
        <f aca="true">IF($A181="",0,INDEX(tblPosn,$A181,5))</f>
        <v>0</v>
      </c>
      <c r="S181" s="59" t="n">
        <f aca="true">IF($A181="",0,INDEX(tblPosn,$A181,6))</f>
        <v>0</v>
      </c>
      <c r="T181" s="98" t="n">
        <f aca="false">O181*F181+P181*K181+R181*AC181+S181*AH181/0.72+Q181*X181</f>
        <v>0</v>
      </c>
      <c r="V181" s="161" t="n">
        <f aca="false">D181</f>
        <v>41395</v>
      </c>
      <c r="W181" s="94" t="n">
        <f aca="false">VLOOKUP($D181,tblPriorPrice,4)</f>
        <v>0</v>
      </c>
      <c r="X181" s="162"/>
      <c r="Y181" s="176" t="n">
        <f aca="false">L181</f>
        <v>0</v>
      </c>
      <c r="Z181" s="177" t="n">
        <f aca="false">Y181</f>
        <v>0</v>
      </c>
      <c r="AA181" s="177" t="n">
        <f aca="false">Y181</f>
        <v>0</v>
      </c>
      <c r="AB181" s="94" t="n">
        <f aca="false">VLOOKUP($D181,tblPriorPrice,5)</f>
        <v>0</v>
      </c>
      <c r="AC181" s="162"/>
      <c r="AD181" s="176" t="n">
        <f aca="false">L181</f>
        <v>0</v>
      </c>
      <c r="AE181" s="96" t="n">
        <f aca="false">AD181</f>
        <v>0</v>
      </c>
      <c r="AF181" s="97" t="n">
        <f aca="false">AD181</f>
        <v>0</v>
      </c>
      <c r="AG181" s="94" t="n">
        <f aca="false">VLOOKUP($D181,tblPriorPrice,6)</f>
        <v>0</v>
      </c>
      <c r="AH181" s="182"/>
      <c r="AI181" s="189" t="n">
        <f aca="false">AG181+AH181</f>
        <v>0</v>
      </c>
      <c r="AJ181" s="96" t="n">
        <f aca="false">AI181</f>
        <v>0</v>
      </c>
      <c r="AK181" s="97" t="n">
        <f aca="false">AI181</f>
        <v>0</v>
      </c>
      <c r="AL181" s="178" t="n">
        <v>50</v>
      </c>
      <c r="AM181" s="165" t="n">
        <v>0.4</v>
      </c>
      <c r="AN181" s="166" t="n">
        <f aca="false">EnergyCurve!AN181*2</f>
        <v>0.34</v>
      </c>
      <c r="AO181" s="166" t="n">
        <f aca="false">EnergyCurve!AO181</f>
        <v>0.153</v>
      </c>
      <c r="AP181" s="166" t="n">
        <f aca="false">AN181*1.25</f>
        <v>0.425</v>
      </c>
      <c r="AQ181" s="166" t="n">
        <f aca="false">EnergyCurve!AQ181*2</f>
        <v>0.34</v>
      </c>
      <c r="AR181" s="166" t="n">
        <f aca="false">EnergyCurve!AR181</f>
        <v>0.136</v>
      </c>
      <c r="AS181" s="166" t="n">
        <f aca="false">EnergyCurve!AS181*1.25</f>
        <v>0.255</v>
      </c>
      <c r="AT181" s="168" t="n">
        <f aca="false">EnergyCurve!AT181*2*2</f>
        <v>6.71448638739126</v>
      </c>
      <c r="AU181" s="169" t="n">
        <f aca="false">EnergyCurve!AU181</f>
        <v>-0.419655399211954</v>
      </c>
      <c r="AV181" s="169" t="n">
        <f aca="false">AT181*1.25</f>
        <v>8.39310798423907</v>
      </c>
      <c r="AW181" s="168" t="n">
        <f aca="false">EnergyCurve!AW181*2*2</f>
        <v>10.3986</v>
      </c>
      <c r="AX181" s="169" t="n">
        <f aca="false">EnergyCurve!AX181</f>
        <v>-0.6499125</v>
      </c>
      <c r="AY181" s="169" t="n">
        <f aca="false">AW181*1.25</f>
        <v>12.99825</v>
      </c>
      <c r="AZ181" s="167" t="n">
        <v>0</v>
      </c>
      <c r="BA181" s="74"/>
      <c r="BQ181" s="108" t="n">
        <v>36907.7428240741</v>
      </c>
      <c r="BR181" s="109" t="n">
        <v>36907.7434490741</v>
      </c>
      <c r="BS181" s="110" t="n">
        <v>41609</v>
      </c>
      <c r="BT181" s="111" t="n">
        <v>0</v>
      </c>
      <c r="BU181" s="112" t="n">
        <v>0</v>
      </c>
      <c r="BV181" s="112" t="n">
        <v>0</v>
      </c>
      <c r="BW181" s="112" t="n">
        <v>0</v>
      </c>
      <c r="BX181" s="113" t="n">
        <v>0</v>
      </c>
      <c r="BZ181" s="110" t="n">
        <v>41395</v>
      </c>
      <c r="CA181" s="116" t="n">
        <v>33.0239982604981</v>
      </c>
      <c r="CB181" s="116" t="n">
        <v>0</v>
      </c>
      <c r="CC181" s="116" t="n">
        <v>0</v>
      </c>
      <c r="CD181" s="116" t="n">
        <v>0</v>
      </c>
      <c r="CE181" s="117" t="n">
        <v>0</v>
      </c>
    </row>
    <row r="182" customFormat="false" ht="12.75" hidden="false" customHeight="false" outlineLevel="0" collapsed="false">
      <c r="A182" s="0" t="n">
        <f aca="true">IF(ISERROR(MATCH(D182,iRefDt,0)),"",MATCH(D182,iRefDt,0))</f>
        <v>173</v>
      </c>
      <c r="B182" s="92" t="n">
        <f aca="false">MATCH(YEAR(D182),iSpreads)</f>
        <v>13</v>
      </c>
      <c r="C182" s="0" t="n">
        <f aca="false">MONTH(D182)</f>
        <v>6</v>
      </c>
      <c r="D182" s="93" t="n">
        <f aca="false">+EnergyCurve!D182</f>
        <v>41426</v>
      </c>
      <c r="E182" s="94" t="n">
        <f aca="false">VLOOKUP($D182,tblPriorPrice,2)</f>
        <v>40.5209999084473</v>
      </c>
      <c r="F182" s="95" t="n">
        <f aca="false">G182-E182</f>
        <v>9.15527280653805E-008</v>
      </c>
      <c r="G182" s="264" t="n">
        <f aca="false">IF(EnergyCurve!G182&lt;200,0.001*EnergyCurve!G182+1,1.2)*EnergyCurve!G182</f>
        <v>40.521</v>
      </c>
      <c r="H182" s="96" t="n">
        <f aca="false">IF(EnergyCurve!H182&lt;200,0.001*EnergyCurve!H182+1,1.2)*EnergyCurve!H182</f>
        <v>35.156</v>
      </c>
      <c r="I182" s="96" t="n">
        <f aca="false">IF(EnergyCurve!I182&lt;200,0.001*EnergyCurve!I182+1,1.2)*EnergyCurve!I182</f>
        <v>70.356</v>
      </c>
      <c r="J182" s="94" t="n">
        <f aca="false">VLOOKUP($D182,tblPriorPrice,3)</f>
        <v>0</v>
      </c>
      <c r="K182" s="95" t="n">
        <f aca="false">L182-J182</f>
        <v>0</v>
      </c>
      <c r="L182" s="264" t="n">
        <v>0</v>
      </c>
      <c r="M182" s="96" t="n">
        <f aca="false">L182</f>
        <v>0</v>
      </c>
      <c r="N182" s="96" t="n">
        <f aca="false">L182</f>
        <v>0</v>
      </c>
      <c r="O182" s="58" t="n">
        <f aca="true">IF($A182="",0,INDEX(tblPosn,$A182,2))</f>
        <v>0</v>
      </c>
      <c r="P182" s="59" t="n">
        <f aca="true">IF($A182="",0,INDEX(tblPosn,$A182,3))</f>
        <v>0</v>
      </c>
      <c r="Q182" s="59" t="n">
        <f aca="true">IF($A182="",0,INDEX(tblPosn,$A182,4))</f>
        <v>0</v>
      </c>
      <c r="R182" s="59" t="n">
        <f aca="true">IF($A182="",0,INDEX(tblPosn,$A182,5))</f>
        <v>0</v>
      </c>
      <c r="S182" s="59" t="n">
        <f aca="true">IF($A182="",0,INDEX(tblPosn,$A182,6))</f>
        <v>0</v>
      </c>
      <c r="T182" s="98" t="n">
        <f aca="false">O182*F182+P182*K182+R182*AC182+S182*AH182/0.72+Q182*X182</f>
        <v>0</v>
      </c>
      <c r="V182" s="161" t="n">
        <f aca="false">D182</f>
        <v>41426</v>
      </c>
      <c r="W182" s="94" t="n">
        <f aca="false">VLOOKUP($D182,tblPriorPrice,4)</f>
        <v>0</v>
      </c>
      <c r="X182" s="162"/>
      <c r="Y182" s="176" t="n">
        <f aca="false">L182</f>
        <v>0</v>
      </c>
      <c r="Z182" s="177" t="n">
        <f aca="false">Y182</f>
        <v>0</v>
      </c>
      <c r="AA182" s="177" t="n">
        <f aca="false">Y182</f>
        <v>0</v>
      </c>
      <c r="AB182" s="94" t="n">
        <f aca="false">VLOOKUP($D182,tblPriorPrice,5)</f>
        <v>0</v>
      </c>
      <c r="AC182" s="162"/>
      <c r="AD182" s="176" t="n">
        <f aca="false">L182</f>
        <v>0</v>
      </c>
      <c r="AE182" s="96" t="n">
        <f aca="false">AD182</f>
        <v>0</v>
      </c>
      <c r="AF182" s="97" t="n">
        <f aca="false">AD182</f>
        <v>0</v>
      </c>
      <c r="AG182" s="94" t="n">
        <f aca="false">VLOOKUP($D182,tblPriorPrice,6)</f>
        <v>0</v>
      </c>
      <c r="AH182" s="182"/>
      <c r="AI182" s="189" t="n">
        <f aca="false">AG182+AH182</f>
        <v>0</v>
      </c>
      <c r="AJ182" s="96" t="n">
        <f aca="false">AI182</f>
        <v>0</v>
      </c>
      <c r="AK182" s="97" t="n">
        <f aca="false">AI182</f>
        <v>0</v>
      </c>
      <c r="AL182" s="178" t="n">
        <v>50</v>
      </c>
      <c r="AM182" s="165" t="n">
        <v>0.4</v>
      </c>
      <c r="AN182" s="166" t="n">
        <f aca="false">EnergyCurve!AN182*2</f>
        <v>0.34</v>
      </c>
      <c r="AO182" s="166" t="n">
        <f aca="false">EnergyCurve!AO182</f>
        <v>0.153</v>
      </c>
      <c r="AP182" s="166" t="n">
        <f aca="false">AN182*1.25</f>
        <v>0.425</v>
      </c>
      <c r="AQ182" s="166" t="n">
        <f aca="false">EnergyCurve!AQ182*2</f>
        <v>0.34</v>
      </c>
      <c r="AR182" s="166" t="n">
        <f aca="false">EnergyCurve!AR182</f>
        <v>0.136</v>
      </c>
      <c r="AS182" s="166" t="n">
        <f aca="false">EnergyCurve!AS182*1.25</f>
        <v>0.255</v>
      </c>
      <c r="AT182" s="168" t="n">
        <f aca="false">EnergyCurve!AT182*2*2</f>
        <v>8.27346121695085</v>
      </c>
      <c r="AU182" s="169" t="n">
        <f aca="false">EnergyCurve!AU182</f>
        <v>-0.517091326059428</v>
      </c>
      <c r="AV182" s="169" t="n">
        <f aca="false">AT182*1.25</f>
        <v>10.3418265211886</v>
      </c>
      <c r="AW182" s="168" t="n">
        <f aca="false">EnergyCurve!AW182*2*2</f>
        <v>9.7392</v>
      </c>
      <c r="AX182" s="169" t="n">
        <f aca="false">EnergyCurve!AX182</f>
        <v>-0.6087</v>
      </c>
      <c r="AY182" s="169" t="n">
        <f aca="false">AW182*1.25</f>
        <v>12.174</v>
      </c>
      <c r="AZ182" s="167" t="n">
        <v>0</v>
      </c>
      <c r="BA182" s="74"/>
      <c r="BQ182" s="108" t="n">
        <v>36907.7428240741</v>
      </c>
      <c r="BR182" s="109" t="n">
        <v>36907.7434490741</v>
      </c>
      <c r="BS182" s="110" t="n">
        <v>41640</v>
      </c>
      <c r="BT182" s="111" t="n">
        <v>0</v>
      </c>
      <c r="BU182" s="112" t="n">
        <v>0</v>
      </c>
      <c r="BV182" s="112" t="n">
        <v>0</v>
      </c>
      <c r="BW182" s="112" t="n">
        <v>0</v>
      </c>
      <c r="BX182" s="113" t="n">
        <v>0</v>
      </c>
      <c r="BZ182" s="110" t="n">
        <v>41426</v>
      </c>
      <c r="CA182" s="116" t="n">
        <v>40.5209999084473</v>
      </c>
      <c r="CB182" s="116" t="n">
        <v>0</v>
      </c>
      <c r="CC182" s="116" t="n">
        <v>0</v>
      </c>
      <c r="CD182" s="116" t="n">
        <v>0</v>
      </c>
      <c r="CE182" s="117" t="n">
        <v>0</v>
      </c>
    </row>
    <row r="183" customFormat="false" ht="12.75" hidden="false" customHeight="false" outlineLevel="0" collapsed="false">
      <c r="A183" s="0" t="n">
        <f aca="true">IF(ISERROR(MATCH(D183,iRefDt,0)),"",MATCH(D183,iRefDt,0))</f>
        <v>174</v>
      </c>
      <c r="B183" s="92" t="n">
        <f aca="false">MATCH(YEAR(D183),iSpreads)</f>
        <v>13</v>
      </c>
      <c r="C183" s="0" t="n">
        <f aca="false">MONTH(D183)</f>
        <v>7</v>
      </c>
      <c r="D183" s="93" t="n">
        <f aca="false">+EnergyCurve!D183</f>
        <v>41456</v>
      </c>
      <c r="E183" s="94" t="n">
        <f aca="false">VLOOKUP($D183,tblPriorPrice,2)</f>
        <v>40.5209999084473</v>
      </c>
      <c r="F183" s="95" t="n">
        <f aca="false">G183-E183</f>
        <v>9.15527280653805E-008</v>
      </c>
      <c r="G183" s="264" t="n">
        <f aca="false">IF(EnergyCurve!G183&lt;200,0.001*EnergyCurve!G183+1,1.2)*EnergyCurve!G183</f>
        <v>40.521</v>
      </c>
      <c r="H183" s="96" t="n">
        <f aca="false">IF(EnergyCurve!H183&lt;200,0.001*EnergyCurve!H183+1,1.2)*EnergyCurve!H183</f>
        <v>35.156</v>
      </c>
      <c r="I183" s="96" t="n">
        <f aca="false">IF(EnergyCurve!I183&lt;200,0.001*EnergyCurve!I183+1,1.2)*EnergyCurve!I183</f>
        <v>70.356</v>
      </c>
      <c r="J183" s="94" t="n">
        <f aca="false">VLOOKUP($D183,tblPriorPrice,3)</f>
        <v>0</v>
      </c>
      <c r="K183" s="95" t="n">
        <f aca="false">L183-J183</f>
        <v>0</v>
      </c>
      <c r="L183" s="264" t="n">
        <v>0</v>
      </c>
      <c r="M183" s="96" t="n">
        <f aca="false">L183</f>
        <v>0</v>
      </c>
      <c r="N183" s="96" t="n">
        <f aca="false">L183</f>
        <v>0</v>
      </c>
      <c r="O183" s="58" t="n">
        <f aca="true">IF($A183="",0,INDEX(tblPosn,$A183,2))</f>
        <v>0</v>
      </c>
      <c r="P183" s="59" t="n">
        <f aca="true">IF($A183="",0,INDEX(tblPosn,$A183,3))</f>
        <v>0</v>
      </c>
      <c r="Q183" s="59" t="n">
        <f aca="true">IF($A183="",0,INDEX(tblPosn,$A183,4))</f>
        <v>0</v>
      </c>
      <c r="R183" s="59" t="n">
        <f aca="true">IF($A183="",0,INDEX(tblPosn,$A183,5))</f>
        <v>0</v>
      </c>
      <c r="S183" s="59" t="n">
        <f aca="true">IF($A183="",0,INDEX(tblPosn,$A183,6))</f>
        <v>0</v>
      </c>
      <c r="T183" s="98" t="n">
        <f aca="false">O183*F183+P183*K183+R183*AC183+S183*AH183/0.72+Q183*X183</f>
        <v>0</v>
      </c>
      <c r="V183" s="161" t="n">
        <f aca="false">D183</f>
        <v>41456</v>
      </c>
      <c r="W183" s="94" t="n">
        <f aca="false">VLOOKUP($D183,tblPriorPrice,4)</f>
        <v>0</v>
      </c>
      <c r="X183" s="162"/>
      <c r="Y183" s="176" t="n">
        <f aca="false">L183</f>
        <v>0</v>
      </c>
      <c r="Z183" s="177" t="n">
        <f aca="false">Y183</f>
        <v>0</v>
      </c>
      <c r="AA183" s="177" t="n">
        <f aca="false">Y183</f>
        <v>0</v>
      </c>
      <c r="AB183" s="94" t="n">
        <f aca="false">VLOOKUP($D183,tblPriorPrice,5)</f>
        <v>0</v>
      </c>
      <c r="AC183" s="162"/>
      <c r="AD183" s="176" t="n">
        <f aca="false">L183</f>
        <v>0</v>
      </c>
      <c r="AE183" s="96" t="n">
        <f aca="false">AD183</f>
        <v>0</v>
      </c>
      <c r="AF183" s="97" t="n">
        <f aca="false">AD183</f>
        <v>0</v>
      </c>
      <c r="AG183" s="94" t="n">
        <f aca="false">VLOOKUP($D183,tblPriorPrice,6)</f>
        <v>0</v>
      </c>
      <c r="AH183" s="182"/>
      <c r="AI183" s="189" t="n">
        <f aca="false">AG183+AH183</f>
        <v>0</v>
      </c>
      <c r="AJ183" s="96" t="n">
        <f aca="false">AI183</f>
        <v>0</v>
      </c>
      <c r="AK183" s="97" t="n">
        <f aca="false">AI183</f>
        <v>0</v>
      </c>
      <c r="AL183" s="178" t="n">
        <v>51</v>
      </c>
      <c r="AM183" s="165" t="n">
        <v>0.4</v>
      </c>
      <c r="AN183" s="166" t="n">
        <f aca="false">EnergyCurve!AN183*2</f>
        <v>0.34</v>
      </c>
      <c r="AO183" s="166" t="n">
        <f aca="false">EnergyCurve!AO183</f>
        <v>0.153</v>
      </c>
      <c r="AP183" s="166" t="n">
        <f aca="false">AN183*1.25</f>
        <v>0.425</v>
      </c>
      <c r="AQ183" s="166" t="n">
        <f aca="false">EnergyCurve!AQ183*2</f>
        <v>0.34</v>
      </c>
      <c r="AR183" s="166" t="n">
        <f aca="false">EnergyCurve!AR183</f>
        <v>0.136</v>
      </c>
      <c r="AS183" s="166" t="n">
        <f aca="false">EnergyCurve!AS183*1.25</f>
        <v>0.255</v>
      </c>
      <c r="AT183" s="168" t="n">
        <f aca="false">EnergyCurve!AT183*2*2</f>
        <v>8.27346121695085</v>
      </c>
      <c r="AU183" s="169" t="n">
        <f aca="false">EnergyCurve!AU183</f>
        <v>-0.517091326059428</v>
      </c>
      <c r="AV183" s="169" t="n">
        <f aca="false">AT183*1.25</f>
        <v>10.3418265211886</v>
      </c>
      <c r="AW183" s="168" t="n">
        <f aca="false">EnergyCurve!AW183*2*2</f>
        <v>9.7392</v>
      </c>
      <c r="AX183" s="169" t="n">
        <f aca="false">EnergyCurve!AX183</f>
        <v>-0.6087</v>
      </c>
      <c r="AY183" s="169" t="n">
        <f aca="false">AW183*1.25</f>
        <v>12.174</v>
      </c>
      <c r="AZ183" s="167" t="n">
        <v>0</v>
      </c>
      <c r="BA183" s="74"/>
      <c r="BQ183" s="108" t="n">
        <v>36907.7428240741</v>
      </c>
      <c r="BR183" s="109" t="n">
        <v>36907.7434490741</v>
      </c>
      <c r="BS183" s="110" t="n">
        <v>41671</v>
      </c>
      <c r="BT183" s="111" t="n">
        <v>0</v>
      </c>
      <c r="BU183" s="112" t="n">
        <v>0</v>
      </c>
      <c r="BV183" s="112" t="n">
        <v>0</v>
      </c>
      <c r="BW183" s="112" t="n">
        <v>0</v>
      </c>
      <c r="BX183" s="113" t="n">
        <v>0</v>
      </c>
      <c r="BZ183" s="110" t="n">
        <v>41456</v>
      </c>
      <c r="CA183" s="116" t="n">
        <v>40.5209999084473</v>
      </c>
      <c r="CB183" s="116" t="n">
        <v>0</v>
      </c>
      <c r="CC183" s="116" t="n">
        <v>0</v>
      </c>
      <c r="CD183" s="116" t="n">
        <v>0</v>
      </c>
      <c r="CE183" s="117" t="n">
        <v>0</v>
      </c>
    </row>
    <row r="184" customFormat="false" ht="12.75" hidden="false" customHeight="false" outlineLevel="0" collapsed="false">
      <c r="A184" s="0" t="n">
        <f aca="true">IF(ISERROR(MATCH(D184,iRefDt,0)),"",MATCH(D184,iRefDt,0))</f>
        <v>175</v>
      </c>
      <c r="B184" s="92" t="n">
        <f aca="false">MATCH(YEAR(D184),iSpreads)</f>
        <v>13</v>
      </c>
      <c r="C184" s="0" t="n">
        <f aca="false">MONTH(D184)</f>
        <v>8</v>
      </c>
      <c r="D184" s="93" t="n">
        <f aca="false">+EnergyCurve!D184</f>
        <v>41487</v>
      </c>
      <c r="E184" s="94" t="n">
        <f aca="false">VLOOKUP($D184,tblPriorPrice,2)</f>
        <v>42.6809997558594</v>
      </c>
      <c r="F184" s="95" t="n">
        <f aca="false">G184-E184</f>
        <v>2.44140622385203E-007</v>
      </c>
      <c r="G184" s="264" t="n">
        <f aca="false">IF(EnergyCurve!G184&lt;200,0.001*EnergyCurve!G184+1,1.2)*EnergyCurve!G184</f>
        <v>42.681</v>
      </c>
      <c r="H184" s="96" t="n">
        <f aca="false">IF(EnergyCurve!H184&lt;200,0.001*EnergyCurve!H184+1,1.2)*EnergyCurve!H184</f>
        <v>37.296</v>
      </c>
      <c r="I184" s="96" t="n">
        <f aca="false">IF(EnergyCurve!I184&lt;200,0.001*EnergyCurve!I184+1,1.2)*EnergyCurve!I184</f>
        <v>72.624</v>
      </c>
      <c r="J184" s="94" t="n">
        <f aca="false">VLOOKUP($D184,tblPriorPrice,3)</f>
        <v>0</v>
      </c>
      <c r="K184" s="95" t="n">
        <f aca="false">L184-J184</f>
        <v>0</v>
      </c>
      <c r="L184" s="264" t="n">
        <v>0</v>
      </c>
      <c r="M184" s="96" t="n">
        <f aca="false">L184</f>
        <v>0</v>
      </c>
      <c r="N184" s="96" t="n">
        <f aca="false">L184</f>
        <v>0</v>
      </c>
      <c r="O184" s="58" t="n">
        <f aca="true">IF($A184="",0,INDEX(tblPosn,$A184,2))</f>
        <v>0</v>
      </c>
      <c r="P184" s="59" t="n">
        <f aca="true">IF($A184="",0,INDEX(tblPosn,$A184,3))</f>
        <v>0</v>
      </c>
      <c r="Q184" s="59" t="n">
        <f aca="true">IF($A184="",0,INDEX(tblPosn,$A184,4))</f>
        <v>0</v>
      </c>
      <c r="R184" s="59" t="n">
        <f aca="true">IF($A184="",0,INDEX(tblPosn,$A184,5))</f>
        <v>0</v>
      </c>
      <c r="S184" s="59" t="n">
        <f aca="true">IF($A184="",0,INDEX(tblPosn,$A184,6))</f>
        <v>0</v>
      </c>
      <c r="T184" s="98" t="n">
        <f aca="false">O184*F184+P184*K184+R184*AC184+S184*AH184/0.72+Q184*X184</f>
        <v>0</v>
      </c>
      <c r="V184" s="161" t="n">
        <f aca="false">D184</f>
        <v>41487</v>
      </c>
      <c r="W184" s="94" t="n">
        <f aca="false">VLOOKUP($D184,tblPriorPrice,4)</f>
        <v>0</v>
      </c>
      <c r="X184" s="162"/>
      <c r="Y184" s="176" t="n">
        <f aca="false">L184</f>
        <v>0</v>
      </c>
      <c r="Z184" s="177" t="n">
        <f aca="false">Y184</f>
        <v>0</v>
      </c>
      <c r="AA184" s="177" t="n">
        <f aca="false">Y184</f>
        <v>0</v>
      </c>
      <c r="AB184" s="94" t="n">
        <f aca="false">VLOOKUP($D184,tblPriorPrice,5)</f>
        <v>0</v>
      </c>
      <c r="AC184" s="162"/>
      <c r="AD184" s="176" t="n">
        <f aca="false">L184</f>
        <v>0</v>
      </c>
      <c r="AE184" s="96" t="n">
        <f aca="false">AD184</f>
        <v>0</v>
      </c>
      <c r="AF184" s="97" t="n">
        <f aca="false">AD184</f>
        <v>0</v>
      </c>
      <c r="AG184" s="94" t="n">
        <f aca="false">VLOOKUP($D184,tblPriorPrice,6)</f>
        <v>0</v>
      </c>
      <c r="AH184" s="182"/>
      <c r="AI184" s="189" t="n">
        <f aca="false">AG184+AH184</f>
        <v>0</v>
      </c>
      <c r="AJ184" s="96" t="n">
        <f aca="false">AI184</f>
        <v>0</v>
      </c>
      <c r="AK184" s="97" t="n">
        <f aca="false">AI184</f>
        <v>0</v>
      </c>
      <c r="AL184" s="178" t="n">
        <v>51</v>
      </c>
      <c r="AM184" s="165" t="n">
        <v>0.4</v>
      </c>
      <c r="AN184" s="166" t="n">
        <f aca="false">EnergyCurve!AN184*2</f>
        <v>0.34</v>
      </c>
      <c r="AO184" s="166" t="n">
        <f aca="false">EnergyCurve!AO184</f>
        <v>0.153</v>
      </c>
      <c r="AP184" s="166" t="n">
        <f aca="false">AN184*1.25</f>
        <v>0.425</v>
      </c>
      <c r="AQ184" s="166" t="n">
        <f aca="false">EnergyCurve!AQ184*2</f>
        <v>0.34</v>
      </c>
      <c r="AR184" s="166" t="n">
        <f aca="false">EnergyCurve!AR184</f>
        <v>0.136</v>
      </c>
      <c r="AS184" s="166" t="n">
        <f aca="false">EnergyCurve!AS184*1.25</f>
        <v>0.255</v>
      </c>
      <c r="AT184" s="168" t="n">
        <f aca="false">EnergyCurve!AT184*2*2</f>
        <v>8.83433884019377</v>
      </c>
      <c r="AU184" s="169" t="n">
        <f aca="false">EnergyCurve!AU184</f>
        <v>-0.552146177512111</v>
      </c>
      <c r="AV184" s="169" t="n">
        <f aca="false">AT184*1.25</f>
        <v>11.0429235502422</v>
      </c>
      <c r="AW184" s="168" t="n">
        <f aca="false">EnergyCurve!AW184*2*2</f>
        <v>9.5508</v>
      </c>
      <c r="AX184" s="169" t="n">
        <f aca="false">EnergyCurve!AX184</f>
        <v>-0.596925</v>
      </c>
      <c r="AY184" s="169" t="n">
        <f aca="false">AW184*1.25</f>
        <v>11.9385</v>
      </c>
      <c r="AZ184" s="167" t="n">
        <v>0</v>
      </c>
      <c r="BA184" s="74"/>
      <c r="BQ184" s="108" t="n">
        <v>36907.7428240741</v>
      </c>
      <c r="BR184" s="109" t="n">
        <v>36907.7434490741</v>
      </c>
      <c r="BS184" s="110" t="n">
        <v>41699</v>
      </c>
      <c r="BT184" s="111" t="n">
        <v>0</v>
      </c>
      <c r="BU184" s="112" t="n">
        <v>0</v>
      </c>
      <c r="BV184" s="112" t="n">
        <v>0</v>
      </c>
      <c r="BW184" s="112" t="n">
        <v>0</v>
      </c>
      <c r="BX184" s="113" t="n">
        <v>0</v>
      </c>
      <c r="BZ184" s="110" t="n">
        <v>41487</v>
      </c>
      <c r="CA184" s="116" t="n">
        <v>42.6809997558594</v>
      </c>
      <c r="CB184" s="116" t="n">
        <v>0</v>
      </c>
      <c r="CC184" s="116" t="n">
        <v>0</v>
      </c>
      <c r="CD184" s="116" t="n">
        <v>0</v>
      </c>
      <c r="CE184" s="117" t="n">
        <v>0</v>
      </c>
    </row>
    <row r="185" customFormat="false" ht="12.75" hidden="false" customHeight="false" outlineLevel="0" collapsed="false">
      <c r="A185" s="0" t="n">
        <f aca="true">IF(ISERROR(MATCH(D185,iRefDt,0)),"",MATCH(D185,iRefDt,0))</f>
        <v>176</v>
      </c>
      <c r="B185" s="92" t="n">
        <f aca="false">MATCH(YEAR(D185),iSpreads)</f>
        <v>13</v>
      </c>
      <c r="C185" s="0" t="n">
        <f aca="false">MONTH(D185)</f>
        <v>9</v>
      </c>
      <c r="D185" s="93" t="n">
        <f aca="false">+EnergyCurve!D185</f>
        <v>41518</v>
      </c>
      <c r="E185" s="94" t="n">
        <f aca="false">VLOOKUP($D185,tblPriorPrice,2)</f>
        <v>36.2249984741211</v>
      </c>
      <c r="F185" s="95" t="n">
        <f aca="false">G185-E185</f>
        <v>1.52587890056566E-006</v>
      </c>
      <c r="G185" s="264" t="n">
        <f aca="false">IF(EnergyCurve!G185&lt;200,0.001*EnergyCurve!G185+1,1.2)*EnergyCurve!G185</f>
        <v>36.225</v>
      </c>
      <c r="H185" s="96" t="n">
        <f aca="false">IF(EnergyCurve!H185&lt;200,0.001*EnergyCurve!H185+1,1.2)*EnergyCurve!H185</f>
        <v>30.9</v>
      </c>
      <c r="I185" s="96" t="n">
        <f aca="false">IF(EnergyCurve!I185&lt;200,0.001*EnergyCurve!I185+1,1.2)*EnergyCurve!I185</f>
        <v>65.844</v>
      </c>
      <c r="J185" s="94" t="n">
        <f aca="false">VLOOKUP($D185,tblPriorPrice,3)</f>
        <v>0</v>
      </c>
      <c r="K185" s="95" t="n">
        <f aca="false">L185-J185</f>
        <v>0</v>
      </c>
      <c r="L185" s="264" t="n">
        <v>0</v>
      </c>
      <c r="M185" s="96" t="n">
        <f aca="false">L185</f>
        <v>0</v>
      </c>
      <c r="N185" s="96" t="n">
        <f aca="false">L185</f>
        <v>0</v>
      </c>
      <c r="O185" s="58" t="n">
        <f aca="true">IF($A185="",0,INDEX(tblPosn,$A185,2))</f>
        <v>0</v>
      </c>
      <c r="P185" s="59" t="n">
        <f aca="true">IF($A185="",0,INDEX(tblPosn,$A185,3))</f>
        <v>0</v>
      </c>
      <c r="Q185" s="59" t="n">
        <f aca="true">IF($A185="",0,INDEX(tblPosn,$A185,4))</f>
        <v>0</v>
      </c>
      <c r="R185" s="59" t="n">
        <f aca="true">IF($A185="",0,INDEX(tblPosn,$A185,5))</f>
        <v>0</v>
      </c>
      <c r="S185" s="59" t="n">
        <f aca="true">IF($A185="",0,INDEX(tblPosn,$A185,6))</f>
        <v>0</v>
      </c>
      <c r="T185" s="98" t="n">
        <f aca="false">O185*F185+P185*K185+R185*AC185+S185*AH185/0.72+Q185*X185</f>
        <v>0</v>
      </c>
      <c r="V185" s="161" t="n">
        <f aca="false">D185</f>
        <v>41518</v>
      </c>
      <c r="W185" s="94" t="n">
        <f aca="false">VLOOKUP($D185,tblPriorPrice,4)</f>
        <v>0</v>
      </c>
      <c r="X185" s="162"/>
      <c r="Y185" s="176" t="n">
        <f aca="false">L185</f>
        <v>0</v>
      </c>
      <c r="Z185" s="177" t="n">
        <f aca="false">Y185</f>
        <v>0</v>
      </c>
      <c r="AA185" s="177" t="n">
        <f aca="false">Y185</f>
        <v>0</v>
      </c>
      <c r="AB185" s="94" t="n">
        <f aca="false">VLOOKUP($D185,tblPriorPrice,5)</f>
        <v>0</v>
      </c>
      <c r="AC185" s="162"/>
      <c r="AD185" s="176" t="n">
        <f aca="false">L185</f>
        <v>0</v>
      </c>
      <c r="AE185" s="96" t="n">
        <f aca="false">AD185</f>
        <v>0</v>
      </c>
      <c r="AF185" s="97" t="n">
        <f aca="false">AD185</f>
        <v>0</v>
      </c>
      <c r="AG185" s="94" t="n">
        <f aca="false">VLOOKUP($D185,tblPriorPrice,6)</f>
        <v>0</v>
      </c>
      <c r="AH185" s="182"/>
      <c r="AI185" s="189" t="n">
        <f aca="false">AG185+AH185</f>
        <v>0</v>
      </c>
      <c r="AJ185" s="96" t="n">
        <f aca="false">AI185</f>
        <v>0</v>
      </c>
      <c r="AK185" s="97" t="n">
        <f aca="false">AI185</f>
        <v>0</v>
      </c>
      <c r="AL185" s="178" t="n">
        <v>51</v>
      </c>
      <c r="AM185" s="165" t="n">
        <v>0.4</v>
      </c>
      <c r="AN185" s="166" t="n">
        <f aca="false">EnergyCurve!AN185*2</f>
        <v>0.34</v>
      </c>
      <c r="AO185" s="166" t="n">
        <f aca="false">EnergyCurve!AO185</f>
        <v>0.153</v>
      </c>
      <c r="AP185" s="166" t="n">
        <f aca="false">AN185*1.25</f>
        <v>0.425</v>
      </c>
      <c r="AQ185" s="166" t="n">
        <f aca="false">EnergyCurve!AQ185*2</f>
        <v>0.34</v>
      </c>
      <c r="AR185" s="166" t="n">
        <f aca="false">EnergyCurve!AR185</f>
        <v>0.136</v>
      </c>
      <c r="AS185" s="166" t="n">
        <f aca="false">EnergyCurve!AS185*1.25</f>
        <v>0.255</v>
      </c>
      <c r="AT185" s="168" t="n">
        <f aca="false">EnergyCurve!AT185*2*2</f>
        <v>7.29020125079811</v>
      </c>
      <c r="AU185" s="169" t="n">
        <f aca="false">EnergyCurve!AU185</f>
        <v>-0.455637578174882</v>
      </c>
      <c r="AV185" s="169" t="n">
        <f aca="false">AT185*1.25</f>
        <v>9.11275156349763</v>
      </c>
      <c r="AW185" s="168" t="n">
        <f aca="false">EnergyCurve!AW185*2*2</f>
        <v>10.116</v>
      </c>
      <c r="AX185" s="169" t="n">
        <f aca="false">EnergyCurve!AX185</f>
        <v>-0.63225</v>
      </c>
      <c r="AY185" s="169" t="n">
        <f aca="false">AW185*1.25</f>
        <v>12.645</v>
      </c>
      <c r="AZ185" s="167" t="n">
        <v>0</v>
      </c>
      <c r="BA185" s="74"/>
      <c r="BQ185" s="108" t="n">
        <v>36907.7428240741</v>
      </c>
      <c r="BR185" s="109" t="n">
        <v>36907.7434490741</v>
      </c>
      <c r="BS185" s="110" t="n">
        <v>41730</v>
      </c>
      <c r="BT185" s="111" t="n">
        <v>0</v>
      </c>
      <c r="BU185" s="112" t="n">
        <v>0</v>
      </c>
      <c r="BV185" s="112" t="n">
        <v>0</v>
      </c>
      <c r="BW185" s="112" t="n">
        <v>0</v>
      </c>
      <c r="BX185" s="113" t="n">
        <v>0</v>
      </c>
      <c r="BZ185" s="110" t="n">
        <v>41518</v>
      </c>
      <c r="CA185" s="116" t="n">
        <v>36.2249984741211</v>
      </c>
      <c r="CB185" s="116" t="n">
        <v>0</v>
      </c>
      <c r="CC185" s="116" t="n">
        <v>0</v>
      </c>
      <c r="CD185" s="116" t="n">
        <v>0</v>
      </c>
      <c r="CE185" s="117" t="n">
        <v>0</v>
      </c>
    </row>
    <row r="186" customFormat="false" ht="12.75" hidden="false" customHeight="false" outlineLevel="0" collapsed="false">
      <c r="A186" s="0" t="n">
        <f aca="true">IF(ISERROR(MATCH(D186,iRefDt,0)),"",MATCH(D186,iRefDt,0))</f>
        <v>177</v>
      </c>
      <c r="B186" s="92" t="n">
        <f aca="false">MATCH(YEAR(D186),iSpreads)</f>
        <v>13</v>
      </c>
      <c r="C186" s="0" t="n">
        <f aca="false">MONTH(D186)</f>
        <v>10</v>
      </c>
      <c r="D186" s="93" t="n">
        <f aca="false">+EnergyCurve!D186</f>
        <v>41548</v>
      </c>
      <c r="E186" s="94" t="n">
        <f aca="false">VLOOKUP($D186,tblPriorPrice,2)</f>
        <v>38.3689994812012</v>
      </c>
      <c r="F186" s="95" t="n">
        <f aca="false">G186-E186</f>
        <v>5.18798827897626E-007</v>
      </c>
      <c r="G186" s="264" t="n">
        <f aca="false">IF(EnergyCurve!G186&lt;200,0.001*EnergyCurve!G186+1,1.2)*EnergyCurve!G186</f>
        <v>38.369</v>
      </c>
      <c r="H186" s="96" t="n">
        <f aca="false">IF(EnergyCurve!H186&lt;200,0.001*EnergyCurve!H186+1,1.2)*EnergyCurve!H186</f>
        <v>33.024</v>
      </c>
      <c r="I186" s="96" t="n">
        <f aca="false">IF(EnergyCurve!I186&lt;200,0.001*EnergyCurve!I186+1,1.2)*EnergyCurve!I186</f>
        <v>68.096</v>
      </c>
      <c r="J186" s="94" t="n">
        <f aca="false">VLOOKUP($D186,tblPriorPrice,3)</f>
        <v>0</v>
      </c>
      <c r="K186" s="95" t="n">
        <f aca="false">L186-J186</f>
        <v>0</v>
      </c>
      <c r="L186" s="264" t="n">
        <v>0</v>
      </c>
      <c r="M186" s="96" t="n">
        <f aca="false">L186</f>
        <v>0</v>
      </c>
      <c r="N186" s="96" t="n">
        <f aca="false">L186</f>
        <v>0</v>
      </c>
      <c r="O186" s="58" t="n">
        <f aca="true">IF($A186="",0,INDEX(tblPosn,$A186,2))</f>
        <v>0</v>
      </c>
      <c r="P186" s="59" t="n">
        <f aca="true">IF($A186="",0,INDEX(tblPosn,$A186,3))</f>
        <v>0</v>
      </c>
      <c r="Q186" s="59" t="n">
        <f aca="true">IF($A186="",0,INDEX(tblPosn,$A186,4))</f>
        <v>0</v>
      </c>
      <c r="R186" s="59" t="n">
        <f aca="true">IF($A186="",0,INDEX(tblPosn,$A186,5))</f>
        <v>0</v>
      </c>
      <c r="S186" s="59" t="n">
        <f aca="true">IF($A186="",0,INDEX(tblPosn,$A186,6))</f>
        <v>0</v>
      </c>
      <c r="T186" s="98" t="n">
        <f aca="false">O186*F186+P186*K186+R186*AC186+S186*AH186/0.72+Q186*X186</f>
        <v>0</v>
      </c>
      <c r="V186" s="161" t="n">
        <f aca="false">D186</f>
        <v>41548</v>
      </c>
      <c r="W186" s="94" t="n">
        <f aca="false">VLOOKUP($D186,tblPriorPrice,4)</f>
        <v>0</v>
      </c>
      <c r="X186" s="162"/>
      <c r="Y186" s="176" t="n">
        <f aca="false">L186</f>
        <v>0</v>
      </c>
      <c r="Z186" s="177" t="n">
        <f aca="false">Y186</f>
        <v>0</v>
      </c>
      <c r="AA186" s="177" t="n">
        <f aca="false">Y186</f>
        <v>0</v>
      </c>
      <c r="AB186" s="94" t="n">
        <f aca="false">VLOOKUP($D186,tblPriorPrice,5)</f>
        <v>0</v>
      </c>
      <c r="AC186" s="162"/>
      <c r="AD186" s="176" t="n">
        <f aca="false">L186</f>
        <v>0</v>
      </c>
      <c r="AE186" s="96" t="n">
        <f aca="false">AD186</f>
        <v>0</v>
      </c>
      <c r="AF186" s="97" t="n">
        <f aca="false">AD186</f>
        <v>0</v>
      </c>
      <c r="AG186" s="94" t="n">
        <f aca="false">VLOOKUP($D186,tblPriorPrice,6)</f>
        <v>0</v>
      </c>
      <c r="AH186" s="182"/>
      <c r="AI186" s="189" t="n">
        <f aca="false">AG186+AH186</f>
        <v>0</v>
      </c>
      <c r="AJ186" s="96" t="n">
        <f aca="false">AI186</f>
        <v>0</v>
      </c>
      <c r="AK186" s="97" t="n">
        <f aca="false">AI186</f>
        <v>0</v>
      </c>
      <c r="AL186" s="178" t="n">
        <v>52</v>
      </c>
      <c r="AM186" s="165" t="n">
        <v>0.4</v>
      </c>
      <c r="AN186" s="166" t="n">
        <f aca="false">EnergyCurve!AN186*2</f>
        <v>0.34</v>
      </c>
      <c r="AO186" s="166" t="n">
        <f aca="false">EnergyCurve!AO186</f>
        <v>0.153</v>
      </c>
      <c r="AP186" s="166" t="n">
        <f aca="false">AN186*1.25</f>
        <v>0.425</v>
      </c>
      <c r="AQ186" s="166" t="n">
        <f aca="false">EnergyCurve!AQ186*2</f>
        <v>0.34</v>
      </c>
      <c r="AR186" s="166" t="n">
        <f aca="false">EnergyCurve!AR186</f>
        <v>0.136</v>
      </c>
      <c r="AS186" s="166" t="n">
        <f aca="false">EnergyCurve!AS186*1.25</f>
        <v>0.255</v>
      </c>
      <c r="AT186" s="168" t="n">
        <f aca="false">EnergyCurve!AT186*2*2</f>
        <v>7.75576329559925</v>
      </c>
      <c r="AU186" s="169" t="n">
        <f aca="false">EnergyCurve!AU186</f>
        <v>-0.484735205974953</v>
      </c>
      <c r="AV186" s="169" t="n">
        <f aca="false">AT186*1.25</f>
        <v>9.69470411949907</v>
      </c>
      <c r="AW186" s="168" t="n">
        <f aca="false">EnergyCurve!AW186*2*2</f>
        <v>9.9276</v>
      </c>
      <c r="AX186" s="169" t="n">
        <f aca="false">EnergyCurve!AX186</f>
        <v>-0.620475</v>
      </c>
      <c r="AY186" s="169" t="n">
        <f aca="false">AW186*1.25</f>
        <v>12.4095</v>
      </c>
      <c r="AZ186" s="167" t="n">
        <v>0</v>
      </c>
      <c r="BA186" s="74"/>
      <c r="BQ186" s="108" t="n">
        <v>36907.7428240741</v>
      </c>
      <c r="BR186" s="109" t="n">
        <v>36907.7434490741</v>
      </c>
      <c r="BS186" s="110" t="n">
        <v>41760</v>
      </c>
      <c r="BT186" s="111" t="n">
        <v>0</v>
      </c>
      <c r="BU186" s="112" t="n">
        <v>0</v>
      </c>
      <c r="BV186" s="112" t="n">
        <v>0</v>
      </c>
      <c r="BW186" s="112" t="n">
        <v>0</v>
      </c>
      <c r="BX186" s="113" t="n">
        <v>0</v>
      </c>
      <c r="BZ186" s="110" t="n">
        <v>41548</v>
      </c>
      <c r="CA186" s="116" t="n">
        <v>38.3689994812012</v>
      </c>
      <c r="CB186" s="116" t="n">
        <v>0</v>
      </c>
      <c r="CC186" s="116" t="n">
        <v>0</v>
      </c>
      <c r="CD186" s="116" t="n">
        <v>0</v>
      </c>
      <c r="CE186" s="117" t="n">
        <v>0</v>
      </c>
    </row>
    <row r="187" customFormat="false" ht="12.75" hidden="false" customHeight="false" outlineLevel="0" collapsed="false">
      <c r="A187" s="0" t="n">
        <f aca="true">IF(ISERROR(MATCH(D187,iRefDt,0)),"",MATCH(D187,iRefDt,0))</f>
        <v>178</v>
      </c>
      <c r="B187" s="92" t="n">
        <f aca="false">MATCH(YEAR(D187),iSpreads)</f>
        <v>13</v>
      </c>
      <c r="C187" s="0" t="n">
        <f aca="false">MONTH(D187)</f>
        <v>11</v>
      </c>
      <c r="D187" s="93" t="n">
        <f aca="false">+EnergyCurve!D187</f>
        <v>41579</v>
      </c>
      <c r="E187" s="94" t="n">
        <f aca="false">VLOOKUP($D187,tblPriorPrice,2)</f>
        <v>31.9610004425049</v>
      </c>
      <c r="F187" s="95" t="n">
        <f aca="false">G187-E187</f>
        <v>-4.42504884290429E-007</v>
      </c>
      <c r="G187" s="264" t="n">
        <f aca="false">IF(EnergyCurve!G187&lt;200,0.001*EnergyCurve!G187+1,1.2)*EnergyCurve!G187</f>
        <v>31.961</v>
      </c>
      <c r="H187" s="96" t="n">
        <f aca="false">IF(EnergyCurve!H187&lt;200,0.001*EnergyCurve!H187+1,1.2)*EnergyCurve!H187</f>
        <v>26.676</v>
      </c>
      <c r="I187" s="96" t="n">
        <f aca="false">IF(EnergyCurve!I187&lt;200,0.001*EnergyCurve!I187+1,1.2)*EnergyCurve!I187</f>
        <v>61.364</v>
      </c>
      <c r="J187" s="94" t="n">
        <f aca="false">VLOOKUP($D187,tblPriorPrice,3)</f>
        <v>0</v>
      </c>
      <c r="K187" s="95" t="n">
        <f aca="false">L187-J187</f>
        <v>0</v>
      </c>
      <c r="L187" s="264" t="n">
        <v>0</v>
      </c>
      <c r="M187" s="96" t="n">
        <f aca="false">L187</f>
        <v>0</v>
      </c>
      <c r="N187" s="96" t="n">
        <f aca="false">L187</f>
        <v>0</v>
      </c>
      <c r="O187" s="58" t="n">
        <f aca="true">IF($A187="",0,INDEX(tblPosn,$A187,2))</f>
        <v>0</v>
      </c>
      <c r="P187" s="59" t="n">
        <f aca="true">IF($A187="",0,INDEX(tblPosn,$A187,3))</f>
        <v>0</v>
      </c>
      <c r="Q187" s="59" t="n">
        <f aca="true">IF($A187="",0,INDEX(tblPosn,$A187,4))</f>
        <v>0</v>
      </c>
      <c r="R187" s="59" t="n">
        <f aca="true">IF($A187="",0,INDEX(tblPosn,$A187,5))</f>
        <v>0</v>
      </c>
      <c r="S187" s="59" t="n">
        <f aca="true">IF($A187="",0,INDEX(tblPosn,$A187,6))</f>
        <v>0</v>
      </c>
      <c r="T187" s="98" t="n">
        <f aca="false">O187*F187+P187*K187+R187*AC187+S187*AH187/0.72+Q187*X187</f>
        <v>0</v>
      </c>
      <c r="V187" s="161" t="n">
        <f aca="false">D187</f>
        <v>41579</v>
      </c>
      <c r="W187" s="94" t="n">
        <f aca="false">VLOOKUP($D187,tblPriorPrice,4)</f>
        <v>0</v>
      </c>
      <c r="X187" s="162"/>
      <c r="Y187" s="176" t="n">
        <f aca="false">L187</f>
        <v>0</v>
      </c>
      <c r="Z187" s="177" t="n">
        <f aca="false">Y187</f>
        <v>0</v>
      </c>
      <c r="AA187" s="177" t="n">
        <f aca="false">Y187</f>
        <v>0</v>
      </c>
      <c r="AB187" s="94" t="n">
        <f aca="false">VLOOKUP($D187,tblPriorPrice,5)</f>
        <v>0</v>
      </c>
      <c r="AC187" s="162"/>
      <c r="AD187" s="176" t="n">
        <f aca="false">L187</f>
        <v>0</v>
      </c>
      <c r="AE187" s="96" t="n">
        <f aca="false">AD187</f>
        <v>0</v>
      </c>
      <c r="AF187" s="97" t="n">
        <f aca="false">AD187</f>
        <v>0</v>
      </c>
      <c r="AG187" s="94" t="n">
        <f aca="false">VLOOKUP($D187,tblPriorPrice,6)</f>
        <v>0</v>
      </c>
      <c r="AH187" s="182"/>
      <c r="AI187" s="189" t="n">
        <f aca="false">AG187+AH187</f>
        <v>0</v>
      </c>
      <c r="AJ187" s="96" t="n">
        <f aca="false">AI187</f>
        <v>0</v>
      </c>
      <c r="AK187" s="97" t="n">
        <f aca="false">AI187</f>
        <v>0</v>
      </c>
      <c r="AL187" s="178" t="n">
        <v>52</v>
      </c>
      <c r="AM187" s="165" t="n">
        <v>0.4</v>
      </c>
      <c r="AN187" s="166" t="n">
        <f aca="false">EnergyCurve!AN187*2</f>
        <v>0.34</v>
      </c>
      <c r="AO187" s="166" t="n">
        <f aca="false">EnergyCurve!AO187</f>
        <v>0.153</v>
      </c>
      <c r="AP187" s="166" t="n">
        <f aca="false">AN187*1.25</f>
        <v>0.425</v>
      </c>
      <c r="AQ187" s="166" t="n">
        <f aca="false">EnergyCurve!AQ187*2</f>
        <v>0.34</v>
      </c>
      <c r="AR187" s="166" t="n">
        <f aca="false">EnergyCurve!AR187</f>
        <v>0.136</v>
      </c>
      <c r="AS187" s="166" t="n">
        <f aca="false">EnergyCurve!AS187*1.25</f>
        <v>0.255</v>
      </c>
      <c r="AT187" s="168" t="n">
        <f aca="false">EnergyCurve!AT187*2*2</f>
        <v>6.56235962744143</v>
      </c>
      <c r="AU187" s="169" t="n">
        <f aca="false">EnergyCurve!AU187</f>
        <v>-0.410147476715089</v>
      </c>
      <c r="AV187" s="169" t="n">
        <f aca="false">AT187*1.25</f>
        <v>8.20294953430178</v>
      </c>
      <c r="AW187" s="168" t="n">
        <f aca="false">EnergyCurve!AW187*2*2</f>
        <v>10.4928</v>
      </c>
      <c r="AX187" s="169" t="n">
        <f aca="false">EnergyCurve!AX187</f>
        <v>-0.6558</v>
      </c>
      <c r="AY187" s="169" t="n">
        <f aca="false">AW187*1.25</f>
        <v>13.116</v>
      </c>
      <c r="AZ187" s="167" t="n">
        <v>0</v>
      </c>
      <c r="BA187" s="74"/>
      <c r="BQ187" s="108" t="n">
        <v>36907.7428240741</v>
      </c>
      <c r="BR187" s="109" t="n">
        <v>36907.7434490741</v>
      </c>
      <c r="BS187" s="110" t="n">
        <v>41791</v>
      </c>
      <c r="BT187" s="111" t="n">
        <v>0</v>
      </c>
      <c r="BU187" s="112" t="n">
        <v>0</v>
      </c>
      <c r="BV187" s="112" t="n">
        <v>0</v>
      </c>
      <c r="BW187" s="112" t="n">
        <v>0</v>
      </c>
      <c r="BX187" s="113" t="n">
        <v>0</v>
      </c>
      <c r="BZ187" s="110" t="n">
        <v>41579</v>
      </c>
      <c r="CA187" s="116" t="n">
        <v>31.9610004425049</v>
      </c>
      <c r="CB187" s="116" t="n">
        <v>0</v>
      </c>
      <c r="CC187" s="116" t="n">
        <v>0</v>
      </c>
      <c r="CD187" s="116" t="n">
        <v>0</v>
      </c>
      <c r="CE187" s="117" t="n">
        <v>0</v>
      </c>
    </row>
    <row r="188" customFormat="false" ht="12.75" hidden="false" customHeight="false" outlineLevel="0" collapsed="false">
      <c r="A188" s="0" t="n">
        <f aca="true">IF(ISERROR(MATCH(D188,iRefDt,0)),"",MATCH(D188,iRefDt,0))</f>
        <v>179</v>
      </c>
      <c r="B188" s="92" t="n">
        <f aca="false">MATCH(YEAR(D188),iSpreads)</f>
        <v>13</v>
      </c>
      <c r="C188" s="0" t="n">
        <f aca="false">MONTH(D188)</f>
        <v>12</v>
      </c>
      <c r="D188" s="93" t="n">
        <f aca="false">+EnergyCurve!D188</f>
        <v>41609</v>
      </c>
      <c r="E188" s="94" t="n">
        <f aca="false">VLOOKUP($D188,tblPriorPrice,2)</f>
        <v>33.0239982604981</v>
      </c>
      <c r="F188" s="95" t="n">
        <f aca="false">G188-E188</f>
        <v>1.73950195403449E-006</v>
      </c>
      <c r="G188" s="264" t="n">
        <f aca="false">IF(EnergyCurve!G188&lt;200,0.001*EnergyCurve!G188+1,1.2)*EnergyCurve!G188</f>
        <v>33.024</v>
      </c>
      <c r="H188" s="96" t="n">
        <f aca="false">IF(EnergyCurve!H188&lt;200,0.001*EnergyCurve!H188+1,1.2)*EnergyCurve!H188</f>
        <v>27.729</v>
      </c>
      <c r="I188" s="96" t="n">
        <f aca="false">IF(EnergyCurve!I188&lt;200,0.001*EnergyCurve!I188+1,1.2)*EnergyCurve!I188</f>
        <v>62.481</v>
      </c>
      <c r="J188" s="94" t="n">
        <f aca="false">VLOOKUP($D188,tblPriorPrice,3)</f>
        <v>0</v>
      </c>
      <c r="K188" s="95" t="n">
        <f aca="false">L188-J188</f>
        <v>0</v>
      </c>
      <c r="L188" s="264" t="n">
        <v>0</v>
      </c>
      <c r="M188" s="96" t="n">
        <f aca="false">L188</f>
        <v>0</v>
      </c>
      <c r="N188" s="96" t="n">
        <f aca="false">L188</f>
        <v>0</v>
      </c>
      <c r="O188" s="58" t="n">
        <f aca="true">IF($A188="",0,INDEX(tblPosn,$A188,2))</f>
        <v>0</v>
      </c>
      <c r="P188" s="59" t="n">
        <f aca="true">IF($A188="",0,INDEX(tblPosn,$A188,3))</f>
        <v>0</v>
      </c>
      <c r="Q188" s="59" t="n">
        <f aca="true">IF($A188="",0,INDEX(tblPosn,$A188,4))</f>
        <v>0</v>
      </c>
      <c r="R188" s="59" t="n">
        <f aca="true">IF($A188="",0,INDEX(tblPosn,$A188,5))</f>
        <v>0</v>
      </c>
      <c r="S188" s="59" t="n">
        <f aca="true">IF($A188="",0,INDEX(tblPosn,$A188,6))</f>
        <v>0</v>
      </c>
      <c r="T188" s="98" t="n">
        <f aca="false">O188*F188+P188*K188+R188*AC188+S188*AH188/0.72+Q188*X188</f>
        <v>0</v>
      </c>
      <c r="V188" s="161" t="n">
        <f aca="false">D188</f>
        <v>41609</v>
      </c>
      <c r="W188" s="94" t="n">
        <f aca="false">VLOOKUP($D188,tblPriorPrice,4)</f>
        <v>0</v>
      </c>
      <c r="X188" s="162"/>
      <c r="Y188" s="176" t="n">
        <f aca="false">L188</f>
        <v>0</v>
      </c>
      <c r="Z188" s="177" t="n">
        <f aca="false">Y188</f>
        <v>0</v>
      </c>
      <c r="AA188" s="177" t="n">
        <f aca="false">Y188</f>
        <v>0</v>
      </c>
      <c r="AB188" s="94" t="n">
        <f aca="false">VLOOKUP($D188,tblPriorPrice,5)</f>
        <v>0</v>
      </c>
      <c r="AC188" s="162"/>
      <c r="AD188" s="176" t="n">
        <f aca="false">L188</f>
        <v>0</v>
      </c>
      <c r="AE188" s="96" t="n">
        <f aca="false">AD188</f>
        <v>0</v>
      </c>
      <c r="AF188" s="97" t="n">
        <f aca="false">AD188</f>
        <v>0</v>
      </c>
      <c r="AG188" s="94" t="n">
        <f aca="false">VLOOKUP($D188,tblPriorPrice,6)</f>
        <v>0</v>
      </c>
      <c r="AH188" s="182"/>
      <c r="AI188" s="189" t="n">
        <f aca="false">AG188+AH188</f>
        <v>0</v>
      </c>
      <c r="AJ188" s="96" t="n">
        <f aca="false">AI188</f>
        <v>0</v>
      </c>
      <c r="AK188" s="97" t="n">
        <f aca="false">AI188</f>
        <v>0</v>
      </c>
      <c r="AL188" s="178" t="n">
        <v>52</v>
      </c>
      <c r="AM188" s="165" t="n">
        <v>0.4</v>
      </c>
      <c r="AN188" s="166" t="n">
        <f aca="false">EnergyCurve!AN188*2</f>
        <v>0.34</v>
      </c>
      <c r="AO188" s="166" t="n">
        <f aca="false">EnergyCurve!AO188</f>
        <v>0.153</v>
      </c>
      <c r="AP188" s="166" t="n">
        <f aca="false">AN188*1.25</f>
        <v>0.425</v>
      </c>
      <c r="AQ188" s="166" t="n">
        <f aca="false">EnergyCurve!AQ188*2</f>
        <v>0.34</v>
      </c>
      <c r="AR188" s="166" t="n">
        <f aca="false">EnergyCurve!AR188</f>
        <v>0.136</v>
      </c>
      <c r="AS188" s="166" t="n">
        <f aca="false">EnergyCurve!AS188*1.25</f>
        <v>0.255</v>
      </c>
      <c r="AT188" s="168" t="n">
        <f aca="false">EnergyCurve!AT188*2*2</f>
        <v>6.71448638739126</v>
      </c>
      <c r="AU188" s="169" t="n">
        <f aca="false">EnergyCurve!AU188</f>
        <v>-0.419655399211954</v>
      </c>
      <c r="AV188" s="169" t="n">
        <f aca="false">AT188*1.25</f>
        <v>8.39310798423907</v>
      </c>
      <c r="AW188" s="168" t="n">
        <f aca="false">EnergyCurve!AW188*2*2</f>
        <v>10.6812</v>
      </c>
      <c r="AX188" s="169" t="n">
        <f aca="false">EnergyCurve!AX188</f>
        <v>-0.667575</v>
      </c>
      <c r="AY188" s="169" t="n">
        <f aca="false">AW188*1.25</f>
        <v>13.3515</v>
      </c>
      <c r="AZ188" s="167" t="n">
        <v>0</v>
      </c>
      <c r="BA188" s="74"/>
      <c r="BQ188" s="108" t="n">
        <v>36907.7428240741</v>
      </c>
      <c r="BR188" s="109" t="n">
        <v>36907.7434490741</v>
      </c>
      <c r="BS188" s="110" t="n">
        <v>41821</v>
      </c>
      <c r="BT188" s="111" t="n">
        <v>0</v>
      </c>
      <c r="BU188" s="112" t="n">
        <v>0</v>
      </c>
      <c r="BV188" s="112" t="n">
        <v>0</v>
      </c>
      <c r="BW188" s="112" t="n">
        <v>0</v>
      </c>
      <c r="BX188" s="113" t="n">
        <v>0</v>
      </c>
      <c r="BZ188" s="110" t="n">
        <v>41609</v>
      </c>
      <c r="CA188" s="116" t="n">
        <v>33.0239982604981</v>
      </c>
      <c r="CB188" s="116" t="n">
        <v>0</v>
      </c>
      <c r="CC188" s="116" t="n">
        <v>0</v>
      </c>
      <c r="CD188" s="116" t="n">
        <v>0</v>
      </c>
      <c r="CE188" s="117" t="n">
        <v>0</v>
      </c>
    </row>
    <row r="189" customFormat="false" ht="12.75" hidden="false" customHeight="false" outlineLevel="0" collapsed="false">
      <c r="A189" s="0" t="n">
        <f aca="true">IF(ISERROR(MATCH(D189,iRefDt,0)),"",MATCH(D189,iRefDt,0))</f>
        <v>180</v>
      </c>
      <c r="B189" s="92" t="n">
        <f aca="false">MATCH(YEAR(D189),iSpreads)</f>
        <v>14</v>
      </c>
      <c r="C189" s="0" t="n">
        <f aca="false">MONTH(D189)</f>
        <v>1</v>
      </c>
      <c r="D189" s="93" t="n">
        <f aca="false">+EnergyCurve!D189</f>
        <v>41640</v>
      </c>
      <c r="E189" s="94" t="n">
        <f aca="false">VLOOKUP($D189,tblPriorPrice,2)</f>
        <v>34.0890007019043</v>
      </c>
      <c r="F189" s="95" t="n">
        <f aca="false">G189-E189</f>
        <v>-7.01904298239242E-007</v>
      </c>
      <c r="G189" s="264" t="n">
        <f aca="false">IF(EnergyCurve!G189&lt;200,0.001*EnergyCurve!G189+1,1.2)*EnergyCurve!G189</f>
        <v>34.089</v>
      </c>
      <c r="H189" s="96" t="n">
        <f aca="false">IF(EnergyCurve!H189&lt;200,0.001*EnergyCurve!H189+1,1.2)*EnergyCurve!H189</f>
        <v>28.784</v>
      </c>
      <c r="I189" s="96" t="n">
        <f aca="false">IF(EnergyCurve!I189&lt;200,0.001*EnergyCurve!I189+1,1.2)*EnergyCurve!I189</f>
        <v>64.721</v>
      </c>
      <c r="J189" s="94" t="n">
        <f aca="false">VLOOKUP($D189,tblPriorPrice,3)</f>
        <v>0</v>
      </c>
      <c r="K189" s="95" t="n">
        <f aca="false">L189-J189</f>
        <v>0</v>
      </c>
      <c r="L189" s="264" t="n">
        <v>0</v>
      </c>
      <c r="M189" s="96" t="n">
        <f aca="false">L189</f>
        <v>0</v>
      </c>
      <c r="N189" s="96" t="n">
        <f aca="false">L189</f>
        <v>0</v>
      </c>
      <c r="O189" s="58" t="n">
        <f aca="true">IF($A189="",0,INDEX(tblPosn,$A189,2))</f>
        <v>0</v>
      </c>
      <c r="P189" s="59" t="n">
        <f aca="true">IF($A189="",0,INDEX(tblPosn,$A189,3))</f>
        <v>0</v>
      </c>
      <c r="Q189" s="59" t="n">
        <f aca="true">IF($A189="",0,INDEX(tblPosn,$A189,4))</f>
        <v>0</v>
      </c>
      <c r="R189" s="59" t="n">
        <f aca="true">IF($A189="",0,INDEX(tblPosn,$A189,5))</f>
        <v>0</v>
      </c>
      <c r="S189" s="59" t="n">
        <f aca="true">IF($A189="",0,INDEX(tblPosn,$A189,6))</f>
        <v>0</v>
      </c>
      <c r="T189" s="98" t="n">
        <f aca="false">O189*F189+P189*K189+R189*AC189+S189*AH189/0.72+Q189*X189</f>
        <v>0</v>
      </c>
      <c r="V189" s="161" t="n">
        <f aca="false">D189</f>
        <v>41640</v>
      </c>
      <c r="W189" s="94" t="n">
        <f aca="false">VLOOKUP($D189,tblPriorPrice,4)</f>
        <v>0</v>
      </c>
      <c r="X189" s="162"/>
      <c r="Y189" s="176" t="n">
        <f aca="false">L189</f>
        <v>0</v>
      </c>
      <c r="Z189" s="177" t="n">
        <f aca="false">Y189</f>
        <v>0</v>
      </c>
      <c r="AA189" s="177" t="n">
        <f aca="false">Y189</f>
        <v>0</v>
      </c>
      <c r="AB189" s="94" t="n">
        <f aca="false">VLOOKUP($D189,tblPriorPrice,5)</f>
        <v>0</v>
      </c>
      <c r="AC189" s="162"/>
      <c r="AD189" s="176" t="n">
        <f aca="false">L189</f>
        <v>0</v>
      </c>
      <c r="AE189" s="96" t="n">
        <f aca="false">AD189</f>
        <v>0</v>
      </c>
      <c r="AF189" s="97" t="n">
        <f aca="false">AD189</f>
        <v>0</v>
      </c>
      <c r="AG189" s="94" t="n">
        <f aca="false">VLOOKUP($D189,tblPriorPrice,6)</f>
        <v>0</v>
      </c>
      <c r="AH189" s="182"/>
      <c r="AI189" s="189" t="n">
        <f aca="false">AG189+AH189</f>
        <v>0</v>
      </c>
      <c r="AJ189" s="96" t="n">
        <f aca="false">AI189</f>
        <v>0</v>
      </c>
      <c r="AK189" s="97" t="n">
        <f aca="false">AI189</f>
        <v>0</v>
      </c>
      <c r="AL189" s="178" t="n">
        <v>53</v>
      </c>
      <c r="AM189" s="165" t="n">
        <v>0.4</v>
      </c>
      <c r="AN189" s="166" t="n">
        <f aca="false">EnergyCurve!AN189*2</f>
        <v>0.34</v>
      </c>
      <c r="AO189" s="166" t="n">
        <f aca="false">EnergyCurve!AO189</f>
        <v>0.153</v>
      </c>
      <c r="AP189" s="166" t="n">
        <f aca="false">AN189*1.25</f>
        <v>0.425</v>
      </c>
      <c r="AQ189" s="166" t="n">
        <f aca="false">EnergyCurve!AQ189*2</f>
        <v>0.34</v>
      </c>
      <c r="AR189" s="166" t="n">
        <f aca="false">EnergyCurve!AR189</f>
        <v>0.136</v>
      </c>
      <c r="AS189" s="166" t="n">
        <f aca="false">EnergyCurve!AS189*1.25</f>
        <v>0.255</v>
      </c>
      <c r="AT189" s="168" t="n">
        <f aca="false">EnergyCurve!AT189*2*2</f>
        <v>6.88781730529552</v>
      </c>
      <c r="AU189" s="169" t="n">
        <f aca="false">EnergyCurve!AU189</f>
        <v>-0.43048858158097</v>
      </c>
      <c r="AV189" s="169" t="n">
        <f aca="false">AT189*1.25</f>
        <v>8.60977163161941</v>
      </c>
      <c r="AW189" s="168" t="n">
        <f aca="false">EnergyCurve!AW189*2*2</f>
        <v>10.4928</v>
      </c>
      <c r="AX189" s="169" t="n">
        <f aca="false">EnergyCurve!AX189</f>
        <v>-0.6558</v>
      </c>
      <c r="AY189" s="169" t="n">
        <f aca="false">AW189*1.25</f>
        <v>13.116</v>
      </c>
      <c r="AZ189" s="167" t="n">
        <v>0</v>
      </c>
      <c r="BA189" s="74"/>
      <c r="BQ189" s="108" t="n">
        <v>36907.7428240741</v>
      </c>
      <c r="BR189" s="109" t="n">
        <v>36907.7434490741</v>
      </c>
      <c r="BS189" s="110" t="n">
        <v>41852</v>
      </c>
      <c r="BT189" s="111" t="n">
        <v>0</v>
      </c>
      <c r="BU189" s="112" t="n">
        <v>0</v>
      </c>
      <c r="BV189" s="112" t="n">
        <v>0</v>
      </c>
      <c r="BW189" s="112" t="n">
        <v>0</v>
      </c>
      <c r="BX189" s="113" t="n">
        <v>0</v>
      </c>
      <c r="BZ189" s="110" t="n">
        <v>41640</v>
      </c>
      <c r="CA189" s="116" t="n">
        <v>34.0890007019043</v>
      </c>
      <c r="CB189" s="116" t="n">
        <v>0</v>
      </c>
      <c r="CC189" s="116" t="n">
        <v>0</v>
      </c>
      <c r="CD189" s="116" t="n">
        <v>0</v>
      </c>
      <c r="CE189" s="117" t="n">
        <v>0</v>
      </c>
    </row>
    <row r="190" customFormat="false" ht="12.75" hidden="false" customHeight="false" outlineLevel="0" collapsed="false">
      <c r="A190" s="0" t="n">
        <f aca="true">IF(ISERROR(MATCH(D190,iRefDt,0)),"",MATCH(D190,iRefDt,0))</f>
        <v>181</v>
      </c>
      <c r="B190" s="92" t="n">
        <f aca="false">MATCH(YEAR(D190),iSpreads)</f>
        <v>14</v>
      </c>
      <c r="C190" s="0" t="n">
        <f aca="false">MONTH(D190)</f>
        <v>2</v>
      </c>
      <c r="D190" s="93" t="n">
        <f aca="false">+EnergyCurve!D190</f>
        <v>41671</v>
      </c>
      <c r="E190" s="94" t="n">
        <f aca="false">VLOOKUP($D190,tblPriorPrice,2)</f>
        <v>30.8999996185303</v>
      </c>
      <c r="F190" s="95" t="n">
        <f aca="false">G190-E190</f>
        <v>3.81469728694128E-007</v>
      </c>
      <c r="G190" s="264" t="n">
        <f aca="false">IF(EnergyCurve!G190&lt;200,0.001*EnergyCurve!G190+1,1.2)*EnergyCurve!G190</f>
        <v>30.9</v>
      </c>
      <c r="H190" s="96" t="n">
        <f aca="false">IF(EnergyCurve!H190&lt;200,0.001*EnergyCurve!H190+1,1.2)*EnergyCurve!H190</f>
        <v>25.625</v>
      </c>
      <c r="I190" s="96" t="n">
        <f aca="false">IF(EnergyCurve!I190&lt;200,0.001*EnergyCurve!I190+1,1.2)*EnergyCurve!I190</f>
        <v>61.364</v>
      </c>
      <c r="J190" s="94" t="n">
        <f aca="false">VLOOKUP($D190,tblPriorPrice,3)</f>
        <v>0</v>
      </c>
      <c r="K190" s="95" t="n">
        <f aca="false">L190-J190</f>
        <v>0</v>
      </c>
      <c r="L190" s="264" t="n">
        <v>0</v>
      </c>
      <c r="M190" s="96" t="n">
        <f aca="false">L190</f>
        <v>0</v>
      </c>
      <c r="N190" s="96" t="n">
        <f aca="false">L190</f>
        <v>0</v>
      </c>
      <c r="O190" s="58" t="n">
        <f aca="true">IF($A190="",0,INDEX(tblPosn,$A190,2))</f>
        <v>0</v>
      </c>
      <c r="P190" s="59" t="n">
        <f aca="true">IF($A190="",0,INDEX(tblPosn,$A190,3))</f>
        <v>0</v>
      </c>
      <c r="Q190" s="59" t="n">
        <f aca="true">IF($A190="",0,INDEX(tblPosn,$A190,4))</f>
        <v>0</v>
      </c>
      <c r="R190" s="59" t="n">
        <f aca="true">IF($A190="",0,INDEX(tblPosn,$A190,5))</f>
        <v>0</v>
      </c>
      <c r="S190" s="59" t="n">
        <f aca="true">IF($A190="",0,INDEX(tblPosn,$A190,6))</f>
        <v>0</v>
      </c>
      <c r="T190" s="98" t="n">
        <f aca="false">O190*F190+P190*K190+R190*AC190+S190*AH190/0.72+Q190*X190</f>
        <v>0</v>
      </c>
      <c r="V190" s="161" t="n">
        <f aca="false">D190</f>
        <v>41671</v>
      </c>
      <c r="W190" s="94" t="n">
        <f aca="false">VLOOKUP($D190,tblPriorPrice,4)</f>
        <v>0</v>
      </c>
      <c r="X190" s="162"/>
      <c r="Y190" s="176" t="n">
        <f aca="false">L190</f>
        <v>0</v>
      </c>
      <c r="Z190" s="177" t="n">
        <f aca="false">Y190</f>
        <v>0</v>
      </c>
      <c r="AA190" s="177" t="n">
        <f aca="false">Y190</f>
        <v>0</v>
      </c>
      <c r="AB190" s="94" t="n">
        <f aca="false">VLOOKUP($D190,tblPriorPrice,5)</f>
        <v>0</v>
      </c>
      <c r="AC190" s="162"/>
      <c r="AD190" s="176" t="n">
        <f aca="false">L190</f>
        <v>0</v>
      </c>
      <c r="AE190" s="96" t="n">
        <f aca="false">AD190</f>
        <v>0</v>
      </c>
      <c r="AF190" s="97" t="n">
        <f aca="false">AD190</f>
        <v>0</v>
      </c>
      <c r="AG190" s="94" t="n">
        <f aca="false">VLOOKUP($D190,tblPriorPrice,6)</f>
        <v>0</v>
      </c>
      <c r="AH190" s="182"/>
      <c r="AI190" s="189" t="n">
        <f aca="false">AG190+AH190</f>
        <v>0</v>
      </c>
      <c r="AJ190" s="96" t="n">
        <f aca="false">AI190</f>
        <v>0</v>
      </c>
      <c r="AK190" s="97" t="n">
        <f aca="false">AI190</f>
        <v>0</v>
      </c>
      <c r="AL190" s="178" t="n">
        <v>53</v>
      </c>
      <c r="AM190" s="165" t="n">
        <v>0.4</v>
      </c>
      <c r="AN190" s="166" t="n">
        <f aca="false">EnergyCurve!AN190*2</f>
        <v>0.34</v>
      </c>
      <c r="AO190" s="166" t="n">
        <f aca="false">EnergyCurve!AO190</f>
        <v>0.153</v>
      </c>
      <c r="AP190" s="166" t="n">
        <f aca="false">AN190*1.25</f>
        <v>0.425</v>
      </c>
      <c r="AQ190" s="166" t="n">
        <f aca="false">EnergyCurve!AQ190*2</f>
        <v>0.34</v>
      </c>
      <c r="AR190" s="166" t="n">
        <f aca="false">EnergyCurve!AR190</f>
        <v>0.136</v>
      </c>
      <c r="AS190" s="166" t="n">
        <f aca="false">EnergyCurve!AS190*1.25</f>
        <v>0.255</v>
      </c>
      <c r="AT190" s="168" t="n">
        <f aca="false">EnergyCurve!AT190*2*2</f>
        <v>6.43371807382396</v>
      </c>
      <c r="AU190" s="169" t="n">
        <f aca="false">EnergyCurve!AU190</f>
        <v>-0.402107379613998</v>
      </c>
      <c r="AV190" s="169" t="n">
        <f aca="false">AT190*1.25</f>
        <v>8.04214759227995</v>
      </c>
      <c r="AW190" s="168" t="n">
        <f aca="false">EnergyCurve!AW190*2*2</f>
        <v>10.587</v>
      </c>
      <c r="AX190" s="169" t="n">
        <f aca="false">EnergyCurve!AX190</f>
        <v>-0.6616875</v>
      </c>
      <c r="AY190" s="169" t="n">
        <f aca="false">AW190*1.25</f>
        <v>13.23375</v>
      </c>
      <c r="AZ190" s="167" t="n">
        <v>0</v>
      </c>
      <c r="BA190" s="74"/>
      <c r="BQ190" s="108" t="n">
        <v>36907.7428240741</v>
      </c>
      <c r="BR190" s="109" t="n">
        <v>36907.7434490741</v>
      </c>
      <c r="BS190" s="110" t="n">
        <v>41883</v>
      </c>
      <c r="BT190" s="111" t="n">
        <v>0</v>
      </c>
      <c r="BU190" s="112" t="n">
        <v>0</v>
      </c>
      <c r="BV190" s="112" t="n">
        <v>0</v>
      </c>
      <c r="BW190" s="112" t="n">
        <v>0</v>
      </c>
      <c r="BX190" s="113" t="n">
        <v>0</v>
      </c>
      <c r="BZ190" s="110" t="n">
        <v>41671</v>
      </c>
      <c r="CA190" s="116" t="n">
        <v>30.8999996185303</v>
      </c>
      <c r="CB190" s="116" t="n">
        <v>0</v>
      </c>
      <c r="CC190" s="116" t="n">
        <v>0</v>
      </c>
      <c r="CD190" s="116" t="n">
        <v>0</v>
      </c>
      <c r="CE190" s="117" t="n">
        <v>0</v>
      </c>
    </row>
    <row r="191" customFormat="false" ht="12.75" hidden="false" customHeight="false" outlineLevel="0" collapsed="false">
      <c r="A191" s="0" t="n">
        <f aca="true">IF(ISERROR(MATCH(D191,iRefDt,0)),"",MATCH(D191,iRefDt,0))</f>
        <v>182</v>
      </c>
      <c r="B191" s="92" t="n">
        <f aca="false">MATCH(YEAR(D191),iSpreads)</f>
        <v>14</v>
      </c>
      <c r="C191" s="0" t="n">
        <f aca="false">MONTH(D191)</f>
        <v>3</v>
      </c>
      <c r="D191" s="93" t="n">
        <f aca="false">+EnergyCurve!D191</f>
        <v>41699</v>
      </c>
      <c r="E191" s="94" t="n">
        <f aca="false">VLOOKUP($D191,tblPriorPrice,2)</f>
        <v>29.8409996032715</v>
      </c>
      <c r="F191" s="95" t="n">
        <f aca="false">G191-E191</f>
        <v>3.96728513152311E-007</v>
      </c>
      <c r="G191" s="264" t="n">
        <f aca="false">IF(EnergyCurve!G191&lt;200,0.001*EnergyCurve!G191+1,1.2)*EnergyCurve!G191</f>
        <v>29.841</v>
      </c>
      <c r="H191" s="96" t="n">
        <f aca="false">IF(EnergyCurve!H191&lt;200,0.001*EnergyCurve!H191+1,1.2)*EnergyCurve!H191</f>
        <v>24.576</v>
      </c>
      <c r="I191" s="96" t="n">
        <f aca="false">IF(EnergyCurve!I191&lt;200,0.001*EnergyCurve!I191+1,1.2)*EnergyCurve!I191</f>
        <v>60.249</v>
      </c>
      <c r="J191" s="94" t="n">
        <f aca="false">VLOOKUP($D191,tblPriorPrice,3)</f>
        <v>0</v>
      </c>
      <c r="K191" s="95" t="n">
        <f aca="false">L191-J191</f>
        <v>0</v>
      </c>
      <c r="L191" s="264" t="n">
        <v>0</v>
      </c>
      <c r="M191" s="96" t="n">
        <f aca="false">L191</f>
        <v>0</v>
      </c>
      <c r="N191" s="96" t="n">
        <f aca="false">L191</f>
        <v>0</v>
      </c>
      <c r="O191" s="58" t="n">
        <f aca="true">IF($A191="",0,INDEX(tblPosn,$A191,2))</f>
        <v>0</v>
      </c>
      <c r="P191" s="59" t="n">
        <f aca="true">IF($A191="",0,INDEX(tblPosn,$A191,3))</f>
        <v>0</v>
      </c>
      <c r="Q191" s="59" t="n">
        <f aca="true">IF($A191="",0,INDEX(tblPosn,$A191,4))</f>
        <v>0</v>
      </c>
      <c r="R191" s="59" t="n">
        <f aca="true">IF($A191="",0,INDEX(tblPosn,$A191,5))</f>
        <v>0</v>
      </c>
      <c r="S191" s="59" t="n">
        <f aca="true">IF($A191="",0,INDEX(tblPosn,$A191,6))</f>
        <v>0</v>
      </c>
      <c r="T191" s="98" t="n">
        <f aca="false">O191*F191+P191*K191+R191*AC191+S191*AH191/0.72+Q191*X191</f>
        <v>0</v>
      </c>
      <c r="V191" s="161" t="n">
        <f aca="false">D191</f>
        <v>41699</v>
      </c>
      <c r="W191" s="94" t="n">
        <f aca="false">VLOOKUP($D191,tblPriorPrice,4)</f>
        <v>0</v>
      </c>
      <c r="X191" s="162"/>
      <c r="Y191" s="176" t="n">
        <f aca="false">L191</f>
        <v>0</v>
      </c>
      <c r="Z191" s="177" t="n">
        <f aca="false">Y191</f>
        <v>0</v>
      </c>
      <c r="AA191" s="177" t="n">
        <f aca="false">Y191</f>
        <v>0</v>
      </c>
      <c r="AB191" s="94" t="n">
        <f aca="false">VLOOKUP($D191,tblPriorPrice,5)</f>
        <v>0</v>
      </c>
      <c r="AC191" s="162"/>
      <c r="AD191" s="176" t="n">
        <f aca="false">L191</f>
        <v>0</v>
      </c>
      <c r="AE191" s="96" t="n">
        <f aca="false">AD191</f>
        <v>0</v>
      </c>
      <c r="AF191" s="97" t="n">
        <f aca="false">AD191</f>
        <v>0</v>
      </c>
      <c r="AG191" s="94" t="n">
        <f aca="false">VLOOKUP($D191,tblPriorPrice,6)</f>
        <v>0</v>
      </c>
      <c r="AH191" s="182"/>
      <c r="AI191" s="189" t="n">
        <f aca="false">AG191+AH191</f>
        <v>0</v>
      </c>
      <c r="AJ191" s="96" t="n">
        <f aca="false">AI191</f>
        <v>0</v>
      </c>
      <c r="AK191" s="97" t="n">
        <f aca="false">AI191</f>
        <v>0</v>
      </c>
      <c r="AL191" s="178" t="n">
        <v>53</v>
      </c>
      <c r="AM191" s="165" t="n">
        <v>0.4</v>
      </c>
      <c r="AN191" s="166" t="n">
        <f aca="false">EnergyCurve!AN191*2</f>
        <v>0.34</v>
      </c>
      <c r="AO191" s="166" t="n">
        <f aca="false">EnergyCurve!AO191</f>
        <v>0.153</v>
      </c>
      <c r="AP191" s="166" t="n">
        <f aca="false">AN191*1.25</f>
        <v>0.425</v>
      </c>
      <c r="AQ191" s="166" t="n">
        <f aca="false">EnergyCurve!AQ191*2</f>
        <v>0.34</v>
      </c>
      <c r="AR191" s="166" t="n">
        <f aca="false">EnergyCurve!AR191</f>
        <v>0.136</v>
      </c>
      <c r="AS191" s="166" t="n">
        <f aca="false">EnergyCurve!AS191*1.25</f>
        <v>0.255</v>
      </c>
      <c r="AT191" s="168" t="n">
        <f aca="false">EnergyCurve!AT191*2*2</f>
        <v>6.33113623762127</v>
      </c>
      <c r="AU191" s="169" t="n">
        <f aca="false">EnergyCurve!AU191</f>
        <v>-0.395696014851329</v>
      </c>
      <c r="AV191" s="169" t="n">
        <f aca="false">AT191*1.25</f>
        <v>7.91392029702658</v>
      </c>
      <c r="AW191" s="168" t="n">
        <f aca="false">EnergyCurve!AW191*2*2</f>
        <v>10.6812</v>
      </c>
      <c r="AX191" s="169" t="n">
        <f aca="false">EnergyCurve!AX191</f>
        <v>-0.667575</v>
      </c>
      <c r="AY191" s="169" t="n">
        <f aca="false">AW191*1.25</f>
        <v>13.3515</v>
      </c>
      <c r="AZ191" s="167" t="n">
        <v>0</v>
      </c>
      <c r="BA191" s="74"/>
      <c r="BQ191" s="108" t="n">
        <v>36907.7428240741</v>
      </c>
      <c r="BR191" s="109" t="n">
        <v>36907.7434490741</v>
      </c>
      <c r="BS191" s="110" t="n">
        <v>41913</v>
      </c>
      <c r="BT191" s="111" t="n">
        <v>0</v>
      </c>
      <c r="BU191" s="112" t="n">
        <v>0</v>
      </c>
      <c r="BV191" s="112" t="n">
        <v>0</v>
      </c>
      <c r="BW191" s="112" t="n">
        <v>0</v>
      </c>
      <c r="BX191" s="113" t="n">
        <v>0</v>
      </c>
      <c r="BZ191" s="110" t="n">
        <v>41699</v>
      </c>
      <c r="CA191" s="116" t="n">
        <v>29.8409996032715</v>
      </c>
      <c r="CB191" s="116" t="n">
        <v>0</v>
      </c>
      <c r="CC191" s="116" t="n">
        <v>0</v>
      </c>
      <c r="CD191" s="116" t="n">
        <v>0</v>
      </c>
      <c r="CE191" s="117" t="n">
        <v>0</v>
      </c>
    </row>
    <row r="192" customFormat="false" ht="12.75" hidden="false" customHeight="false" outlineLevel="0" collapsed="false">
      <c r="A192" s="0" t="n">
        <f aca="true">IF(ISERROR(MATCH(D192,iRefDt,0)),"",MATCH(D192,iRefDt,0))</f>
        <v>183</v>
      </c>
      <c r="B192" s="92" t="n">
        <f aca="false">MATCH(YEAR(D192),iSpreads)</f>
        <v>14</v>
      </c>
      <c r="C192" s="0" t="n">
        <f aca="false">MONTH(D192)</f>
        <v>4</v>
      </c>
      <c r="D192" s="93" t="n">
        <f aca="false">+EnergyCurve!D192</f>
        <v>41730</v>
      </c>
      <c r="E192" s="94" t="n">
        <f aca="false">VLOOKUP($D192,tblPriorPrice,2)</f>
        <v>29.8409996032715</v>
      </c>
      <c r="F192" s="95" t="n">
        <f aca="false">G192-E192</f>
        <v>3.96728513152311E-007</v>
      </c>
      <c r="G192" s="264" t="n">
        <f aca="false">IF(EnergyCurve!G192&lt;200,0.001*EnergyCurve!G192+1,1.2)*EnergyCurve!G192</f>
        <v>29.841</v>
      </c>
      <c r="H192" s="96" t="n">
        <f aca="false">IF(EnergyCurve!H192&lt;200,0.001*EnergyCurve!H192+1,1.2)*EnergyCurve!H192</f>
        <v>24.576</v>
      </c>
      <c r="I192" s="96" t="n">
        <f aca="false">IF(EnergyCurve!I192&lt;200,0.001*EnergyCurve!I192+1,1.2)*EnergyCurve!I192</f>
        <v>60.249</v>
      </c>
      <c r="J192" s="94" t="n">
        <f aca="false">VLOOKUP($D192,tblPriorPrice,3)</f>
        <v>0</v>
      </c>
      <c r="K192" s="95" t="n">
        <f aca="false">L192-J192</f>
        <v>0</v>
      </c>
      <c r="L192" s="264" t="n">
        <v>0</v>
      </c>
      <c r="M192" s="96" t="n">
        <f aca="false">L192</f>
        <v>0</v>
      </c>
      <c r="N192" s="96" t="n">
        <f aca="false">L192</f>
        <v>0</v>
      </c>
      <c r="O192" s="58" t="n">
        <f aca="true">IF($A192="",0,INDEX(tblPosn,$A192,2))</f>
        <v>0</v>
      </c>
      <c r="P192" s="59" t="n">
        <f aca="true">IF($A192="",0,INDEX(tblPosn,$A192,3))</f>
        <v>0</v>
      </c>
      <c r="Q192" s="59" t="n">
        <f aca="true">IF($A192="",0,INDEX(tblPosn,$A192,4))</f>
        <v>0</v>
      </c>
      <c r="R192" s="59" t="n">
        <f aca="true">IF($A192="",0,INDEX(tblPosn,$A192,5))</f>
        <v>0</v>
      </c>
      <c r="S192" s="59" t="n">
        <f aca="true">IF($A192="",0,INDEX(tblPosn,$A192,6))</f>
        <v>0</v>
      </c>
      <c r="T192" s="98" t="n">
        <f aca="false">O192*F192+P192*K192+R192*AC192+S192*AH192/0.72+Q192*X192</f>
        <v>0</v>
      </c>
      <c r="V192" s="161" t="n">
        <f aca="false">D192</f>
        <v>41730</v>
      </c>
      <c r="W192" s="94" t="n">
        <f aca="false">VLOOKUP($D192,tblPriorPrice,4)</f>
        <v>0</v>
      </c>
      <c r="X192" s="162"/>
      <c r="Y192" s="176" t="n">
        <f aca="false">L192</f>
        <v>0</v>
      </c>
      <c r="Z192" s="177" t="n">
        <f aca="false">Y192</f>
        <v>0</v>
      </c>
      <c r="AA192" s="177" t="n">
        <f aca="false">Y192</f>
        <v>0</v>
      </c>
      <c r="AB192" s="94" t="n">
        <f aca="false">VLOOKUP($D192,tblPriorPrice,5)</f>
        <v>0</v>
      </c>
      <c r="AC192" s="162"/>
      <c r="AD192" s="176" t="n">
        <f aca="false">L192</f>
        <v>0</v>
      </c>
      <c r="AE192" s="96" t="n">
        <f aca="false">AD192</f>
        <v>0</v>
      </c>
      <c r="AF192" s="97" t="n">
        <f aca="false">AD192</f>
        <v>0</v>
      </c>
      <c r="AG192" s="94" t="n">
        <f aca="false">VLOOKUP($D192,tblPriorPrice,6)</f>
        <v>0</v>
      </c>
      <c r="AH192" s="182"/>
      <c r="AI192" s="189" t="n">
        <f aca="false">AG192+AH192</f>
        <v>0</v>
      </c>
      <c r="AJ192" s="96" t="n">
        <f aca="false">AI192</f>
        <v>0</v>
      </c>
      <c r="AK192" s="97" t="n">
        <f aca="false">AI192</f>
        <v>0</v>
      </c>
      <c r="AL192" s="178" t="n">
        <v>54</v>
      </c>
      <c r="AM192" s="165" t="n">
        <v>0.4</v>
      </c>
      <c r="AN192" s="166" t="n">
        <f aca="false">EnergyCurve!AN192*2</f>
        <v>0.34</v>
      </c>
      <c r="AO192" s="166" t="n">
        <f aca="false">EnergyCurve!AO192</f>
        <v>0.153</v>
      </c>
      <c r="AP192" s="166" t="n">
        <f aca="false">AN192*1.25</f>
        <v>0.425</v>
      </c>
      <c r="AQ192" s="166" t="n">
        <f aca="false">EnergyCurve!AQ192*2</f>
        <v>0.34</v>
      </c>
      <c r="AR192" s="166" t="n">
        <f aca="false">EnergyCurve!AR192</f>
        <v>0.136</v>
      </c>
      <c r="AS192" s="166" t="n">
        <f aca="false">EnergyCurve!AS192*1.25</f>
        <v>0.255</v>
      </c>
      <c r="AT192" s="168" t="n">
        <f aca="false">EnergyCurve!AT192*2*2</f>
        <v>6.33113623762127</v>
      </c>
      <c r="AU192" s="169" t="n">
        <f aca="false">EnergyCurve!AU192</f>
        <v>-0.395696014851329</v>
      </c>
      <c r="AV192" s="169" t="n">
        <f aca="false">AT192*1.25</f>
        <v>7.91392029702658</v>
      </c>
      <c r="AW192" s="168" t="n">
        <f aca="false">EnergyCurve!AW192*2*2</f>
        <v>10.6812</v>
      </c>
      <c r="AX192" s="169" t="n">
        <f aca="false">EnergyCurve!AX192</f>
        <v>-0.667575</v>
      </c>
      <c r="AY192" s="169" t="n">
        <f aca="false">AW192*1.25</f>
        <v>13.3515</v>
      </c>
      <c r="AZ192" s="167" t="n">
        <v>0</v>
      </c>
      <c r="BA192" s="74"/>
      <c r="BQ192" s="108" t="n">
        <v>36907.7428240741</v>
      </c>
      <c r="BR192" s="109" t="n">
        <v>36907.7434490741</v>
      </c>
      <c r="BS192" s="110" t="n">
        <v>41944</v>
      </c>
      <c r="BT192" s="111" t="n">
        <v>0</v>
      </c>
      <c r="BU192" s="112" t="n">
        <v>0</v>
      </c>
      <c r="BV192" s="112" t="n">
        <v>0</v>
      </c>
      <c r="BW192" s="112" t="n">
        <v>0</v>
      </c>
      <c r="BX192" s="113" t="n">
        <v>0</v>
      </c>
      <c r="BZ192" s="110" t="n">
        <v>41730</v>
      </c>
      <c r="CA192" s="116" t="n">
        <v>29.8409996032715</v>
      </c>
      <c r="CB192" s="116" t="n">
        <v>0</v>
      </c>
      <c r="CC192" s="116" t="n">
        <v>0</v>
      </c>
      <c r="CD192" s="116" t="n">
        <v>0</v>
      </c>
      <c r="CE192" s="117" t="n">
        <v>0</v>
      </c>
    </row>
    <row r="193" customFormat="false" ht="12.75" hidden="false" customHeight="false" outlineLevel="0" collapsed="false">
      <c r="A193" s="0" t="n">
        <f aca="true">IF(ISERROR(MATCH(D193,iRefDt,0)),"",MATCH(D193,iRefDt,0))</f>
        <v>184</v>
      </c>
      <c r="B193" s="92" t="n">
        <f aca="false">MATCH(YEAR(D193),iSpreads)</f>
        <v>14</v>
      </c>
      <c r="C193" s="0" t="n">
        <f aca="false">MONTH(D193)</f>
        <v>5</v>
      </c>
      <c r="D193" s="93" t="n">
        <f aca="false">+EnergyCurve!D193</f>
        <v>41760</v>
      </c>
      <c r="E193" s="94" t="n">
        <f aca="false">VLOOKUP($D193,tblPriorPrice,2)</f>
        <v>33.0239982604981</v>
      </c>
      <c r="F193" s="95" t="n">
        <f aca="false">G193-E193</f>
        <v>1.73950195403449E-006</v>
      </c>
      <c r="G193" s="264" t="n">
        <f aca="false">IF(EnergyCurve!G193&lt;200,0.001*EnergyCurve!G193+1,1.2)*EnergyCurve!G193</f>
        <v>33.024</v>
      </c>
      <c r="H193" s="96" t="n">
        <f aca="false">IF(EnergyCurve!H193&lt;200,0.001*EnergyCurve!H193+1,1.2)*EnergyCurve!H193</f>
        <v>27.729</v>
      </c>
      <c r="I193" s="96" t="n">
        <f aca="false">IF(EnergyCurve!I193&lt;200,0.001*EnergyCurve!I193+1,1.2)*EnergyCurve!I193</f>
        <v>63.6</v>
      </c>
      <c r="J193" s="94" t="n">
        <f aca="false">VLOOKUP($D193,tblPriorPrice,3)</f>
        <v>0</v>
      </c>
      <c r="K193" s="95" t="n">
        <f aca="false">L193-J193</f>
        <v>0</v>
      </c>
      <c r="L193" s="264" t="n">
        <v>0</v>
      </c>
      <c r="M193" s="96" t="n">
        <f aca="false">L193</f>
        <v>0</v>
      </c>
      <c r="N193" s="96" t="n">
        <f aca="false">L193</f>
        <v>0</v>
      </c>
      <c r="O193" s="58" t="n">
        <f aca="true">IF($A193="",0,INDEX(tblPosn,$A193,2))</f>
        <v>0</v>
      </c>
      <c r="P193" s="59" t="n">
        <f aca="true">IF($A193="",0,INDEX(tblPosn,$A193,3))</f>
        <v>0</v>
      </c>
      <c r="Q193" s="59" t="n">
        <f aca="true">IF($A193="",0,INDEX(tblPosn,$A193,4))</f>
        <v>0</v>
      </c>
      <c r="R193" s="59" t="n">
        <f aca="true">IF($A193="",0,INDEX(tblPosn,$A193,5))</f>
        <v>0</v>
      </c>
      <c r="S193" s="59" t="n">
        <f aca="true">IF($A193="",0,INDEX(tblPosn,$A193,6))</f>
        <v>0</v>
      </c>
      <c r="T193" s="98" t="n">
        <f aca="false">O193*F193+P193*K193+R193*AC193+S193*AH193/0.72+Q193*X193</f>
        <v>0</v>
      </c>
      <c r="V193" s="161" t="n">
        <f aca="false">D193</f>
        <v>41760</v>
      </c>
      <c r="W193" s="94" t="n">
        <f aca="false">VLOOKUP($D193,tblPriorPrice,4)</f>
        <v>0</v>
      </c>
      <c r="X193" s="162"/>
      <c r="Y193" s="176" t="n">
        <f aca="false">L193</f>
        <v>0</v>
      </c>
      <c r="Z193" s="177" t="n">
        <f aca="false">Y193</f>
        <v>0</v>
      </c>
      <c r="AA193" s="177" t="n">
        <f aca="false">Y193</f>
        <v>0</v>
      </c>
      <c r="AB193" s="94" t="n">
        <f aca="false">VLOOKUP($D193,tblPriorPrice,5)</f>
        <v>0</v>
      </c>
      <c r="AC193" s="162"/>
      <c r="AD193" s="176" t="n">
        <f aca="false">L193</f>
        <v>0</v>
      </c>
      <c r="AE193" s="96" t="n">
        <f aca="false">AD193</f>
        <v>0</v>
      </c>
      <c r="AF193" s="97" t="n">
        <f aca="false">AD193</f>
        <v>0</v>
      </c>
      <c r="AG193" s="94" t="n">
        <f aca="false">VLOOKUP($D193,tblPriorPrice,6)</f>
        <v>0</v>
      </c>
      <c r="AH193" s="182"/>
      <c r="AI193" s="189" t="n">
        <f aca="false">AG193+AH193</f>
        <v>0</v>
      </c>
      <c r="AJ193" s="96" t="n">
        <f aca="false">AI193</f>
        <v>0</v>
      </c>
      <c r="AK193" s="97" t="n">
        <f aca="false">AI193</f>
        <v>0</v>
      </c>
      <c r="AL193" s="178" t="n">
        <v>54</v>
      </c>
      <c r="AM193" s="165" t="n">
        <v>0.4</v>
      </c>
      <c r="AN193" s="166" t="n">
        <f aca="false">EnergyCurve!AN193*2</f>
        <v>0.34</v>
      </c>
      <c r="AO193" s="166" t="n">
        <f aca="false">EnergyCurve!AO193</f>
        <v>0.153</v>
      </c>
      <c r="AP193" s="166" t="n">
        <f aca="false">AN193*1.25</f>
        <v>0.425</v>
      </c>
      <c r="AQ193" s="166" t="n">
        <f aca="false">EnergyCurve!AQ193*2</f>
        <v>0.34</v>
      </c>
      <c r="AR193" s="166" t="n">
        <f aca="false">EnergyCurve!AR193</f>
        <v>0.136</v>
      </c>
      <c r="AS193" s="166" t="n">
        <f aca="false">EnergyCurve!AS193*1.25</f>
        <v>0.255</v>
      </c>
      <c r="AT193" s="168" t="n">
        <f aca="false">EnergyCurve!AT193*2*2</f>
        <v>6.71448638739126</v>
      </c>
      <c r="AU193" s="169" t="n">
        <f aca="false">EnergyCurve!AU193</f>
        <v>-0.419655399211954</v>
      </c>
      <c r="AV193" s="169" t="n">
        <f aca="false">AT193*1.25</f>
        <v>8.39310798423907</v>
      </c>
      <c r="AW193" s="168" t="n">
        <f aca="false">EnergyCurve!AW193*2*2</f>
        <v>10.3986</v>
      </c>
      <c r="AX193" s="169" t="n">
        <f aca="false">EnergyCurve!AX193</f>
        <v>-0.6499125</v>
      </c>
      <c r="AY193" s="169" t="n">
        <f aca="false">AW193*1.25</f>
        <v>12.99825</v>
      </c>
      <c r="AZ193" s="167" t="n">
        <v>0</v>
      </c>
      <c r="BA193" s="74"/>
      <c r="BQ193" s="108" t="n">
        <v>36907.7428240741</v>
      </c>
      <c r="BR193" s="109" t="n">
        <v>36907.7434490741</v>
      </c>
      <c r="BS193" s="110" t="n">
        <v>41974</v>
      </c>
      <c r="BT193" s="111" t="n">
        <v>0</v>
      </c>
      <c r="BU193" s="112" t="n">
        <v>0</v>
      </c>
      <c r="BV193" s="112" t="n">
        <v>0</v>
      </c>
      <c r="BW193" s="112" t="n">
        <v>0</v>
      </c>
      <c r="BX193" s="113" t="n">
        <v>0</v>
      </c>
      <c r="BZ193" s="110" t="n">
        <v>41760</v>
      </c>
      <c r="CA193" s="116" t="n">
        <v>33.0239982604981</v>
      </c>
      <c r="CB193" s="116" t="n">
        <v>0</v>
      </c>
      <c r="CC193" s="116" t="n">
        <v>0</v>
      </c>
      <c r="CD193" s="116" t="n">
        <v>0</v>
      </c>
      <c r="CE193" s="117" t="n">
        <v>0</v>
      </c>
    </row>
    <row r="194" customFormat="false" ht="12.75" hidden="false" customHeight="false" outlineLevel="0" collapsed="false">
      <c r="A194" s="0" t="n">
        <f aca="true">IF(ISERROR(MATCH(D194,iRefDt,0)),"",MATCH(D194,iRefDt,0))</f>
        <v>185</v>
      </c>
      <c r="B194" s="92" t="n">
        <f aca="false">MATCH(YEAR(D194),iSpreads)</f>
        <v>14</v>
      </c>
      <c r="C194" s="0" t="n">
        <f aca="false">MONTH(D194)</f>
        <v>6</v>
      </c>
      <c r="D194" s="93" t="n">
        <f aca="false">+EnergyCurve!D194</f>
        <v>41791</v>
      </c>
      <c r="E194" s="94" t="n">
        <f aca="false">VLOOKUP($D194,tblPriorPrice,2)</f>
        <v>40.5209999084473</v>
      </c>
      <c r="F194" s="95" t="n">
        <f aca="false">G194-E194</f>
        <v>9.15527280653805E-008</v>
      </c>
      <c r="G194" s="264" t="n">
        <f aca="false">IF(EnergyCurve!G194&lt;200,0.001*EnergyCurve!G194+1,1.2)*EnergyCurve!G194</f>
        <v>40.521</v>
      </c>
      <c r="H194" s="96" t="n">
        <f aca="false">IF(EnergyCurve!H194&lt;200,0.001*EnergyCurve!H194+1,1.2)*EnergyCurve!H194</f>
        <v>35.156</v>
      </c>
      <c r="I194" s="96" t="n">
        <f aca="false">IF(EnergyCurve!I194&lt;200,0.001*EnergyCurve!I194+1,1.2)*EnergyCurve!I194</f>
        <v>71.489</v>
      </c>
      <c r="J194" s="94" t="n">
        <f aca="false">VLOOKUP($D194,tblPriorPrice,3)</f>
        <v>0</v>
      </c>
      <c r="K194" s="95" t="n">
        <f aca="false">L194-J194</f>
        <v>0</v>
      </c>
      <c r="L194" s="264" t="n">
        <v>0</v>
      </c>
      <c r="M194" s="96" t="n">
        <f aca="false">L194</f>
        <v>0</v>
      </c>
      <c r="N194" s="96" t="n">
        <f aca="false">L194</f>
        <v>0</v>
      </c>
      <c r="O194" s="58" t="n">
        <f aca="true">IF($A194="",0,INDEX(tblPosn,$A194,2))</f>
        <v>0</v>
      </c>
      <c r="P194" s="59" t="n">
        <f aca="true">IF($A194="",0,INDEX(tblPosn,$A194,3))</f>
        <v>0</v>
      </c>
      <c r="Q194" s="59" t="n">
        <f aca="true">IF($A194="",0,INDEX(tblPosn,$A194,4))</f>
        <v>0</v>
      </c>
      <c r="R194" s="59" t="n">
        <f aca="true">IF($A194="",0,INDEX(tblPosn,$A194,5))</f>
        <v>0</v>
      </c>
      <c r="S194" s="59" t="n">
        <f aca="true">IF($A194="",0,INDEX(tblPosn,$A194,6))</f>
        <v>0</v>
      </c>
      <c r="T194" s="98" t="n">
        <f aca="false">O194*F194+P194*K194+R194*AC194+S194*AH194/0.72+Q194*X194</f>
        <v>0</v>
      </c>
      <c r="V194" s="161" t="n">
        <f aca="false">D194</f>
        <v>41791</v>
      </c>
      <c r="W194" s="94" t="n">
        <f aca="false">VLOOKUP($D194,tblPriorPrice,4)</f>
        <v>0</v>
      </c>
      <c r="X194" s="162"/>
      <c r="Y194" s="176" t="n">
        <f aca="false">L194</f>
        <v>0</v>
      </c>
      <c r="Z194" s="177" t="n">
        <f aca="false">Y194</f>
        <v>0</v>
      </c>
      <c r="AA194" s="177" t="n">
        <f aca="false">Y194</f>
        <v>0</v>
      </c>
      <c r="AB194" s="94" t="n">
        <f aca="false">VLOOKUP($D194,tblPriorPrice,5)</f>
        <v>0</v>
      </c>
      <c r="AC194" s="162"/>
      <c r="AD194" s="176" t="n">
        <f aca="false">L194</f>
        <v>0</v>
      </c>
      <c r="AE194" s="96" t="n">
        <f aca="false">AD194</f>
        <v>0</v>
      </c>
      <c r="AF194" s="97" t="n">
        <f aca="false">AD194</f>
        <v>0</v>
      </c>
      <c r="AG194" s="94" t="n">
        <f aca="false">VLOOKUP($D194,tblPriorPrice,6)</f>
        <v>0</v>
      </c>
      <c r="AH194" s="182"/>
      <c r="AI194" s="189" t="n">
        <f aca="false">AG194+AH194</f>
        <v>0</v>
      </c>
      <c r="AJ194" s="96" t="n">
        <f aca="false">AI194</f>
        <v>0</v>
      </c>
      <c r="AK194" s="97" t="n">
        <f aca="false">AI194</f>
        <v>0</v>
      </c>
      <c r="AL194" s="178" t="n">
        <v>54</v>
      </c>
      <c r="AM194" s="165" t="n">
        <v>0.4</v>
      </c>
      <c r="AN194" s="166" t="n">
        <f aca="false">EnergyCurve!AN194*2</f>
        <v>0.34</v>
      </c>
      <c r="AO194" s="166" t="n">
        <f aca="false">EnergyCurve!AO194</f>
        <v>0.153</v>
      </c>
      <c r="AP194" s="166" t="n">
        <f aca="false">AN194*1.25</f>
        <v>0.425</v>
      </c>
      <c r="AQ194" s="166" t="n">
        <f aca="false">EnergyCurve!AQ194*2</f>
        <v>0.34</v>
      </c>
      <c r="AR194" s="166" t="n">
        <f aca="false">EnergyCurve!AR194</f>
        <v>0.136</v>
      </c>
      <c r="AS194" s="166" t="n">
        <f aca="false">EnergyCurve!AS194*1.25</f>
        <v>0.255</v>
      </c>
      <c r="AT194" s="168" t="n">
        <f aca="false">EnergyCurve!AT194*2*2</f>
        <v>8.27346121695085</v>
      </c>
      <c r="AU194" s="169" t="n">
        <f aca="false">EnergyCurve!AU194</f>
        <v>-0.517091326059428</v>
      </c>
      <c r="AV194" s="169" t="n">
        <f aca="false">AT194*1.25</f>
        <v>10.3418265211886</v>
      </c>
      <c r="AW194" s="168" t="n">
        <f aca="false">EnergyCurve!AW194*2*2</f>
        <v>9.7392</v>
      </c>
      <c r="AX194" s="169" t="n">
        <f aca="false">EnergyCurve!AX194</f>
        <v>-0.6087</v>
      </c>
      <c r="AY194" s="169" t="n">
        <f aca="false">AW194*1.25</f>
        <v>12.174</v>
      </c>
      <c r="AZ194" s="167" t="n">
        <v>0</v>
      </c>
      <c r="BA194" s="74"/>
      <c r="BQ194" s="108" t="n">
        <v>36907.7428240741</v>
      </c>
      <c r="BR194" s="109" t="n">
        <v>36907.7434490741</v>
      </c>
      <c r="BS194" s="110" t="n">
        <v>42005</v>
      </c>
      <c r="BT194" s="111" t="n">
        <v>0</v>
      </c>
      <c r="BU194" s="112" t="n">
        <v>0</v>
      </c>
      <c r="BV194" s="112" t="n">
        <v>0</v>
      </c>
      <c r="BW194" s="112" t="n">
        <v>0</v>
      </c>
      <c r="BX194" s="113" t="n">
        <v>0</v>
      </c>
      <c r="BZ194" s="110" t="n">
        <v>41791</v>
      </c>
      <c r="CA194" s="116" t="n">
        <v>40.5209999084473</v>
      </c>
      <c r="CB194" s="116" t="n">
        <v>0</v>
      </c>
      <c r="CC194" s="116" t="n">
        <v>0</v>
      </c>
      <c r="CD194" s="116" t="n">
        <v>0</v>
      </c>
      <c r="CE194" s="117" t="n">
        <v>0</v>
      </c>
    </row>
    <row r="195" customFormat="false" ht="12.75" hidden="false" customHeight="false" outlineLevel="0" collapsed="false">
      <c r="A195" s="0" t="n">
        <f aca="true">IF(ISERROR(MATCH(D195,iRefDt,0)),"",MATCH(D195,iRefDt,0))</f>
        <v>186</v>
      </c>
      <c r="B195" s="92" t="n">
        <f aca="false">MATCH(YEAR(D195),iSpreads)</f>
        <v>14</v>
      </c>
      <c r="C195" s="0" t="n">
        <f aca="false">MONTH(D195)</f>
        <v>7</v>
      </c>
      <c r="D195" s="93" t="n">
        <f aca="false">+EnergyCurve!D195</f>
        <v>41821</v>
      </c>
      <c r="E195" s="94" t="n">
        <f aca="false">VLOOKUP($D195,tblPriorPrice,2)</f>
        <v>40.5209999084473</v>
      </c>
      <c r="F195" s="95" t="n">
        <f aca="false">G195-E195</f>
        <v>9.15527280653805E-008</v>
      </c>
      <c r="G195" s="264" t="n">
        <f aca="false">IF(EnergyCurve!G195&lt;200,0.001*EnergyCurve!G195+1,1.2)*EnergyCurve!G195</f>
        <v>40.521</v>
      </c>
      <c r="H195" s="96" t="n">
        <f aca="false">IF(EnergyCurve!H195&lt;200,0.001*EnergyCurve!H195+1,1.2)*EnergyCurve!H195</f>
        <v>35.156</v>
      </c>
      <c r="I195" s="96" t="n">
        <f aca="false">IF(EnergyCurve!I195&lt;200,0.001*EnergyCurve!I195+1,1.2)*EnergyCurve!I195</f>
        <v>71.489</v>
      </c>
      <c r="J195" s="94" t="n">
        <f aca="false">VLOOKUP($D195,tblPriorPrice,3)</f>
        <v>0</v>
      </c>
      <c r="K195" s="95" t="n">
        <f aca="false">L195-J195</f>
        <v>0</v>
      </c>
      <c r="L195" s="264" t="n">
        <v>0</v>
      </c>
      <c r="M195" s="96" t="n">
        <f aca="false">L195</f>
        <v>0</v>
      </c>
      <c r="N195" s="96" t="n">
        <f aca="false">L195</f>
        <v>0</v>
      </c>
      <c r="O195" s="58" t="n">
        <f aca="true">IF($A195="",0,INDEX(tblPosn,$A195,2))</f>
        <v>0</v>
      </c>
      <c r="P195" s="59" t="n">
        <f aca="true">IF($A195="",0,INDEX(tblPosn,$A195,3))</f>
        <v>0</v>
      </c>
      <c r="Q195" s="59" t="n">
        <f aca="true">IF($A195="",0,INDEX(tblPosn,$A195,4))</f>
        <v>0</v>
      </c>
      <c r="R195" s="59" t="n">
        <f aca="true">IF($A195="",0,INDEX(tblPosn,$A195,5))</f>
        <v>0</v>
      </c>
      <c r="S195" s="59" t="n">
        <f aca="true">IF($A195="",0,INDEX(tblPosn,$A195,6))</f>
        <v>0</v>
      </c>
      <c r="T195" s="98" t="n">
        <f aca="false">O195*F195+P195*K195+R195*AC195+S195*AH195/0.72+Q195*X195</f>
        <v>0</v>
      </c>
      <c r="V195" s="161" t="n">
        <f aca="false">D195</f>
        <v>41821</v>
      </c>
      <c r="W195" s="94" t="n">
        <f aca="false">VLOOKUP($D195,tblPriorPrice,4)</f>
        <v>0</v>
      </c>
      <c r="X195" s="162"/>
      <c r="Y195" s="176" t="n">
        <f aca="false">L195</f>
        <v>0</v>
      </c>
      <c r="Z195" s="177" t="n">
        <f aca="false">Y195</f>
        <v>0</v>
      </c>
      <c r="AA195" s="177" t="n">
        <f aca="false">Y195</f>
        <v>0</v>
      </c>
      <c r="AB195" s="94" t="n">
        <f aca="false">VLOOKUP($D195,tblPriorPrice,5)</f>
        <v>0</v>
      </c>
      <c r="AC195" s="162"/>
      <c r="AD195" s="176" t="n">
        <f aca="false">L195</f>
        <v>0</v>
      </c>
      <c r="AE195" s="96" t="n">
        <f aca="false">AD195</f>
        <v>0</v>
      </c>
      <c r="AF195" s="97" t="n">
        <f aca="false">AD195</f>
        <v>0</v>
      </c>
      <c r="AG195" s="94" t="n">
        <f aca="false">VLOOKUP($D195,tblPriorPrice,6)</f>
        <v>0</v>
      </c>
      <c r="AH195" s="182"/>
      <c r="AI195" s="189" t="n">
        <f aca="false">AG195+AH195</f>
        <v>0</v>
      </c>
      <c r="AJ195" s="96" t="n">
        <f aca="false">AI195</f>
        <v>0</v>
      </c>
      <c r="AK195" s="97" t="n">
        <f aca="false">AI195</f>
        <v>0</v>
      </c>
      <c r="AL195" s="178" t="n">
        <v>55</v>
      </c>
      <c r="AM195" s="165" t="n">
        <v>0.4</v>
      </c>
      <c r="AN195" s="166" t="n">
        <f aca="false">EnergyCurve!AN195*2</f>
        <v>0.34</v>
      </c>
      <c r="AO195" s="166" t="n">
        <f aca="false">EnergyCurve!AO195</f>
        <v>0.153</v>
      </c>
      <c r="AP195" s="166" t="n">
        <f aca="false">AN195*1.25</f>
        <v>0.425</v>
      </c>
      <c r="AQ195" s="166" t="n">
        <f aca="false">EnergyCurve!AQ195*2</f>
        <v>0.34</v>
      </c>
      <c r="AR195" s="166" t="n">
        <f aca="false">EnergyCurve!AR195</f>
        <v>0.136</v>
      </c>
      <c r="AS195" s="166" t="n">
        <f aca="false">EnergyCurve!AS195*1.25</f>
        <v>0.255</v>
      </c>
      <c r="AT195" s="168" t="n">
        <f aca="false">EnergyCurve!AT195*2*2</f>
        <v>8.27346121695085</v>
      </c>
      <c r="AU195" s="169" t="n">
        <f aca="false">EnergyCurve!AU195</f>
        <v>-0.517091326059428</v>
      </c>
      <c r="AV195" s="169" t="n">
        <f aca="false">AT195*1.25</f>
        <v>10.3418265211886</v>
      </c>
      <c r="AW195" s="168" t="n">
        <f aca="false">EnergyCurve!AW195*2*2</f>
        <v>9.7392</v>
      </c>
      <c r="AX195" s="169" t="n">
        <f aca="false">EnergyCurve!AX195</f>
        <v>-0.6087</v>
      </c>
      <c r="AY195" s="169" t="n">
        <f aca="false">AW195*1.25</f>
        <v>12.174</v>
      </c>
      <c r="AZ195" s="167" t="n">
        <v>0</v>
      </c>
      <c r="BA195" s="74"/>
      <c r="BQ195" s="108" t="n">
        <v>36907.7428240741</v>
      </c>
      <c r="BR195" s="109" t="n">
        <v>36907.7434490741</v>
      </c>
      <c r="BS195" s="110" t="n">
        <v>42036</v>
      </c>
      <c r="BT195" s="111" t="n">
        <v>0</v>
      </c>
      <c r="BU195" s="112" t="n">
        <v>0</v>
      </c>
      <c r="BV195" s="112" t="n">
        <v>0</v>
      </c>
      <c r="BW195" s="112" t="n">
        <v>0</v>
      </c>
      <c r="BX195" s="113" t="n">
        <v>0</v>
      </c>
      <c r="BZ195" s="110" t="n">
        <v>41821</v>
      </c>
      <c r="CA195" s="116" t="n">
        <v>40.5209999084473</v>
      </c>
      <c r="CB195" s="116" t="n">
        <v>0</v>
      </c>
      <c r="CC195" s="116" t="n">
        <v>0</v>
      </c>
      <c r="CD195" s="116" t="n">
        <v>0</v>
      </c>
      <c r="CE195" s="117" t="n">
        <v>0</v>
      </c>
    </row>
    <row r="196" customFormat="false" ht="12.75" hidden="false" customHeight="false" outlineLevel="0" collapsed="false">
      <c r="A196" s="0" t="n">
        <f aca="true">IF(ISERROR(MATCH(D196,iRefDt,0)),"",MATCH(D196,iRefDt,0))</f>
        <v>187</v>
      </c>
      <c r="B196" s="92" t="n">
        <f aca="false">MATCH(YEAR(D196),iSpreads)</f>
        <v>14</v>
      </c>
      <c r="C196" s="0" t="n">
        <f aca="false">MONTH(D196)</f>
        <v>8</v>
      </c>
      <c r="D196" s="93" t="n">
        <f aca="false">+EnergyCurve!D196</f>
        <v>41852</v>
      </c>
      <c r="E196" s="94" t="n">
        <f aca="false">VLOOKUP($D196,tblPriorPrice,2)</f>
        <v>42.6809997558594</v>
      </c>
      <c r="F196" s="95" t="n">
        <f aca="false">G196-E196</f>
        <v>2.44140622385203E-007</v>
      </c>
      <c r="G196" s="264" t="n">
        <f aca="false">IF(EnergyCurve!G196&lt;200,0.001*EnergyCurve!G196+1,1.2)*EnergyCurve!G196</f>
        <v>42.681</v>
      </c>
      <c r="H196" s="96" t="n">
        <f aca="false">IF(EnergyCurve!H196&lt;200,0.001*EnergyCurve!H196+1,1.2)*EnergyCurve!H196</f>
        <v>37.296</v>
      </c>
      <c r="I196" s="96" t="n">
        <f aca="false">IF(EnergyCurve!I196&lt;200,0.001*EnergyCurve!I196+1,1.2)*EnergyCurve!I196</f>
        <v>73.761</v>
      </c>
      <c r="J196" s="94" t="n">
        <f aca="false">VLOOKUP($D196,tblPriorPrice,3)</f>
        <v>0</v>
      </c>
      <c r="K196" s="95" t="n">
        <f aca="false">L196-J196</f>
        <v>0</v>
      </c>
      <c r="L196" s="264" t="n">
        <v>0</v>
      </c>
      <c r="M196" s="96" t="n">
        <f aca="false">L196</f>
        <v>0</v>
      </c>
      <c r="N196" s="96" t="n">
        <f aca="false">L196</f>
        <v>0</v>
      </c>
      <c r="O196" s="58" t="n">
        <f aca="true">IF($A196="",0,INDEX(tblPosn,$A196,2))</f>
        <v>0</v>
      </c>
      <c r="P196" s="59" t="n">
        <f aca="true">IF($A196="",0,INDEX(tblPosn,$A196,3))</f>
        <v>0</v>
      </c>
      <c r="Q196" s="59" t="n">
        <f aca="true">IF($A196="",0,INDEX(tblPosn,$A196,4))</f>
        <v>0</v>
      </c>
      <c r="R196" s="59" t="n">
        <f aca="true">IF($A196="",0,INDEX(tblPosn,$A196,5))</f>
        <v>0</v>
      </c>
      <c r="S196" s="59" t="n">
        <f aca="true">IF($A196="",0,INDEX(tblPosn,$A196,6))</f>
        <v>0</v>
      </c>
      <c r="T196" s="98" t="n">
        <f aca="false">O196*F196+P196*K196+R196*AC196+S196*AH196/0.72+Q196*X196</f>
        <v>0</v>
      </c>
      <c r="V196" s="161" t="n">
        <f aca="false">D196</f>
        <v>41852</v>
      </c>
      <c r="W196" s="94" t="n">
        <f aca="false">VLOOKUP($D196,tblPriorPrice,4)</f>
        <v>0</v>
      </c>
      <c r="X196" s="162"/>
      <c r="Y196" s="176" t="n">
        <f aca="false">L196</f>
        <v>0</v>
      </c>
      <c r="Z196" s="177" t="n">
        <f aca="false">Y196</f>
        <v>0</v>
      </c>
      <c r="AA196" s="177" t="n">
        <f aca="false">Y196</f>
        <v>0</v>
      </c>
      <c r="AB196" s="94" t="n">
        <f aca="false">VLOOKUP($D196,tblPriorPrice,5)</f>
        <v>0</v>
      </c>
      <c r="AC196" s="162"/>
      <c r="AD196" s="176" t="n">
        <f aca="false">L196</f>
        <v>0</v>
      </c>
      <c r="AE196" s="96" t="n">
        <f aca="false">AD196</f>
        <v>0</v>
      </c>
      <c r="AF196" s="97" t="n">
        <f aca="false">AD196</f>
        <v>0</v>
      </c>
      <c r="AG196" s="94" t="n">
        <f aca="false">VLOOKUP($D196,tblPriorPrice,6)</f>
        <v>0</v>
      </c>
      <c r="AH196" s="182"/>
      <c r="AI196" s="189" t="n">
        <f aca="false">AG196+AH196</f>
        <v>0</v>
      </c>
      <c r="AJ196" s="96" t="n">
        <f aca="false">AI196</f>
        <v>0</v>
      </c>
      <c r="AK196" s="97" t="n">
        <f aca="false">AI196</f>
        <v>0</v>
      </c>
      <c r="AL196" s="178" t="n">
        <v>55</v>
      </c>
      <c r="AM196" s="165" t="n">
        <v>0.4</v>
      </c>
      <c r="AN196" s="166" t="n">
        <f aca="false">EnergyCurve!AN196*2</f>
        <v>0.34</v>
      </c>
      <c r="AO196" s="166" t="n">
        <f aca="false">EnergyCurve!AO196</f>
        <v>0.153</v>
      </c>
      <c r="AP196" s="166" t="n">
        <f aca="false">AN196*1.25</f>
        <v>0.425</v>
      </c>
      <c r="AQ196" s="166" t="n">
        <f aca="false">EnergyCurve!AQ196*2</f>
        <v>0.34</v>
      </c>
      <c r="AR196" s="166" t="n">
        <f aca="false">EnergyCurve!AR196</f>
        <v>0.136</v>
      </c>
      <c r="AS196" s="166" t="n">
        <f aca="false">EnergyCurve!AS196*1.25</f>
        <v>0.255</v>
      </c>
      <c r="AT196" s="168" t="n">
        <f aca="false">EnergyCurve!AT196*2*2</f>
        <v>8.83433884019377</v>
      </c>
      <c r="AU196" s="169" t="n">
        <f aca="false">EnergyCurve!AU196</f>
        <v>-0.552146177512111</v>
      </c>
      <c r="AV196" s="169" t="n">
        <f aca="false">AT196*1.25</f>
        <v>11.0429235502422</v>
      </c>
      <c r="AW196" s="168" t="n">
        <f aca="false">EnergyCurve!AW196*2*2</f>
        <v>9.5508</v>
      </c>
      <c r="AX196" s="169" t="n">
        <f aca="false">EnergyCurve!AX196</f>
        <v>-0.596925</v>
      </c>
      <c r="AY196" s="169" t="n">
        <f aca="false">AW196*1.25</f>
        <v>11.9385</v>
      </c>
      <c r="AZ196" s="167" t="n">
        <v>0</v>
      </c>
      <c r="BA196" s="74"/>
      <c r="BQ196" s="108" t="n">
        <v>36907.7428240741</v>
      </c>
      <c r="BR196" s="109" t="n">
        <v>36907.7434490741</v>
      </c>
      <c r="BS196" s="110" t="n">
        <v>42064</v>
      </c>
      <c r="BT196" s="111" t="n">
        <v>0</v>
      </c>
      <c r="BU196" s="112" t="n">
        <v>0</v>
      </c>
      <c r="BV196" s="112" t="n">
        <v>0</v>
      </c>
      <c r="BW196" s="112" t="n">
        <v>0</v>
      </c>
      <c r="BX196" s="113" t="n">
        <v>0</v>
      </c>
      <c r="BZ196" s="110" t="n">
        <v>41852</v>
      </c>
      <c r="CA196" s="116" t="n">
        <v>42.6809997558594</v>
      </c>
      <c r="CB196" s="116" t="n">
        <v>0</v>
      </c>
      <c r="CC196" s="116" t="n">
        <v>0</v>
      </c>
      <c r="CD196" s="116" t="n">
        <v>0</v>
      </c>
      <c r="CE196" s="117" t="n">
        <v>0</v>
      </c>
    </row>
    <row r="197" customFormat="false" ht="12.75" hidden="false" customHeight="false" outlineLevel="0" collapsed="false">
      <c r="A197" s="0" t="n">
        <f aca="true">IF(ISERROR(MATCH(D197,iRefDt,0)),"",MATCH(D197,iRefDt,0))</f>
        <v>188</v>
      </c>
      <c r="B197" s="92" t="n">
        <f aca="false">MATCH(YEAR(D197),iSpreads)</f>
        <v>14</v>
      </c>
      <c r="C197" s="0" t="n">
        <f aca="false">MONTH(D197)</f>
        <v>9</v>
      </c>
      <c r="D197" s="93" t="n">
        <f aca="false">+EnergyCurve!D197</f>
        <v>41883</v>
      </c>
      <c r="E197" s="94" t="n">
        <f aca="false">VLOOKUP($D197,tblPriorPrice,2)</f>
        <v>36.2249984741211</v>
      </c>
      <c r="F197" s="95" t="n">
        <f aca="false">G197-E197</f>
        <v>1.52587890056566E-006</v>
      </c>
      <c r="G197" s="264" t="n">
        <f aca="false">IF(EnergyCurve!G197&lt;200,0.001*EnergyCurve!G197+1,1.2)*EnergyCurve!G197</f>
        <v>36.225</v>
      </c>
      <c r="H197" s="96" t="n">
        <f aca="false">IF(EnergyCurve!H197&lt;200,0.001*EnergyCurve!H197+1,1.2)*EnergyCurve!H197</f>
        <v>30.9</v>
      </c>
      <c r="I197" s="96" t="n">
        <f aca="false">IF(EnergyCurve!I197&lt;200,0.001*EnergyCurve!I197+1,1.2)*EnergyCurve!I197</f>
        <v>66.969</v>
      </c>
      <c r="J197" s="94" t="n">
        <f aca="false">VLOOKUP($D197,tblPriorPrice,3)</f>
        <v>0</v>
      </c>
      <c r="K197" s="95" t="n">
        <f aca="false">L197-J197</f>
        <v>0</v>
      </c>
      <c r="L197" s="264" t="n">
        <v>0</v>
      </c>
      <c r="M197" s="96" t="n">
        <f aca="false">L197</f>
        <v>0</v>
      </c>
      <c r="N197" s="96" t="n">
        <f aca="false">L197</f>
        <v>0</v>
      </c>
      <c r="O197" s="58" t="n">
        <f aca="true">IF($A197="",0,INDEX(tblPosn,$A197,2))</f>
        <v>0</v>
      </c>
      <c r="P197" s="59" t="n">
        <f aca="true">IF($A197="",0,INDEX(tblPosn,$A197,3))</f>
        <v>0</v>
      </c>
      <c r="Q197" s="59" t="n">
        <f aca="true">IF($A197="",0,INDEX(tblPosn,$A197,4))</f>
        <v>0</v>
      </c>
      <c r="R197" s="59" t="n">
        <f aca="true">IF($A197="",0,INDEX(tblPosn,$A197,5))</f>
        <v>0</v>
      </c>
      <c r="S197" s="59" t="n">
        <f aca="true">IF($A197="",0,INDEX(tblPosn,$A197,6))</f>
        <v>0</v>
      </c>
      <c r="T197" s="98" t="n">
        <f aca="false">O197*F197+P197*K197+R197*AC197+S197*AH197/0.72+Q197*X197</f>
        <v>0</v>
      </c>
      <c r="V197" s="161" t="n">
        <f aca="false">D197</f>
        <v>41883</v>
      </c>
      <c r="W197" s="94" t="n">
        <f aca="false">VLOOKUP($D197,tblPriorPrice,4)</f>
        <v>0</v>
      </c>
      <c r="X197" s="162"/>
      <c r="Y197" s="176" t="n">
        <f aca="false">L197</f>
        <v>0</v>
      </c>
      <c r="Z197" s="177" t="n">
        <f aca="false">Y197</f>
        <v>0</v>
      </c>
      <c r="AA197" s="177" t="n">
        <f aca="false">Y197</f>
        <v>0</v>
      </c>
      <c r="AB197" s="94" t="n">
        <f aca="false">VLOOKUP($D197,tblPriorPrice,5)</f>
        <v>0</v>
      </c>
      <c r="AC197" s="162"/>
      <c r="AD197" s="176" t="n">
        <f aca="false">L197</f>
        <v>0</v>
      </c>
      <c r="AE197" s="96" t="n">
        <f aca="false">AD197</f>
        <v>0</v>
      </c>
      <c r="AF197" s="97" t="n">
        <f aca="false">AD197</f>
        <v>0</v>
      </c>
      <c r="AG197" s="94" t="n">
        <f aca="false">VLOOKUP($D197,tblPriorPrice,6)</f>
        <v>0</v>
      </c>
      <c r="AH197" s="182"/>
      <c r="AI197" s="189" t="n">
        <f aca="false">AG197+AH197</f>
        <v>0</v>
      </c>
      <c r="AJ197" s="96" t="n">
        <f aca="false">AI197</f>
        <v>0</v>
      </c>
      <c r="AK197" s="97" t="n">
        <f aca="false">AI197</f>
        <v>0</v>
      </c>
      <c r="AL197" s="178" t="n">
        <v>55</v>
      </c>
      <c r="AM197" s="165" t="n">
        <v>0.4</v>
      </c>
      <c r="AN197" s="166" t="n">
        <f aca="false">EnergyCurve!AN197*2</f>
        <v>0.34</v>
      </c>
      <c r="AO197" s="166" t="n">
        <f aca="false">EnergyCurve!AO197</f>
        <v>0.153</v>
      </c>
      <c r="AP197" s="166" t="n">
        <f aca="false">AN197*1.25</f>
        <v>0.425</v>
      </c>
      <c r="AQ197" s="166" t="n">
        <f aca="false">EnergyCurve!AQ197*2</f>
        <v>0.34</v>
      </c>
      <c r="AR197" s="166" t="n">
        <f aca="false">EnergyCurve!AR197</f>
        <v>0.136</v>
      </c>
      <c r="AS197" s="166" t="n">
        <f aca="false">EnergyCurve!AS197*1.25</f>
        <v>0.255</v>
      </c>
      <c r="AT197" s="168" t="n">
        <f aca="false">EnergyCurve!AT197*2*2</f>
        <v>7.29020125079811</v>
      </c>
      <c r="AU197" s="169" t="n">
        <f aca="false">EnergyCurve!AU197</f>
        <v>-0.455637578174882</v>
      </c>
      <c r="AV197" s="169" t="n">
        <f aca="false">AT197*1.25</f>
        <v>9.11275156349763</v>
      </c>
      <c r="AW197" s="168" t="n">
        <f aca="false">EnergyCurve!AW197*2*2</f>
        <v>10.116</v>
      </c>
      <c r="AX197" s="169" t="n">
        <f aca="false">EnergyCurve!AX197</f>
        <v>-0.63225</v>
      </c>
      <c r="AY197" s="169" t="n">
        <f aca="false">AW197*1.25</f>
        <v>12.645</v>
      </c>
      <c r="AZ197" s="167" t="n">
        <v>0</v>
      </c>
      <c r="BA197" s="74"/>
      <c r="BQ197" s="108" t="n">
        <v>36907.7428240741</v>
      </c>
      <c r="BR197" s="109" t="n">
        <v>36907.7434490741</v>
      </c>
      <c r="BS197" s="110" t="n">
        <v>42095</v>
      </c>
      <c r="BT197" s="111" t="n">
        <v>0</v>
      </c>
      <c r="BU197" s="112" t="n">
        <v>0</v>
      </c>
      <c r="BV197" s="112" t="n">
        <v>0</v>
      </c>
      <c r="BW197" s="112" t="n">
        <v>0</v>
      </c>
      <c r="BX197" s="113" t="n">
        <v>0</v>
      </c>
      <c r="BZ197" s="110" t="n">
        <v>41883</v>
      </c>
      <c r="CA197" s="116" t="n">
        <v>36.2249984741211</v>
      </c>
      <c r="CB197" s="116" t="n">
        <v>0</v>
      </c>
      <c r="CC197" s="116" t="n">
        <v>0</v>
      </c>
      <c r="CD197" s="116" t="n">
        <v>0</v>
      </c>
      <c r="CE197" s="117" t="n">
        <v>0</v>
      </c>
    </row>
    <row r="198" customFormat="false" ht="12.75" hidden="false" customHeight="false" outlineLevel="0" collapsed="false">
      <c r="A198" s="0" t="n">
        <f aca="true">IF(ISERROR(MATCH(D198,iRefDt,0)),"",MATCH(D198,iRefDt,0))</f>
        <v>189</v>
      </c>
      <c r="B198" s="92" t="n">
        <f aca="false">MATCH(YEAR(D198),iSpreads)</f>
        <v>14</v>
      </c>
      <c r="C198" s="0" t="n">
        <f aca="false">MONTH(D198)</f>
        <v>10</v>
      </c>
      <c r="D198" s="93" t="n">
        <f aca="false">+EnergyCurve!D198</f>
        <v>41913</v>
      </c>
      <c r="E198" s="94" t="n">
        <f aca="false">VLOOKUP($D198,tblPriorPrice,2)</f>
        <v>38.3689994812012</v>
      </c>
      <c r="F198" s="95" t="n">
        <f aca="false">G198-E198</f>
        <v>5.18798827897626E-007</v>
      </c>
      <c r="G198" s="264" t="n">
        <f aca="false">IF(EnergyCurve!G198&lt;200,0.001*EnergyCurve!G198+1,1.2)*EnergyCurve!G198</f>
        <v>38.369</v>
      </c>
      <c r="H198" s="96" t="n">
        <f aca="false">IF(EnergyCurve!H198&lt;200,0.001*EnergyCurve!H198+1,1.2)*EnergyCurve!H198</f>
        <v>33.024</v>
      </c>
      <c r="I198" s="96" t="n">
        <f aca="false">IF(EnergyCurve!I198&lt;200,0.001*EnergyCurve!I198+1,1.2)*EnergyCurve!I198</f>
        <v>69.225</v>
      </c>
      <c r="J198" s="94" t="n">
        <f aca="false">VLOOKUP($D198,tblPriorPrice,3)</f>
        <v>0</v>
      </c>
      <c r="K198" s="95" t="n">
        <f aca="false">L198-J198</f>
        <v>0</v>
      </c>
      <c r="L198" s="264" t="n">
        <v>0</v>
      </c>
      <c r="M198" s="96" t="n">
        <f aca="false">L198</f>
        <v>0</v>
      </c>
      <c r="N198" s="96" t="n">
        <f aca="false">L198</f>
        <v>0</v>
      </c>
      <c r="O198" s="58" t="n">
        <f aca="true">IF($A198="",0,INDEX(tblPosn,$A198,2))</f>
        <v>0</v>
      </c>
      <c r="P198" s="59" t="n">
        <f aca="true">IF($A198="",0,INDEX(tblPosn,$A198,3))</f>
        <v>0</v>
      </c>
      <c r="Q198" s="59" t="n">
        <f aca="true">IF($A198="",0,INDEX(tblPosn,$A198,4))</f>
        <v>0</v>
      </c>
      <c r="R198" s="59" t="n">
        <f aca="true">IF($A198="",0,INDEX(tblPosn,$A198,5))</f>
        <v>0</v>
      </c>
      <c r="S198" s="59" t="n">
        <f aca="true">IF($A198="",0,INDEX(tblPosn,$A198,6))</f>
        <v>0</v>
      </c>
      <c r="T198" s="98" t="n">
        <f aca="false">O198*F198+P198*K198+R198*AC198+S198*AH198/0.72+Q198*X198</f>
        <v>0</v>
      </c>
      <c r="V198" s="161" t="n">
        <f aca="false">D198</f>
        <v>41913</v>
      </c>
      <c r="W198" s="94" t="n">
        <f aca="false">VLOOKUP($D198,tblPriorPrice,4)</f>
        <v>0</v>
      </c>
      <c r="X198" s="162"/>
      <c r="Y198" s="176" t="n">
        <f aca="false">L198</f>
        <v>0</v>
      </c>
      <c r="Z198" s="177" t="n">
        <f aca="false">Y198</f>
        <v>0</v>
      </c>
      <c r="AA198" s="177" t="n">
        <f aca="false">Y198</f>
        <v>0</v>
      </c>
      <c r="AB198" s="94" t="n">
        <f aca="false">VLOOKUP($D198,tblPriorPrice,5)</f>
        <v>0</v>
      </c>
      <c r="AC198" s="162"/>
      <c r="AD198" s="176" t="n">
        <f aca="false">L198</f>
        <v>0</v>
      </c>
      <c r="AE198" s="96" t="n">
        <f aca="false">AD198</f>
        <v>0</v>
      </c>
      <c r="AF198" s="97" t="n">
        <f aca="false">AD198</f>
        <v>0</v>
      </c>
      <c r="AG198" s="94" t="n">
        <f aca="false">VLOOKUP($D198,tblPriorPrice,6)</f>
        <v>0</v>
      </c>
      <c r="AH198" s="182"/>
      <c r="AI198" s="189" t="n">
        <f aca="false">AG198+AH198</f>
        <v>0</v>
      </c>
      <c r="AJ198" s="96" t="n">
        <f aca="false">AI198</f>
        <v>0</v>
      </c>
      <c r="AK198" s="97" t="n">
        <f aca="false">AI198</f>
        <v>0</v>
      </c>
      <c r="AL198" s="178" t="n">
        <v>56</v>
      </c>
      <c r="AM198" s="165" t="n">
        <v>0.4</v>
      </c>
      <c r="AN198" s="166" t="n">
        <f aca="false">EnergyCurve!AN198*2</f>
        <v>0.34</v>
      </c>
      <c r="AO198" s="166" t="n">
        <f aca="false">EnergyCurve!AO198</f>
        <v>0.153</v>
      </c>
      <c r="AP198" s="166" t="n">
        <f aca="false">AN198*1.25</f>
        <v>0.425</v>
      </c>
      <c r="AQ198" s="166" t="n">
        <f aca="false">EnergyCurve!AQ198*2</f>
        <v>0.34</v>
      </c>
      <c r="AR198" s="166" t="n">
        <f aca="false">EnergyCurve!AR198</f>
        <v>0.136</v>
      </c>
      <c r="AS198" s="166" t="n">
        <f aca="false">EnergyCurve!AS198*1.25</f>
        <v>0.255</v>
      </c>
      <c r="AT198" s="168" t="n">
        <f aca="false">EnergyCurve!AT198*2*2</f>
        <v>7.75576329559925</v>
      </c>
      <c r="AU198" s="169" t="n">
        <f aca="false">EnergyCurve!AU198</f>
        <v>-0.484735205974953</v>
      </c>
      <c r="AV198" s="169" t="n">
        <f aca="false">AT198*1.25</f>
        <v>9.69470411949907</v>
      </c>
      <c r="AW198" s="168" t="n">
        <f aca="false">EnergyCurve!AW198*2*2</f>
        <v>9.9276</v>
      </c>
      <c r="AX198" s="169" t="n">
        <f aca="false">EnergyCurve!AX198</f>
        <v>-0.620475</v>
      </c>
      <c r="AY198" s="169" t="n">
        <f aca="false">AW198*1.25</f>
        <v>12.4095</v>
      </c>
      <c r="AZ198" s="167" t="n">
        <v>0</v>
      </c>
      <c r="BA198" s="74"/>
      <c r="BQ198" s="108" t="n">
        <v>36907.7428240741</v>
      </c>
      <c r="BR198" s="109" t="n">
        <v>36907.7434490741</v>
      </c>
      <c r="BS198" s="110" t="n">
        <v>42125</v>
      </c>
      <c r="BT198" s="111" t="n">
        <v>0</v>
      </c>
      <c r="BU198" s="112" t="n">
        <v>0</v>
      </c>
      <c r="BV198" s="112" t="n">
        <v>0</v>
      </c>
      <c r="BW198" s="112" t="n">
        <v>0</v>
      </c>
      <c r="BX198" s="113" t="n">
        <v>0</v>
      </c>
      <c r="BZ198" s="110" t="n">
        <v>41913</v>
      </c>
      <c r="CA198" s="116" t="n">
        <v>38.3689994812012</v>
      </c>
      <c r="CB198" s="116" t="n">
        <v>0</v>
      </c>
      <c r="CC198" s="116" t="n">
        <v>0</v>
      </c>
      <c r="CD198" s="116" t="n">
        <v>0</v>
      </c>
      <c r="CE198" s="117" t="n">
        <v>0</v>
      </c>
    </row>
    <row r="199" customFormat="false" ht="12.75" hidden="false" customHeight="false" outlineLevel="0" collapsed="false">
      <c r="A199" s="0" t="n">
        <f aca="true">IF(ISERROR(MATCH(D199,iRefDt,0)),"",MATCH(D199,iRefDt,0))</f>
        <v>190</v>
      </c>
      <c r="B199" s="92" t="n">
        <f aca="false">MATCH(YEAR(D199),iSpreads)</f>
        <v>14</v>
      </c>
      <c r="C199" s="0" t="n">
        <f aca="false">MONTH(D199)</f>
        <v>11</v>
      </c>
      <c r="D199" s="93" t="n">
        <f aca="false">+EnergyCurve!D199</f>
        <v>41944</v>
      </c>
      <c r="E199" s="94" t="n">
        <f aca="false">VLOOKUP($D199,tblPriorPrice,2)</f>
        <v>31.9610004425049</v>
      </c>
      <c r="F199" s="95" t="n">
        <f aca="false">G199-E199</f>
        <v>-4.42504884290429E-007</v>
      </c>
      <c r="G199" s="264" t="n">
        <f aca="false">IF(EnergyCurve!G199&lt;200,0.001*EnergyCurve!G199+1,1.2)*EnergyCurve!G199</f>
        <v>31.961</v>
      </c>
      <c r="H199" s="96" t="n">
        <f aca="false">IF(EnergyCurve!H199&lt;200,0.001*EnergyCurve!H199+1,1.2)*EnergyCurve!H199</f>
        <v>26.676</v>
      </c>
      <c r="I199" s="96" t="n">
        <f aca="false">IF(EnergyCurve!I199&lt;200,0.001*EnergyCurve!I199+1,1.2)*EnergyCurve!I199</f>
        <v>62.481</v>
      </c>
      <c r="J199" s="94" t="n">
        <f aca="false">VLOOKUP($D199,tblPriorPrice,3)</f>
        <v>0</v>
      </c>
      <c r="K199" s="95" t="n">
        <f aca="false">L199-J199</f>
        <v>0</v>
      </c>
      <c r="L199" s="264" t="n">
        <v>0</v>
      </c>
      <c r="M199" s="96" t="n">
        <f aca="false">L199</f>
        <v>0</v>
      </c>
      <c r="N199" s="96" t="n">
        <f aca="false">L199</f>
        <v>0</v>
      </c>
      <c r="O199" s="58" t="n">
        <f aca="true">IF($A199="",0,INDEX(tblPosn,$A199,2))</f>
        <v>0</v>
      </c>
      <c r="P199" s="59" t="n">
        <f aca="true">IF($A199="",0,INDEX(tblPosn,$A199,3))</f>
        <v>0</v>
      </c>
      <c r="Q199" s="59" t="n">
        <f aca="true">IF($A199="",0,INDEX(tblPosn,$A199,4))</f>
        <v>0</v>
      </c>
      <c r="R199" s="59" t="n">
        <f aca="true">IF($A199="",0,INDEX(tblPosn,$A199,5))</f>
        <v>0</v>
      </c>
      <c r="S199" s="59" t="n">
        <f aca="true">IF($A199="",0,INDEX(tblPosn,$A199,6))</f>
        <v>0</v>
      </c>
      <c r="T199" s="98" t="n">
        <f aca="false">O199*F199+P199*K199+R199*AC199+S199*AH199/0.72+Q199*X199</f>
        <v>0</v>
      </c>
      <c r="V199" s="161" t="n">
        <f aca="false">D199</f>
        <v>41944</v>
      </c>
      <c r="W199" s="94" t="n">
        <f aca="false">VLOOKUP($D199,tblPriorPrice,4)</f>
        <v>0</v>
      </c>
      <c r="X199" s="162"/>
      <c r="Y199" s="176" t="n">
        <f aca="false">L199</f>
        <v>0</v>
      </c>
      <c r="Z199" s="177" t="n">
        <f aca="false">Y199</f>
        <v>0</v>
      </c>
      <c r="AA199" s="177" t="n">
        <f aca="false">Y199</f>
        <v>0</v>
      </c>
      <c r="AB199" s="94" t="n">
        <f aca="false">VLOOKUP($D199,tblPriorPrice,5)</f>
        <v>0</v>
      </c>
      <c r="AC199" s="162"/>
      <c r="AD199" s="176" t="n">
        <f aca="false">L199</f>
        <v>0</v>
      </c>
      <c r="AE199" s="96" t="n">
        <f aca="false">AD199</f>
        <v>0</v>
      </c>
      <c r="AF199" s="97" t="n">
        <f aca="false">AD199</f>
        <v>0</v>
      </c>
      <c r="AG199" s="94" t="n">
        <f aca="false">VLOOKUP($D199,tblPriorPrice,6)</f>
        <v>0</v>
      </c>
      <c r="AH199" s="182"/>
      <c r="AI199" s="189" t="n">
        <f aca="false">AG199+AH199</f>
        <v>0</v>
      </c>
      <c r="AJ199" s="96" t="n">
        <f aca="false">AI199</f>
        <v>0</v>
      </c>
      <c r="AK199" s="97" t="n">
        <f aca="false">AI199</f>
        <v>0</v>
      </c>
      <c r="AL199" s="178" t="n">
        <v>56</v>
      </c>
      <c r="AM199" s="165" t="n">
        <v>0.4</v>
      </c>
      <c r="AN199" s="166" t="n">
        <f aca="false">EnergyCurve!AN199*2</f>
        <v>0.34</v>
      </c>
      <c r="AO199" s="166" t="n">
        <f aca="false">EnergyCurve!AO199</f>
        <v>0.153</v>
      </c>
      <c r="AP199" s="166" t="n">
        <f aca="false">AN199*1.25</f>
        <v>0.425</v>
      </c>
      <c r="AQ199" s="166" t="n">
        <f aca="false">EnergyCurve!AQ199*2</f>
        <v>0.34</v>
      </c>
      <c r="AR199" s="166" t="n">
        <f aca="false">EnergyCurve!AR199</f>
        <v>0.136</v>
      </c>
      <c r="AS199" s="166" t="n">
        <f aca="false">EnergyCurve!AS199*1.25</f>
        <v>0.255</v>
      </c>
      <c r="AT199" s="168" t="n">
        <f aca="false">EnergyCurve!AT199*2*2</f>
        <v>6.56235962744143</v>
      </c>
      <c r="AU199" s="169" t="n">
        <f aca="false">EnergyCurve!AU199</f>
        <v>-0.410147476715089</v>
      </c>
      <c r="AV199" s="169" t="n">
        <f aca="false">AT199*1.25</f>
        <v>8.20294953430178</v>
      </c>
      <c r="AW199" s="168" t="n">
        <f aca="false">EnergyCurve!AW199*2*2</f>
        <v>10.4928</v>
      </c>
      <c r="AX199" s="169" t="n">
        <f aca="false">EnergyCurve!AX199</f>
        <v>-0.6558</v>
      </c>
      <c r="AY199" s="169" t="n">
        <f aca="false">AW199*1.25</f>
        <v>13.116</v>
      </c>
      <c r="AZ199" s="167" t="n">
        <v>0</v>
      </c>
      <c r="BA199" s="74"/>
      <c r="BQ199" s="108" t="n">
        <v>36907.7428240741</v>
      </c>
      <c r="BR199" s="109" t="n">
        <v>36907.7434490741</v>
      </c>
      <c r="BS199" s="110" t="n">
        <v>42156</v>
      </c>
      <c r="BT199" s="111" t="n">
        <v>0</v>
      </c>
      <c r="BU199" s="112" t="n">
        <v>0</v>
      </c>
      <c r="BV199" s="112" t="n">
        <v>0</v>
      </c>
      <c r="BW199" s="112" t="n">
        <v>0</v>
      </c>
      <c r="BX199" s="113" t="n">
        <v>0</v>
      </c>
      <c r="BZ199" s="110" t="n">
        <v>41944</v>
      </c>
      <c r="CA199" s="116" t="n">
        <v>31.9610004425049</v>
      </c>
      <c r="CB199" s="116" t="n">
        <v>0</v>
      </c>
      <c r="CC199" s="116" t="n">
        <v>0</v>
      </c>
      <c r="CD199" s="116" t="n">
        <v>0</v>
      </c>
      <c r="CE199" s="117" t="n">
        <v>0</v>
      </c>
    </row>
    <row r="200" customFormat="false" ht="12.75" hidden="false" customHeight="false" outlineLevel="0" collapsed="false">
      <c r="A200" s="0" t="n">
        <f aca="true">IF(ISERROR(MATCH(D200,iRefDt,0)),"",MATCH(D200,iRefDt,0))</f>
        <v>191</v>
      </c>
      <c r="B200" s="92" t="n">
        <f aca="false">MATCH(YEAR(D200),iSpreads)</f>
        <v>14</v>
      </c>
      <c r="C200" s="0" t="n">
        <f aca="false">MONTH(D200)</f>
        <v>12</v>
      </c>
      <c r="D200" s="93" t="n">
        <f aca="false">+EnergyCurve!D200</f>
        <v>41974</v>
      </c>
      <c r="E200" s="94" t="n">
        <f aca="false">VLOOKUP($D200,tblPriorPrice,2)</f>
        <v>33.0239982604981</v>
      </c>
      <c r="F200" s="95" t="n">
        <f aca="false">G200-E200</f>
        <v>1.73950195403449E-006</v>
      </c>
      <c r="G200" s="264" t="n">
        <f aca="false">IF(EnergyCurve!G200&lt;200,0.001*EnergyCurve!G200+1,1.2)*EnergyCurve!G200</f>
        <v>33.024</v>
      </c>
      <c r="H200" s="96" t="n">
        <f aca="false">IF(EnergyCurve!H200&lt;200,0.001*EnergyCurve!H200+1,1.2)*EnergyCurve!H200</f>
        <v>27.729</v>
      </c>
      <c r="I200" s="96" t="n">
        <f aca="false">IF(EnergyCurve!I200&lt;200,0.001*EnergyCurve!I200+1,1.2)*EnergyCurve!I200</f>
        <v>63.6</v>
      </c>
      <c r="J200" s="94" t="n">
        <f aca="false">VLOOKUP($D200,tblPriorPrice,3)</f>
        <v>0</v>
      </c>
      <c r="K200" s="95" t="n">
        <f aca="false">L200-J200</f>
        <v>0</v>
      </c>
      <c r="L200" s="264" t="n">
        <v>0</v>
      </c>
      <c r="M200" s="96" t="n">
        <f aca="false">L200</f>
        <v>0</v>
      </c>
      <c r="N200" s="96" t="n">
        <f aca="false">L200</f>
        <v>0</v>
      </c>
      <c r="O200" s="58" t="n">
        <f aca="true">IF($A200="",0,INDEX(tblPosn,$A200,2))</f>
        <v>0</v>
      </c>
      <c r="P200" s="59" t="n">
        <f aca="true">IF($A200="",0,INDEX(tblPosn,$A200,3))</f>
        <v>0</v>
      </c>
      <c r="Q200" s="59" t="n">
        <f aca="true">IF($A200="",0,INDEX(tblPosn,$A200,4))</f>
        <v>0</v>
      </c>
      <c r="R200" s="59" t="n">
        <f aca="true">IF($A200="",0,INDEX(tblPosn,$A200,5))</f>
        <v>0</v>
      </c>
      <c r="S200" s="59" t="n">
        <f aca="true">IF($A200="",0,INDEX(tblPosn,$A200,6))</f>
        <v>0</v>
      </c>
      <c r="T200" s="98" t="n">
        <f aca="false">O200*F200+P200*K200+R200*AC200+S200*AH200/0.72+Q200*X200</f>
        <v>0</v>
      </c>
      <c r="V200" s="161" t="n">
        <f aca="false">D200</f>
        <v>41974</v>
      </c>
      <c r="W200" s="94" t="n">
        <f aca="false">VLOOKUP($D200,tblPriorPrice,4)</f>
        <v>0</v>
      </c>
      <c r="X200" s="162"/>
      <c r="Y200" s="176" t="n">
        <f aca="false">L200</f>
        <v>0</v>
      </c>
      <c r="Z200" s="177" t="n">
        <f aca="false">Y200</f>
        <v>0</v>
      </c>
      <c r="AA200" s="177" t="n">
        <f aca="false">Y200</f>
        <v>0</v>
      </c>
      <c r="AB200" s="94" t="n">
        <f aca="false">VLOOKUP($D200,tblPriorPrice,5)</f>
        <v>0</v>
      </c>
      <c r="AC200" s="162"/>
      <c r="AD200" s="176" t="n">
        <f aca="false">L200</f>
        <v>0</v>
      </c>
      <c r="AE200" s="96" t="n">
        <f aca="false">AD200</f>
        <v>0</v>
      </c>
      <c r="AF200" s="97" t="n">
        <f aca="false">AD200</f>
        <v>0</v>
      </c>
      <c r="AG200" s="94" t="n">
        <f aca="false">VLOOKUP($D200,tblPriorPrice,6)</f>
        <v>0</v>
      </c>
      <c r="AH200" s="182"/>
      <c r="AI200" s="189" t="n">
        <f aca="false">AG200+AH200</f>
        <v>0</v>
      </c>
      <c r="AJ200" s="96" t="n">
        <f aca="false">AI200</f>
        <v>0</v>
      </c>
      <c r="AK200" s="97" t="n">
        <f aca="false">AI200</f>
        <v>0</v>
      </c>
      <c r="AL200" s="178" t="n">
        <v>56</v>
      </c>
      <c r="AM200" s="165" t="n">
        <v>0.4</v>
      </c>
      <c r="AN200" s="166" t="n">
        <f aca="false">EnergyCurve!AN200*2</f>
        <v>0.34</v>
      </c>
      <c r="AO200" s="166" t="n">
        <f aca="false">EnergyCurve!AO200</f>
        <v>0.153</v>
      </c>
      <c r="AP200" s="166" t="n">
        <f aca="false">AN200*1.25</f>
        <v>0.425</v>
      </c>
      <c r="AQ200" s="166" t="n">
        <f aca="false">EnergyCurve!AQ200*2</f>
        <v>0.34</v>
      </c>
      <c r="AR200" s="166" t="n">
        <f aca="false">EnergyCurve!AR200</f>
        <v>0.136</v>
      </c>
      <c r="AS200" s="166" t="n">
        <f aca="false">EnergyCurve!AS200*1.25</f>
        <v>0.255</v>
      </c>
      <c r="AT200" s="168" t="n">
        <f aca="false">EnergyCurve!AT200*2*2</f>
        <v>6.71448638739126</v>
      </c>
      <c r="AU200" s="169" t="n">
        <f aca="false">EnergyCurve!AU200</f>
        <v>-0.419655399211954</v>
      </c>
      <c r="AV200" s="169" t="n">
        <f aca="false">AT200*1.25</f>
        <v>8.39310798423907</v>
      </c>
      <c r="AW200" s="168" t="n">
        <f aca="false">EnergyCurve!AW200*2*2</f>
        <v>10.6812</v>
      </c>
      <c r="AX200" s="169" t="n">
        <f aca="false">EnergyCurve!AX200</f>
        <v>-0.667575</v>
      </c>
      <c r="AY200" s="169" t="n">
        <f aca="false">AW200*1.25</f>
        <v>13.3515</v>
      </c>
      <c r="AZ200" s="167" t="n">
        <v>0</v>
      </c>
      <c r="BA200" s="74"/>
      <c r="BQ200" s="108" t="n">
        <v>36907.7428240741</v>
      </c>
      <c r="BR200" s="109" t="n">
        <v>36907.7434490741</v>
      </c>
      <c r="BS200" s="110" t="n">
        <v>42186</v>
      </c>
      <c r="BT200" s="111" t="n">
        <v>0</v>
      </c>
      <c r="BU200" s="112" t="n">
        <v>0</v>
      </c>
      <c r="BV200" s="112" t="n">
        <v>0</v>
      </c>
      <c r="BW200" s="112" t="n">
        <v>0</v>
      </c>
      <c r="BX200" s="113" t="n">
        <v>0</v>
      </c>
      <c r="BZ200" s="110" t="n">
        <v>41974</v>
      </c>
      <c r="CA200" s="116" t="n">
        <v>33.0239982604981</v>
      </c>
      <c r="CB200" s="116" t="n">
        <v>0</v>
      </c>
      <c r="CC200" s="116" t="n">
        <v>0</v>
      </c>
      <c r="CD200" s="116" t="n">
        <v>0</v>
      </c>
      <c r="CE200" s="117" t="n">
        <v>0</v>
      </c>
    </row>
    <row r="201" customFormat="false" ht="12.75" hidden="false" customHeight="false" outlineLevel="0" collapsed="false">
      <c r="A201" s="0" t="n">
        <f aca="true">IF(ISERROR(MATCH(D201,iRefDt,0)),"",MATCH(D201,iRefDt,0))</f>
        <v>192</v>
      </c>
      <c r="B201" s="92" t="n">
        <f aca="false">MATCH(YEAR(D201),iSpreads)</f>
        <v>15</v>
      </c>
      <c r="C201" s="0" t="n">
        <f aca="false">MONTH(D201)</f>
        <v>1</v>
      </c>
      <c r="D201" s="93" t="n">
        <f aca="false">+EnergyCurve!D201</f>
        <v>42005</v>
      </c>
      <c r="E201" s="94" t="n">
        <f aca="false">VLOOKUP($D201,tblPriorPrice,2)</f>
        <v>34.0890007019043</v>
      </c>
      <c r="F201" s="95" t="n">
        <f aca="false">G201-E201</f>
        <v>-7.01904298239242E-007</v>
      </c>
      <c r="G201" s="264" t="n">
        <f aca="false">IF(EnergyCurve!G201&lt;200,0.001*EnergyCurve!G201+1,1.2)*EnergyCurve!G201</f>
        <v>34.089</v>
      </c>
      <c r="H201" s="96" t="n">
        <f aca="false">IF(EnergyCurve!H201&lt;200,0.001*EnergyCurve!H201+1,1.2)*EnergyCurve!H201</f>
        <v>28.784</v>
      </c>
      <c r="I201" s="96" t="n">
        <f aca="false">IF(EnergyCurve!I201&lt;200,0.001*EnergyCurve!I201+1,1.2)*EnergyCurve!I201</f>
        <v>65.844</v>
      </c>
      <c r="J201" s="94" t="n">
        <f aca="false">VLOOKUP($D201,tblPriorPrice,3)</f>
        <v>0</v>
      </c>
      <c r="K201" s="95" t="n">
        <f aca="false">L201-J201</f>
        <v>0</v>
      </c>
      <c r="L201" s="264" t="n">
        <v>0</v>
      </c>
      <c r="M201" s="96" t="n">
        <f aca="false">L201</f>
        <v>0</v>
      </c>
      <c r="N201" s="96" t="n">
        <f aca="false">L201</f>
        <v>0</v>
      </c>
      <c r="O201" s="58" t="n">
        <f aca="true">IF($A201="",0,INDEX(tblPosn,$A201,2))</f>
        <v>0</v>
      </c>
      <c r="P201" s="59" t="n">
        <f aca="true">IF($A201="",0,INDEX(tblPosn,$A201,3))</f>
        <v>0</v>
      </c>
      <c r="Q201" s="59" t="n">
        <f aca="true">IF($A201="",0,INDEX(tblPosn,$A201,4))</f>
        <v>0</v>
      </c>
      <c r="R201" s="59" t="n">
        <f aca="true">IF($A201="",0,INDEX(tblPosn,$A201,5))</f>
        <v>0</v>
      </c>
      <c r="S201" s="59" t="n">
        <f aca="true">IF($A201="",0,INDEX(tblPosn,$A201,6))</f>
        <v>0</v>
      </c>
      <c r="T201" s="98" t="n">
        <f aca="false">O201*F201+P201*K201+R201*AC201+S201*AH201/0.72+Q201*X201</f>
        <v>0</v>
      </c>
      <c r="V201" s="161" t="n">
        <f aca="false">D201</f>
        <v>42005</v>
      </c>
      <c r="W201" s="94" t="n">
        <f aca="false">VLOOKUP($D201,tblPriorPrice,4)</f>
        <v>0</v>
      </c>
      <c r="X201" s="162"/>
      <c r="Y201" s="176" t="n">
        <f aca="false">L201</f>
        <v>0</v>
      </c>
      <c r="Z201" s="177" t="n">
        <f aca="false">Y201</f>
        <v>0</v>
      </c>
      <c r="AA201" s="177" t="n">
        <f aca="false">Y201</f>
        <v>0</v>
      </c>
      <c r="AB201" s="94" t="n">
        <f aca="false">VLOOKUP($D201,tblPriorPrice,5)</f>
        <v>0</v>
      </c>
      <c r="AC201" s="162"/>
      <c r="AD201" s="176" t="n">
        <f aca="false">L201</f>
        <v>0</v>
      </c>
      <c r="AE201" s="96" t="n">
        <f aca="false">AD201</f>
        <v>0</v>
      </c>
      <c r="AF201" s="97" t="n">
        <f aca="false">AD201</f>
        <v>0</v>
      </c>
      <c r="AG201" s="94" t="n">
        <f aca="false">VLOOKUP($D201,tblPriorPrice,6)</f>
        <v>0</v>
      </c>
      <c r="AH201" s="182"/>
      <c r="AI201" s="189" t="n">
        <f aca="false">AG201+AH201</f>
        <v>0</v>
      </c>
      <c r="AJ201" s="96" t="n">
        <f aca="false">AI201</f>
        <v>0</v>
      </c>
      <c r="AK201" s="97" t="n">
        <f aca="false">AI201</f>
        <v>0</v>
      </c>
      <c r="AL201" s="178" t="n">
        <v>57</v>
      </c>
      <c r="AM201" s="165" t="n">
        <v>0.4</v>
      </c>
      <c r="AN201" s="166" t="n">
        <f aca="false">EnergyCurve!AN201*2</f>
        <v>0.34</v>
      </c>
      <c r="AO201" s="166" t="n">
        <f aca="false">EnergyCurve!AO201</f>
        <v>0.153</v>
      </c>
      <c r="AP201" s="166" t="n">
        <f aca="false">AN201*1.25</f>
        <v>0.425</v>
      </c>
      <c r="AQ201" s="166" t="n">
        <f aca="false">EnergyCurve!AQ201*2</f>
        <v>0.34</v>
      </c>
      <c r="AR201" s="166" t="n">
        <f aca="false">EnergyCurve!AR201</f>
        <v>0.136</v>
      </c>
      <c r="AS201" s="166" t="n">
        <f aca="false">EnergyCurve!AS201*1.25</f>
        <v>0.255</v>
      </c>
      <c r="AT201" s="168" t="n">
        <f aca="false">EnergyCurve!AT201*2*2</f>
        <v>6.88781730529552</v>
      </c>
      <c r="AU201" s="169" t="n">
        <f aca="false">EnergyCurve!AU201</f>
        <v>-0.43048858158097</v>
      </c>
      <c r="AV201" s="169" t="n">
        <f aca="false">AT201*1.25</f>
        <v>8.60977163161941</v>
      </c>
      <c r="AW201" s="168" t="n">
        <f aca="false">EnergyCurve!AW201*2*2</f>
        <v>10.4928</v>
      </c>
      <c r="AX201" s="169" t="n">
        <f aca="false">EnergyCurve!AX201</f>
        <v>-0.6558</v>
      </c>
      <c r="AY201" s="169" t="n">
        <f aca="false">AW201*1.25</f>
        <v>13.116</v>
      </c>
      <c r="AZ201" s="167" t="n">
        <v>0</v>
      </c>
      <c r="BA201" s="74"/>
      <c r="BQ201" s="108" t="n">
        <v>36907.7428240741</v>
      </c>
      <c r="BR201" s="109" t="n">
        <v>36907.7434490741</v>
      </c>
      <c r="BS201" s="110" t="n">
        <v>42217</v>
      </c>
      <c r="BT201" s="111" t="n">
        <v>0</v>
      </c>
      <c r="BU201" s="112" t="n">
        <v>0</v>
      </c>
      <c r="BV201" s="112" t="n">
        <v>0</v>
      </c>
      <c r="BW201" s="112" t="n">
        <v>0</v>
      </c>
      <c r="BX201" s="113" t="n">
        <v>0</v>
      </c>
      <c r="BZ201" s="110" t="n">
        <v>42005</v>
      </c>
      <c r="CA201" s="116" t="n">
        <v>34.0890007019043</v>
      </c>
      <c r="CB201" s="116" t="n">
        <v>0</v>
      </c>
      <c r="CC201" s="116" t="n">
        <v>0</v>
      </c>
      <c r="CD201" s="116" t="n">
        <v>0</v>
      </c>
      <c r="CE201" s="117" t="n">
        <v>0</v>
      </c>
    </row>
    <row r="202" customFormat="false" ht="12.75" hidden="false" customHeight="false" outlineLevel="0" collapsed="false">
      <c r="A202" s="0" t="n">
        <f aca="true">IF(ISERROR(MATCH(D202,iRefDt,0)),"",MATCH(D202,iRefDt,0))</f>
        <v>193</v>
      </c>
      <c r="B202" s="92" t="n">
        <f aca="false">MATCH(YEAR(D202),iSpreads)</f>
        <v>15</v>
      </c>
      <c r="C202" s="0" t="n">
        <f aca="false">MONTH(D202)</f>
        <v>2</v>
      </c>
      <c r="D202" s="93" t="n">
        <f aca="false">+EnergyCurve!D202</f>
        <v>42036</v>
      </c>
      <c r="E202" s="94" t="n">
        <f aca="false">VLOOKUP($D202,tblPriorPrice,2)</f>
        <v>30.8999996185303</v>
      </c>
      <c r="F202" s="95" t="n">
        <f aca="false">G202-E202</f>
        <v>3.81469728694128E-007</v>
      </c>
      <c r="G202" s="264" t="n">
        <f aca="false">IF(EnergyCurve!G202&lt;200,0.001*EnergyCurve!G202+1,1.2)*EnergyCurve!G202</f>
        <v>30.9</v>
      </c>
      <c r="H202" s="96" t="n">
        <f aca="false">IF(EnergyCurve!H202&lt;200,0.001*EnergyCurve!H202+1,1.2)*EnergyCurve!H202</f>
        <v>25.625</v>
      </c>
      <c r="I202" s="96" t="n">
        <f aca="false">IF(EnergyCurve!I202&lt;200,0.001*EnergyCurve!I202+1,1.2)*EnergyCurve!I202</f>
        <v>62.481</v>
      </c>
      <c r="J202" s="94" t="n">
        <f aca="false">VLOOKUP($D202,tblPriorPrice,3)</f>
        <v>0</v>
      </c>
      <c r="K202" s="95" t="n">
        <f aca="false">L202-J202</f>
        <v>0</v>
      </c>
      <c r="L202" s="264" t="n">
        <v>0</v>
      </c>
      <c r="M202" s="96" t="n">
        <f aca="false">L202</f>
        <v>0</v>
      </c>
      <c r="N202" s="96" t="n">
        <f aca="false">L202</f>
        <v>0</v>
      </c>
      <c r="O202" s="58" t="n">
        <f aca="true">IF($A202="",0,INDEX(tblPosn,$A202,2))</f>
        <v>0</v>
      </c>
      <c r="P202" s="59" t="n">
        <f aca="true">IF($A202="",0,INDEX(tblPosn,$A202,3))</f>
        <v>0</v>
      </c>
      <c r="Q202" s="59" t="n">
        <f aca="true">IF($A202="",0,INDEX(tblPosn,$A202,4))</f>
        <v>0</v>
      </c>
      <c r="R202" s="59" t="n">
        <f aca="true">IF($A202="",0,INDEX(tblPosn,$A202,5))</f>
        <v>0</v>
      </c>
      <c r="S202" s="59" t="n">
        <f aca="true">IF($A202="",0,INDEX(tblPosn,$A202,6))</f>
        <v>0</v>
      </c>
      <c r="T202" s="98" t="n">
        <f aca="false">O202*F202+P202*K202+R202*AC202+S202*AH202/0.72+Q202*X202</f>
        <v>0</v>
      </c>
      <c r="V202" s="161" t="n">
        <f aca="false">D202</f>
        <v>42036</v>
      </c>
      <c r="W202" s="94" t="n">
        <f aca="false">VLOOKUP($D202,tblPriorPrice,4)</f>
        <v>0</v>
      </c>
      <c r="X202" s="162"/>
      <c r="Y202" s="176" t="n">
        <f aca="false">L202</f>
        <v>0</v>
      </c>
      <c r="Z202" s="177" t="n">
        <f aca="false">Y202</f>
        <v>0</v>
      </c>
      <c r="AA202" s="177" t="n">
        <f aca="false">Y202</f>
        <v>0</v>
      </c>
      <c r="AB202" s="94" t="n">
        <f aca="false">VLOOKUP($D202,tblPriorPrice,5)</f>
        <v>0</v>
      </c>
      <c r="AC202" s="162"/>
      <c r="AD202" s="176" t="n">
        <f aca="false">L202</f>
        <v>0</v>
      </c>
      <c r="AE202" s="96" t="n">
        <f aca="false">AD202</f>
        <v>0</v>
      </c>
      <c r="AF202" s="97" t="n">
        <f aca="false">AD202</f>
        <v>0</v>
      </c>
      <c r="AG202" s="94" t="n">
        <f aca="false">VLOOKUP($D202,tblPriorPrice,6)</f>
        <v>0</v>
      </c>
      <c r="AH202" s="182"/>
      <c r="AI202" s="189" t="n">
        <f aca="false">AG202+AH202</f>
        <v>0</v>
      </c>
      <c r="AJ202" s="96" t="n">
        <f aca="false">AI202</f>
        <v>0</v>
      </c>
      <c r="AK202" s="97" t="n">
        <f aca="false">AI202</f>
        <v>0</v>
      </c>
      <c r="AL202" s="178" t="n">
        <v>57</v>
      </c>
      <c r="AM202" s="165" t="n">
        <v>0.4</v>
      </c>
      <c r="AN202" s="166" t="n">
        <f aca="false">EnergyCurve!AN202*2</f>
        <v>0.34</v>
      </c>
      <c r="AO202" s="166" t="n">
        <f aca="false">EnergyCurve!AO202</f>
        <v>0.153</v>
      </c>
      <c r="AP202" s="166" t="n">
        <f aca="false">AN202*1.25</f>
        <v>0.425</v>
      </c>
      <c r="AQ202" s="166" t="n">
        <f aca="false">EnergyCurve!AQ202*2</f>
        <v>0.34</v>
      </c>
      <c r="AR202" s="166" t="n">
        <f aca="false">EnergyCurve!AR202</f>
        <v>0.136</v>
      </c>
      <c r="AS202" s="166" t="n">
        <f aca="false">EnergyCurve!AS202*1.25</f>
        <v>0.255</v>
      </c>
      <c r="AT202" s="168" t="n">
        <f aca="false">EnergyCurve!AT202*2*2</f>
        <v>6.43371807382396</v>
      </c>
      <c r="AU202" s="169" t="n">
        <f aca="false">EnergyCurve!AU202</f>
        <v>-0.402107379613998</v>
      </c>
      <c r="AV202" s="169" t="n">
        <f aca="false">AT202*1.25</f>
        <v>8.04214759227995</v>
      </c>
      <c r="AW202" s="168" t="n">
        <f aca="false">EnergyCurve!AW202*2*2</f>
        <v>10.587</v>
      </c>
      <c r="AX202" s="169" t="n">
        <f aca="false">EnergyCurve!AX202</f>
        <v>-0.6616875</v>
      </c>
      <c r="AY202" s="169" t="n">
        <f aca="false">AW202*1.25</f>
        <v>13.23375</v>
      </c>
      <c r="AZ202" s="167" t="n">
        <v>0</v>
      </c>
      <c r="BA202" s="74"/>
      <c r="BQ202" s="108" t="n">
        <v>36907.7428240741</v>
      </c>
      <c r="BR202" s="109" t="n">
        <v>36907.7434490741</v>
      </c>
      <c r="BS202" s="110" t="n">
        <v>42248</v>
      </c>
      <c r="BT202" s="111" t="n">
        <v>0</v>
      </c>
      <c r="BU202" s="112" t="n">
        <v>0</v>
      </c>
      <c r="BV202" s="112" t="n">
        <v>0</v>
      </c>
      <c r="BW202" s="112" t="n">
        <v>0</v>
      </c>
      <c r="BX202" s="113" t="n">
        <v>0</v>
      </c>
      <c r="BZ202" s="110" t="n">
        <v>42036</v>
      </c>
      <c r="CA202" s="116" t="n">
        <v>30.8999996185303</v>
      </c>
      <c r="CB202" s="116" t="n">
        <v>0</v>
      </c>
      <c r="CC202" s="116" t="n">
        <v>0</v>
      </c>
      <c r="CD202" s="116" t="n">
        <v>0</v>
      </c>
      <c r="CE202" s="117" t="n">
        <v>0</v>
      </c>
    </row>
    <row r="203" customFormat="false" ht="12.75" hidden="false" customHeight="false" outlineLevel="0" collapsed="false">
      <c r="A203" s="0" t="n">
        <f aca="true">IF(ISERROR(MATCH(D203,iRefDt,0)),"",MATCH(D203,iRefDt,0))</f>
        <v>194</v>
      </c>
      <c r="B203" s="92" t="n">
        <f aca="false">MATCH(YEAR(D203),iSpreads)</f>
        <v>15</v>
      </c>
      <c r="C203" s="0" t="n">
        <f aca="false">MONTH(D203)</f>
        <v>3</v>
      </c>
      <c r="D203" s="93" t="n">
        <f aca="false">+EnergyCurve!D203</f>
        <v>42064</v>
      </c>
      <c r="E203" s="94" t="n">
        <f aca="false">VLOOKUP($D203,tblPriorPrice,2)</f>
        <v>29.8409996032715</v>
      </c>
      <c r="F203" s="95" t="n">
        <f aca="false">G203-E203</f>
        <v>3.96728513152311E-007</v>
      </c>
      <c r="G203" s="264" t="n">
        <f aca="false">IF(EnergyCurve!G203&lt;200,0.001*EnergyCurve!G203+1,1.2)*EnergyCurve!G203</f>
        <v>29.841</v>
      </c>
      <c r="H203" s="96" t="n">
        <f aca="false">IF(EnergyCurve!H203&lt;200,0.001*EnergyCurve!H203+1,1.2)*EnergyCurve!H203</f>
        <v>24.576</v>
      </c>
      <c r="I203" s="96" t="n">
        <f aca="false">IF(EnergyCurve!I203&lt;200,0.001*EnergyCurve!I203+1,1.2)*EnergyCurve!I203</f>
        <v>61.364</v>
      </c>
      <c r="J203" s="94" t="n">
        <f aca="false">VLOOKUP($D203,tblPriorPrice,3)</f>
        <v>0</v>
      </c>
      <c r="K203" s="95" t="n">
        <f aca="false">L203-J203</f>
        <v>0</v>
      </c>
      <c r="L203" s="264" t="n">
        <v>0</v>
      </c>
      <c r="M203" s="96" t="n">
        <f aca="false">L203</f>
        <v>0</v>
      </c>
      <c r="N203" s="96" t="n">
        <f aca="false">L203</f>
        <v>0</v>
      </c>
      <c r="O203" s="58" t="n">
        <f aca="true">IF($A203="",0,INDEX(tblPosn,$A203,2))</f>
        <v>0</v>
      </c>
      <c r="P203" s="59" t="n">
        <f aca="true">IF($A203="",0,INDEX(tblPosn,$A203,3))</f>
        <v>0</v>
      </c>
      <c r="Q203" s="59" t="n">
        <f aca="true">IF($A203="",0,INDEX(tblPosn,$A203,4))</f>
        <v>0</v>
      </c>
      <c r="R203" s="59" t="n">
        <f aca="true">IF($A203="",0,INDEX(tblPosn,$A203,5))</f>
        <v>0</v>
      </c>
      <c r="S203" s="59" t="n">
        <f aca="true">IF($A203="",0,INDEX(tblPosn,$A203,6))</f>
        <v>0</v>
      </c>
      <c r="T203" s="98" t="n">
        <f aca="false">O203*F203+P203*K203+R203*AC203+S203*AH203/0.72+Q203*X203</f>
        <v>0</v>
      </c>
      <c r="V203" s="161" t="n">
        <f aca="false">D203</f>
        <v>42064</v>
      </c>
      <c r="W203" s="94" t="n">
        <f aca="false">VLOOKUP($D203,tblPriorPrice,4)</f>
        <v>0</v>
      </c>
      <c r="X203" s="162"/>
      <c r="Y203" s="176" t="n">
        <f aca="false">L203</f>
        <v>0</v>
      </c>
      <c r="Z203" s="177" t="n">
        <f aca="false">Y203</f>
        <v>0</v>
      </c>
      <c r="AA203" s="177" t="n">
        <f aca="false">Y203</f>
        <v>0</v>
      </c>
      <c r="AB203" s="94" t="n">
        <f aca="false">VLOOKUP($D203,tblPriorPrice,5)</f>
        <v>0</v>
      </c>
      <c r="AC203" s="162"/>
      <c r="AD203" s="176" t="n">
        <f aca="false">L203</f>
        <v>0</v>
      </c>
      <c r="AE203" s="96" t="n">
        <f aca="false">AD203</f>
        <v>0</v>
      </c>
      <c r="AF203" s="97" t="n">
        <f aca="false">AD203</f>
        <v>0</v>
      </c>
      <c r="AG203" s="94" t="n">
        <f aca="false">VLOOKUP($D203,tblPriorPrice,6)</f>
        <v>0</v>
      </c>
      <c r="AH203" s="182"/>
      <c r="AI203" s="189" t="n">
        <f aca="false">AG203+AH203</f>
        <v>0</v>
      </c>
      <c r="AJ203" s="96" t="n">
        <f aca="false">AI203</f>
        <v>0</v>
      </c>
      <c r="AK203" s="97" t="n">
        <f aca="false">AI203</f>
        <v>0</v>
      </c>
      <c r="AL203" s="178" t="n">
        <v>57</v>
      </c>
      <c r="AM203" s="165" t="n">
        <v>0.4</v>
      </c>
      <c r="AN203" s="166" t="n">
        <f aca="false">EnergyCurve!AN203*2</f>
        <v>0.34</v>
      </c>
      <c r="AO203" s="166" t="n">
        <f aca="false">EnergyCurve!AO203</f>
        <v>0.153</v>
      </c>
      <c r="AP203" s="166" t="n">
        <f aca="false">AN203*1.25</f>
        <v>0.425</v>
      </c>
      <c r="AQ203" s="166" t="n">
        <f aca="false">EnergyCurve!AQ203*2</f>
        <v>0.34</v>
      </c>
      <c r="AR203" s="166" t="n">
        <f aca="false">EnergyCurve!AR203</f>
        <v>0.136</v>
      </c>
      <c r="AS203" s="166" t="n">
        <f aca="false">EnergyCurve!AS203*1.25</f>
        <v>0.255</v>
      </c>
      <c r="AT203" s="168" t="n">
        <f aca="false">EnergyCurve!AT203*2*2</f>
        <v>6.33113623762127</v>
      </c>
      <c r="AU203" s="169" t="n">
        <f aca="false">EnergyCurve!AU203</f>
        <v>-0.395696014851329</v>
      </c>
      <c r="AV203" s="169" t="n">
        <f aca="false">AT203*1.25</f>
        <v>7.91392029702658</v>
      </c>
      <c r="AW203" s="168" t="n">
        <f aca="false">EnergyCurve!AW203*2*2</f>
        <v>10.6812</v>
      </c>
      <c r="AX203" s="169" t="n">
        <f aca="false">EnergyCurve!AX203</f>
        <v>-0.667575</v>
      </c>
      <c r="AY203" s="169" t="n">
        <f aca="false">AW203*1.25</f>
        <v>13.3515</v>
      </c>
      <c r="AZ203" s="167" t="n">
        <v>0</v>
      </c>
      <c r="BA203" s="74"/>
      <c r="BQ203" s="108" t="n">
        <v>36907.7428240741</v>
      </c>
      <c r="BR203" s="109" t="n">
        <v>36907.7434490741</v>
      </c>
      <c r="BS203" s="110" t="n">
        <v>42278</v>
      </c>
      <c r="BT203" s="111" t="n">
        <v>0</v>
      </c>
      <c r="BU203" s="112" t="n">
        <v>0</v>
      </c>
      <c r="BV203" s="112" t="n">
        <v>0</v>
      </c>
      <c r="BW203" s="112" t="n">
        <v>0</v>
      </c>
      <c r="BX203" s="113" t="n">
        <v>0</v>
      </c>
      <c r="BZ203" s="110" t="n">
        <v>42064</v>
      </c>
      <c r="CA203" s="116" t="n">
        <v>29.8409996032715</v>
      </c>
      <c r="CB203" s="116" t="n">
        <v>0</v>
      </c>
      <c r="CC203" s="116" t="n">
        <v>0</v>
      </c>
      <c r="CD203" s="116" t="n">
        <v>0</v>
      </c>
      <c r="CE203" s="117" t="n">
        <v>0</v>
      </c>
    </row>
    <row r="204" customFormat="false" ht="12.75" hidden="false" customHeight="false" outlineLevel="0" collapsed="false">
      <c r="A204" s="0" t="n">
        <f aca="true">IF(ISERROR(MATCH(D204,iRefDt,0)),"",MATCH(D204,iRefDt,0))</f>
        <v>195</v>
      </c>
      <c r="B204" s="92" t="n">
        <f aca="false">MATCH(YEAR(D204),iSpreads)</f>
        <v>15</v>
      </c>
      <c r="C204" s="0" t="n">
        <f aca="false">MONTH(D204)</f>
        <v>4</v>
      </c>
      <c r="D204" s="93" t="n">
        <f aca="false">+EnergyCurve!D204</f>
        <v>42095</v>
      </c>
      <c r="E204" s="94" t="n">
        <f aca="false">VLOOKUP($D204,tblPriorPrice,2)</f>
        <v>29.8409996032715</v>
      </c>
      <c r="F204" s="95" t="n">
        <f aca="false">G204-E204</f>
        <v>3.96728513152311E-007</v>
      </c>
      <c r="G204" s="264" t="n">
        <f aca="false">IF(EnergyCurve!G204&lt;200,0.001*EnergyCurve!G204+1,1.2)*EnergyCurve!G204</f>
        <v>29.841</v>
      </c>
      <c r="H204" s="96" t="n">
        <f aca="false">IF(EnergyCurve!H204&lt;200,0.001*EnergyCurve!H204+1,1.2)*EnergyCurve!H204</f>
        <v>24.576</v>
      </c>
      <c r="I204" s="96" t="n">
        <f aca="false">IF(EnergyCurve!I204&lt;200,0.001*EnergyCurve!I204+1,1.2)*EnergyCurve!I204</f>
        <v>61.364</v>
      </c>
      <c r="J204" s="94" t="n">
        <f aca="false">VLOOKUP($D204,tblPriorPrice,3)</f>
        <v>0</v>
      </c>
      <c r="K204" s="95" t="n">
        <f aca="false">L204-J204</f>
        <v>0</v>
      </c>
      <c r="L204" s="264" t="n">
        <v>0</v>
      </c>
      <c r="M204" s="96" t="n">
        <f aca="false">L204</f>
        <v>0</v>
      </c>
      <c r="N204" s="96" t="n">
        <f aca="false">L204</f>
        <v>0</v>
      </c>
      <c r="O204" s="58" t="n">
        <f aca="true">IF($A204="",0,INDEX(tblPosn,$A204,2))</f>
        <v>0</v>
      </c>
      <c r="P204" s="59" t="n">
        <f aca="true">IF($A204="",0,INDEX(tblPosn,$A204,3))</f>
        <v>0</v>
      </c>
      <c r="Q204" s="59" t="n">
        <f aca="true">IF($A204="",0,INDEX(tblPosn,$A204,4))</f>
        <v>0</v>
      </c>
      <c r="R204" s="59" t="n">
        <f aca="true">IF($A204="",0,INDEX(tblPosn,$A204,5))</f>
        <v>0</v>
      </c>
      <c r="S204" s="59" t="n">
        <f aca="true">IF($A204="",0,INDEX(tblPosn,$A204,6))</f>
        <v>0</v>
      </c>
      <c r="T204" s="98" t="n">
        <f aca="false">O204*F204+P204*K204+R204*AC204+S204*AH204/0.72+Q204*X204</f>
        <v>0</v>
      </c>
      <c r="V204" s="161" t="n">
        <f aca="false">D204</f>
        <v>42095</v>
      </c>
      <c r="W204" s="94" t="n">
        <f aca="false">VLOOKUP($D204,tblPriorPrice,4)</f>
        <v>0</v>
      </c>
      <c r="X204" s="162"/>
      <c r="Y204" s="176" t="n">
        <f aca="false">L204</f>
        <v>0</v>
      </c>
      <c r="Z204" s="177" t="n">
        <f aca="false">Y204</f>
        <v>0</v>
      </c>
      <c r="AA204" s="177" t="n">
        <f aca="false">Y204</f>
        <v>0</v>
      </c>
      <c r="AB204" s="94" t="n">
        <f aca="false">VLOOKUP($D204,tblPriorPrice,5)</f>
        <v>0</v>
      </c>
      <c r="AC204" s="162"/>
      <c r="AD204" s="176" t="n">
        <f aca="false">L204</f>
        <v>0</v>
      </c>
      <c r="AE204" s="96" t="n">
        <f aca="false">AD204</f>
        <v>0</v>
      </c>
      <c r="AF204" s="97" t="n">
        <f aca="false">AD204</f>
        <v>0</v>
      </c>
      <c r="AG204" s="94" t="n">
        <f aca="false">VLOOKUP($D204,tblPriorPrice,6)</f>
        <v>0</v>
      </c>
      <c r="AH204" s="182"/>
      <c r="AI204" s="189" t="n">
        <f aca="false">AG204+AH204</f>
        <v>0</v>
      </c>
      <c r="AJ204" s="96" t="n">
        <f aca="false">AI204</f>
        <v>0</v>
      </c>
      <c r="AK204" s="97" t="n">
        <f aca="false">AI204</f>
        <v>0</v>
      </c>
      <c r="AL204" s="178" t="n">
        <v>58</v>
      </c>
      <c r="AM204" s="165" t="n">
        <v>0.4</v>
      </c>
      <c r="AN204" s="166" t="n">
        <f aca="false">EnergyCurve!AN204*2</f>
        <v>0.34</v>
      </c>
      <c r="AO204" s="166" t="n">
        <f aca="false">EnergyCurve!AO204</f>
        <v>0.153</v>
      </c>
      <c r="AP204" s="166" t="n">
        <f aca="false">AN204*1.25</f>
        <v>0.425</v>
      </c>
      <c r="AQ204" s="166" t="n">
        <f aca="false">EnergyCurve!AQ204*2</f>
        <v>0.34</v>
      </c>
      <c r="AR204" s="166" t="n">
        <f aca="false">EnergyCurve!AR204</f>
        <v>0.136</v>
      </c>
      <c r="AS204" s="166" t="n">
        <f aca="false">EnergyCurve!AS204*1.25</f>
        <v>0.255</v>
      </c>
      <c r="AT204" s="168" t="n">
        <f aca="false">EnergyCurve!AT204*2*2</f>
        <v>6.33113623762127</v>
      </c>
      <c r="AU204" s="169" t="n">
        <f aca="false">EnergyCurve!AU204</f>
        <v>-0.395696014851329</v>
      </c>
      <c r="AV204" s="169" t="n">
        <f aca="false">AT204*1.25</f>
        <v>7.91392029702658</v>
      </c>
      <c r="AW204" s="168" t="n">
        <f aca="false">EnergyCurve!AW204*2*2</f>
        <v>10.6812</v>
      </c>
      <c r="AX204" s="169" t="n">
        <f aca="false">EnergyCurve!AX204</f>
        <v>-0.667575</v>
      </c>
      <c r="AY204" s="169" t="n">
        <f aca="false">AW204*1.25</f>
        <v>13.3515</v>
      </c>
      <c r="AZ204" s="167" t="n">
        <v>0</v>
      </c>
      <c r="BA204" s="74"/>
      <c r="BQ204" s="108" t="n">
        <v>36907.7428240741</v>
      </c>
      <c r="BR204" s="109" t="n">
        <v>36907.7434490741</v>
      </c>
      <c r="BS204" s="110" t="n">
        <v>42309</v>
      </c>
      <c r="BT204" s="111" t="n">
        <v>0</v>
      </c>
      <c r="BU204" s="112" t="n">
        <v>0</v>
      </c>
      <c r="BV204" s="112" t="n">
        <v>0</v>
      </c>
      <c r="BW204" s="112" t="n">
        <v>0</v>
      </c>
      <c r="BX204" s="113" t="n">
        <v>0</v>
      </c>
      <c r="BZ204" s="110" t="n">
        <v>42095</v>
      </c>
      <c r="CA204" s="116" t="n">
        <v>29.8409996032715</v>
      </c>
      <c r="CB204" s="116" t="n">
        <v>0</v>
      </c>
      <c r="CC204" s="116" t="n">
        <v>0</v>
      </c>
      <c r="CD204" s="116" t="n">
        <v>0</v>
      </c>
      <c r="CE204" s="117" t="n">
        <v>0</v>
      </c>
    </row>
    <row r="205" customFormat="false" ht="12.75" hidden="false" customHeight="false" outlineLevel="0" collapsed="false">
      <c r="A205" s="0" t="n">
        <f aca="true">IF(ISERROR(MATCH(D205,iRefDt,0)),"",MATCH(D205,iRefDt,0))</f>
        <v>196</v>
      </c>
      <c r="B205" s="92" t="n">
        <f aca="false">MATCH(YEAR(D205),iSpreads)</f>
        <v>15</v>
      </c>
      <c r="C205" s="0" t="n">
        <f aca="false">MONTH(D205)</f>
        <v>5</v>
      </c>
      <c r="D205" s="93" t="n">
        <f aca="false">+EnergyCurve!D205</f>
        <v>42125</v>
      </c>
      <c r="E205" s="94" t="n">
        <f aca="false">VLOOKUP($D205,tblPriorPrice,2)</f>
        <v>33.0239982604981</v>
      </c>
      <c r="F205" s="95" t="n">
        <f aca="false">G205-E205</f>
        <v>1.73950195403449E-006</v>
      </c>
      <c r="G205" s="264" t="n">
        <f aca="false">IF(EnergyCurve!G205&lt;200,0.001*EnergyCurve!G205+1,1.2)*EnergyCurve!G205</f>
        <v>33.024</v>
      </c>
      <c r="H205" s="96" t="n">
        <f aca="false">IF(EnergyCurve!H205&lt;200,0.001*EnergyCurve!H205+1,1.2)*EnergyCurve!H205</f>
        <v>27.729</v>
      </c>
      <c r="I205" s="96" t="n">
        <f aca="false">IF(EnergyCurve!I205&lt;200,0.001*EnergyCurve!I205+1,1.2)*EnergyCurve!I205</f>
        <v>64.721</v>
      </c>
      <c r="J205" s="94" t="n">
        <f aca="false">VLOOKUP($D205,tblPriorPrice,3)</f>
        <v>0</v>
      </c>
      <c r="K205" s="95" t="n">
        <f aca="false">L205-J205</f>
        <v>0</v>
      </c>
      <c r="L205" s="264" t="n">
        <v>0</v>
      </c>
      <c r="M205" s="96" t="n">
        <f aca="false">L205</f>
        <v>0</v>
      </c>
      <c r="N205" s="96" t="n">
        <f aca="false">L205</f>
        <v>0</v>
      </c>
      <c r="O205" s="58" t="n">
        <f aca="true">IF($A205="",0,INDEX(tblPosn,$A205,2))</f>
        <v>0</v>
      </c>
      <c r="P205" s="59" t="n">
        <f aca="true">IF($A205="",0,INDEX(tblPosn,$A205,3))</f>
        <v>0</v>
      </c>
      <c r="Q205" s="59" t="n">
        <f aca="true">IF($A205="",0,INDEX(tblPosn,$A205,4))</f>
        <v>0</v>
      </c>
      <c r="R205" s="59" t="n">
        <f aca="true">IF($A205="",0,INDEX(tblPosn,$A205,5))</f>
        <v>0</v>
      </c>
      <c r="S205" s="59" t="n">
        <f aca="true">IF($A205="",0,INDEX(tblPosn,$A205,6))</f>
        <v>0</v>
      </c>
      <c r="T205" s="98" t="n">
        <f aca="false">O205*F205+P205*K205+R205*AC205+S205*AH205/0.72+Q205*X205</f>
        <v>0</v>
      </c>
      <c r="V205" s="161" t="n">
        <f aca="false">D205</f>
        <v>42125</v>
      </c>
      <c r="W205" s="94" t="n">
        <f aca="false">VLOOKUP($D205,tblPriorPrice,4)</f>
        <v>0</v>
      </c>
      <c r="X205" s="162"/>
      <c r="Y205" s="176" t="n">
        <f aca="false">L205</f>
        <v>0</v>
      </c>
      <c r="Z205" s="177" t="n">
        <f aca="false">Y205</f>
        <v>0</v>
      </c>
      <c r="AA205" s="177" t="n">
        <f aca="false">Y205</f>
        <v>0</v>
      </c>
      <c r="AB205" s="94" t="n">
        <f aca="false">VLOOKUP($D205,tblPriorPrice,5)</f>
        <v>0</v>
      </c>
      <c r="AC205" s="162"/>
      <c r="AD205" s="176" t="n">
        <f aca="false">L205</f>
        <v>0</v>
      </c>
      <c r="AE205" s="96" t="n">
        <f aca="false">AD205</f>
        <v>0</v>
      </c>
      <c r="AF205" s="97" t="n">
        <f aca="false">AD205</f>
        <v>0</v>
      </c>
      <c r="AG205" s="94" t="n">
        <f aca="false">VLOOKUP($D205,tblPriorPrice,6)</f>
        <v>0</v>
      </c>
      <c r="AH205" s="182"/>
      <c r="AI205" s="189" t="n">
        <f aca="false">AG205+AH205</f>
        <v>0</v>
      </c>
      <c r="AJ205" s="96" t="n">
        <f aca="false">AI205</f>
        <v>0</v>
      </c>
      <c r="AK205" s="97" t="n">
        <f aca="false">AI205</f>
        <v>0</v>
      </c>
      <c r="AL205" s="178" t="n">
        <v>58</v>
      </c>
      <c r="AM205" s="165" t="n">
        <v>0.4</v>
      </c>
      <c r="AN205" s="166" t="n">
        <f aca="false">EnergyCurve!AN205*2</f>
        <v>0.34</v>
      </c>
      <c r="AO205" s="166" t="n">
        <f aca="false">EnergyCurve!AO205</f>
        <v>0.153</v>
      </c>
      <c r="AP205" s="166" t="n">
        <f aca="false">AN205*1.25</f>
        <v>0.425</v>
      </c>
      <c r="AQ205" s="166" t="n">
        <f aca="false">EnergyCurve!AQ205*2</f>
        <v>0.34</v>
      </c>
      <c r="AR205" s="166" t="n">
        <f aca="false">EnergyCurve!AR205</f>
        <v>0.136</v>
      </c>
      <c r="AS205" s="166" t="n">
        <f aca="false">EnergyCurve!AS205*1.25</f>
        <v>0.255</v>
      </c>
      <c r="AT205" s="168" t="n">
        <f aca="false">EnergyCurve!AT205*2*2</f>
        <v>6.71448638739126</v>
      </c>
      <c r="AU205" s="169" t="n">
        <f aca="false">EnergyCurve!AU205</f>
        <v>-0.419655399211954</v>
      </c>
      <c r="AV205" s="169" t="n">
        <f aca="false">AT205*1.25</f>
        <v>8.39310798423907</v>
      </c>
      <c r="AW205" s="168" t="n">
        <f aca="false">EnergyCurve!AW205*2*2</f>
        <v>10.3986</v>
      </c>
      <c r="AX205" s="169" t="n">
        <f aca="false">EnergyCurve!AX205</f>
        <v>-0.6499125</v>
      </c>
      <c r="AY205" s="169" t="n">
        <f aca="false">AW205*1.25</f>
        <v>12.99825</v>
      </c>
      <c r="AZ205" s="167" t="n">
        <v>0</v>
      </c>
      <c r="BA205" s="74"/>
      <c r="BQ205" s="108" t="n">
        <v>36907.7428240741</v>
      </c>
      <c r="BR205" s="109" t="n">
        <v>36907.7434490741</v>
      </c>
      <c r="BS205" s="110" t="n">
        <v>42339</v>
      </c>
      <c r="BT205" s="111" t="n">
        <v>0</v>
      </c>
      <c r="BU205" s="112" t="n">
        <v>0</v>
      </c>
      <c r="BV205" s="112" t="n">
        <v>0</v>
      </c>
      <c r="BW205" s="112" t="n">
        <v>0</v>
      </c>
      <c r="BX205" s="113" t="n">
        <v>0</v>
      </c>
      <c r="BZ205" s="110" t="n">
        <v>42125</v>
      </c>
      <c r="CA205" s="116" t="n">
        <v>33.0239982604981</v>
      </c>
      <c r="CB205" s="116" t="n">
        <v>0</v>
      </c>
      <c r="CC205" s="116" t="n">
        <v>0</v>
      </c>
      <c r="CD205" s="116" t="n">
        <v>0</v>
      </c>
      <c r="CE205" s="117" t="n">
        <v>0</v>
      </c>
    </row>
    <row r="206" customFormat="false" ht="12.75" hidden="false" customHeight="false" outlineLevel="0" collapsed="false">
      <c r="A206" s="0" t="n">
        <f aca="true">IF(ISERROR(MATCH(D206,iRefDt,0)),"",MATCH(D206,iRefDt,0))</f>
        <v>197</v>
      </c>
      <c r="B206" s="92" t="n">
        <f aca="false">MATCH(YEAR(D206),iSpreads)</f>
        <v>15</v>
      </c>
      <c r="C206" s="0" t="n">
        <f aca="false">MONTH(D206)</f>
        <v>6</v>
      </c>
      <c r="D206" s="93" t="n">
        <f aca="false">+EnergyCurve!D206</f>
        <v>42156</v>
      </c>
      <c r="E206" s="94" t="n">
        <f aca="false">VLOOKUP($D206,tblPriorPrice,2)</f>
        <v>40.5209999084473</v>
      </c>
      <c r="F206" s="95" t="n">
        <f aca="false">G206-E206</f>
        <v>9.15527280653805E-008</v>
      </c>
      <c r="G206" s="264" t="n">
        <f aca="false">IF(EnergyCurve!G206&lt;200,0.001*EnergyCurve!G206+1,1.2)*EnergyCurve!G206</f>
        <v>40.521</v>
      </c>
      <c r="H206" s="96" t="n">
        <f aca="false">IF(EnergyCurve!H206&lt;200,0.001*EnergyCurve!H206+1,1.2)*EnergyCurve!H206</f>
        <v>35.156</v>
      </c>
      <c r="I206" s="96" t="n">
        <f aca="false">IF(EnergyCurve!I206&lt;200,0.001*EnergyCurve!I206+1,1.2)*EnergyCurve!I206</f>
        <v>72.624</v>
      </c>
      <c r="J206" s="94" t="n">
        <f aca="false">VLOOKUP($D206,tblPriorPrice,3)</f>
        <v>0</v>
      </c>
      <c r="K206" s="95" t="n">
        <f aca="false">L206-J206</f>
        <v>0</v>
      </c>
      <c r="L206" s="264" t="n">
        <v>0</v>
      </c>
      <c r="M206" s="96" t="n">
        <f aca="false">L206</f>
        <v>0</v>
      </c>
      <c r="N206" s="96" t="n">
        <f aca="false">L206</f>
        <v>0</v>
      </c>
      <c r="O206" s="58" t="n">
        <f aca="true">IF($A206="",0,INDEX(tblPosn,$A206,2))</f>
        <v>0</v>
      </c>
      <c r="P206" s="59" t="n">
        <f aca="true">IF($A206="",0,INDEX(tblPosn,$A206,3))</f>
        <v>0</v>
      </c>
      <c r="Q206" s="59" t="n">
        <f aca="true">IF($A206="",0,INDEX(tblPosn,$A206,4))</f>
        <v>0</v>
      </c>
      <c r="R206" s="59" t="n">
        <f aca="true">IF($A206="",0,INDEX(tblPosn,$A206,5))</f>
        <v>0</v>
      </c>
      <c r="S206" s="59" t="n">
        <f aca="true">IF($A206="",0,INDEX(tblPosn,$A206,6))</f>
        <v>0</v>
      </c>
      <c r="T206" s="98" t="n">
        <f aca="false">O206*F206+P206*K206+R206*AC206+S206*AH206/0.72+Q206*X206</f>
        <v>0</v>
      </c>
      <c r="V206" s="161" t="n">
        <f aca="false">D206</f>
        <v>42156</v>
      </c>
      <c r="W206" s="94" t="n">
        <f aca="false">VLOOKUP($D206,tblPriorPrice,4)</f>
        <v>0</v>
      </c>
      <c r="X206" s="162"/>
      <c r="Y206" s="176" t="n">
        <f aca="false">L206</f>
        <v>0</v>
      </c>
      <c r="Z206" s="177" t="n">
        <f aca="false">Y206</f>
        <v>0</v>
      </c>
      <c r="AA206" s="177" t="n">
        <f aca="false">Y206</f>
        <v>0</v>
      </c>
      <c r="AB206" s="94" t="n">
        <f aca="false">VLOOKUP($D206,tblPriorPrice,5)</f>
        <v>0</v>
      </c>
      <c r="AC206" s="162"/>
      <c r="AD206" s="176" t="n">
        <f aca="false">L206</f>
        <v>0</v>
      </c>
      <c r="AE206" s="96" t="n">
        <f aca="false">AD206</f>
        <v>0</v>
      </c>
      <c r="AF206" s="97" t="n">
        <f aca="false">AD206</f>
        <v>0</v>
      </c>
      <c r="AG206" s="94" t="n">
        <f aca="false">VLOOKUP($D206,tblPriorPrice,6)</f>
        <v>0</v>
      </c>
      <c r="AH206" s="182"/>
      <c r="AI206" s="189" t="n">
        <f aca="false">AG206+AH206</f>
        <v>0</v>
      </c>
      <c r="AJ206" s="96" t="n">
        <f aca="false">AI206</f>
        <v>0</v>
      </c>
      <c r="AK206" s="97" t="n">
        <f aca="false">AI206</f>
        <v>0</v>
      </c>
      <c r="AL206" s="178" t="n">
        <v>58</v>
      </c>
      <c r="AM206" s="165" t="n">
        <v>0.4</v>
      </c>
      <c r="AN206" s="166" t="n">
        <f aca="false">EnergyCurve!AN206*2</f>
        <v>0.34</v>
      </c>
      <c r="AO206" s="166" t="n">
        <f aca="false">EnergyCurve!AO206</f>
        <v>0.153</v>
      </c>
      <c r="AP206" s="166" t="n">
        <f aca="false">AN206*1.25</f>
        <v>0.425</v>
      </c>
      <c r="AQ206" s="166" t="n">
        <f aca="false">EnergyCurve!AQ206*2</f>
        <v>0.34</v>
      </c>
      <c r="AR206" s="166" t="n">
        <f aca="false">EnergyCurve!AR206</f>
        <v>0.136</v>
      </c>
      <c r="AS206" s="166" t="n">
        <f aca="false">EnergyCurve!AS206*1.25</f>
        <v>0.255</v>
      </c>
      <c r="AT206" s="168" t="n">
        <f aca="false">EnergyCurve!AT206*2*2</f>
        <v>8.27346121695085</v>
      </c>
      <c r="AU206" s="169" t="n">
        <f aca="false">EnergyCurve!AU206</f>
        <v>-0.517091326059428</v>
      </c>
      <c r="AV206" s="169" t="n">
        <f aca="false">AT206*1.25</f>
        <v>10.3418265211886</v>
      </c>
      <c r="AW206" s="168" t="n">
        <f aca="false">EnergyCurve!AW206*2*2</f>
        <v>9.7392</v>
      </c>
      <c r="AX206" s="169" t="n">
        <f aca="false">EnergyCurve!AX206</f>
        <v>-0.6087</v>
      </c>
      <c r="AY206" s="169" t="n">
        <f aca="false">AW206*1.25</f>
        <v>12.174</v>
      </c>
      <c r="AZ206" s="167" t="n">
        <v>0</v>
      </c>
      <c r="BA206" s="74"/>
      <c r="BQ206" s="108" t="n">
        <v>36907.7428240741</v>
      </c>
      <c r="BR206" s="109" t="n">
        <v>36907.7434490741</v>
      </c>
      <c r="BS206" s="110" t="n">
        <v>42370</v>
      </c>
      <c r="BT206" s="111" t="n">
        <v>0</v>
      </c>
      <c r="BU206" s="112" t="n">
        <v>0</v>
      </c>
      <c r="BV206" s="112" t="n">
        <v>0</v>
      </c>
      <c r="BW206" s="112" t="n">
        <v>0</v>
      </c>
      <c r="BX206" s="113" t="n">
        <v>0</v>
      </c>
      <c r="BZ206" s="110" t="n">
        <v>42156</v>
      </c>
      <c r="CA206" s="116" t="n">
        <v>40.5209999084473</v>
      </c>
      <c r="CB206" s="116" t="n">
        <v>0</v>
      </c>
      <c r="CC206" s="116" t="n">
        <v>0</v>
      </c>
      <c r="CD206" s="116" t="n">
        <v>0</v>
      </c>
      <c r="CE206" s="117" t="n">
        <v>0</v>
      </c>
    </row>
    <row r="207" customFormat="false" ht="12.75" hidden="false" customHeight="false" outlineLevel="0" collapsed="false">
      <c r="A207" s="0" t="n">
        <f aca="true">IF(ISERROR(MATCH(D207,iRefDt,0)),"",MATCH(D207,iRefDt,0))</f>
        <v>198</v>
      </c>
      <c r="B207" s="92" t="n">
        <f aca="false">MATCH(YEAR(D207),iSpreads)</f>
        <v>15</v>
      </c>
      <c r="C207" s="0" t="n">
        <f aca="false">MONTH(D207)</f>
        <v>7</v>
      </c>
      <c r="D207" s="93" t="n">
        <f aca="false">+EnergyCurve!D207</f>
        <v>42186</v>
      </c>
      <c r="E207" s="94" t="n">
        <f aca="false">VLOOKUP($D207,tblPriorPrice,2)</f>
        <v>40.5209999084473</v>
      </c>
      <c r="F207" s="95" t="n">
        <f aca="false">G207-E207</f>
        <v>9.15527280653805E-008</v>
      </c>
      <c r="G207" s="264" t="n">
        <f aca="false">IF(EnergyCurve!G207&lt;200,0.001*EnergyCurve!G207+1,1.2)*EnergyCurve!G207</f>
        <v>40.521</v>
      </c>
      <c r="H207" s="96" t="n">
        <f aca="false">IF(EnergyCurve!H207&lt;200,0.001*EnergyCurve!H207+1,1.2)*EnergyCurve!H207</f>
        <v>35.156</v>
      </c>
      <c r="I207" s="96" t="n">
        <f aca="false">IF(EnergyCurve!I207&lt;200,0.001*EnergyCurve!I207+1,1.2)*EnergyCurve!I207</f>
        <v>72.624</v>
      </c>
      <c r="J207" s="94" t="n">
        <f aca="false">VLOOKUP($D207,tblPriorPrice,3)</f>
        <v>0</v>
      </c>
      <c r="K207" s="95" t="n">
        <f aca="false">L207-J207</f>
        <v>0</v>
      </c>
      <c r="L207" s="264" t="n">
        <v>0</v>
      </c>
      <c r="M207" s="96" t="n">
        <f aca="false">L207</f>
        <v>0</v>
      </c>
      <c r="N207" s="96" t="n">
        <f aca="false">L207</f>
        <v>0</v>
      </c>
      <c r="O207" s="58" t="n">
        <f aca="true">IF($A207="",0,INDEX(tblPosn,$A207,2))</f>
        <v>0</v>
      </c>
      <c r="P207" s="59" t="n">
        <f aca="true">IF($A207="",0,INDEX(tblPosn,$A207,3))</f>
        <v>0</v>
      </c>
      <c r="Q207" s="59" t="n">
        <f aca="true">IF($A207="",0,INDEX(tblPosn,$A207,4))</f>
        <v>0</v>
      </c>
      <c r="R207" s="59" t="n">
        <f aca="true">IF($A207="",0,INDEX(tblPosn,$A207,5))</f>
        <v>0</v>
      </c>
      <c r="S207" s="59" t="n">
        <f aca="true">IF($A207="",0,INDEX(tblPosn,$A207,6))</f>
        <v>0</v>
      </c>
      <c r="T207" s="98" t="n">
        <f aca="false">O207*F207+P207*K207+R207*AC207+S207*AH207/0.72+Q207*X207</f>
        <v>0</v>
      </c>
      <c r="V207" s="161" t="n">
        <f aca="false">D207</f>
        <v>42186</v>
      </c>
      <c r="W207" s="94" t="n">
        <f aca="false">VLOOKUP($D207,tblPriorPrice,4)</f>
        <v>0</v>
      </c>
      <c r="X207" s="162"/>
      <c r="Y207" s="176" t="n">
        <f aca="false">L207</f>
        <v>0</v>
      </c>
      <c r="Z207" s="177" t="n">
        <f aca="false">Y207</f>
        <v>0</v>
      </c>
      <c r="AA207" s="177" t="n">
        <f aca="false">Y207</f>
        <v>0</v>
      </c>
      <c r="AB207" s="94" t="n">
        <f aca="false">VLOOKUP($D207,tblPriorPrice,5)</f>
        <v>0</v>
      </c>
      <c r="AC207" s="162"/>
      <c r="AD207" s="176" t="n">
        <f aca="false">L207</f>
        <v>0</v>
      </c>
      <c r="AE207" s="96" t="n">
        <f aca="false">AD207</f>
        <v>0</v>
      </c>
      <c r="AF207" s="97" t="n">
        <f aca="false">AD207</f>
        <v>0</v>
      </c>
      <c r="AG207" s="94" t="n">
        <f aca="false">VLOOKUP($D207,tblPriorPrice,6)</f>
        <v>0</v>
      </c>
      <c r="AH207" s="182"/>
      <c r="AI207" s="189" t="n">
        <f aca="false">AG207+AH207</f>
        <v>0</v>
      </c>
      <c r="AJ207" s="96" t="n">
        <f aca="false">AI207</f>
        <v>0</v>
      </c>
      <c r="AK207" s="97" t="n">
        <f aca="false">AI207</f>
        <v>0</v>
      </c>
      <c r="AL207" s="178" t="n">
        <v>59</v>
      </c>
      <c r="AM207" s="165" t="n">
        <v>0.4</v>
      </c>
      <c r="AN207" s="166" t="n">
        <f aca="false">EnergyCurve!AN207*2</f>
        <v>0.34</v>
      </c>
      <c r="AO207" s="166" t="n">
        <f aca="false">EnergyCurve!AO207</f>
        <v>0.153</v>
      </c>
      <c r="AP207" s="166" t="n">
        <f aca="false">AN207*1.25</f>
        <v>0.425</v>
      </c>
      <c r="AQ207" s="166" t="n">
        <f aca="false">EnergyCurve!AQ207*2</f>
        <v>0.34</v>
      </c>
      <c r="AR207" s="166" t="n">
        <f aca="false">EnergyCurve!AR207</f>
        <v>0.136</v>
      </c>
      <c r="AS207" s="166" t="n">
        <f aca="false">EnergyCurve!AS207*1.25</f>
        <v>0.255</v>
      </c>
      <c r="AT207" s="168" t="n">
        <f aca="false">EnergyCurve!AT207*2*2</f>
        <v>8.27346121695085</v>
      </c>
      <c r="AU207" s="169" t="n">
        <f aca="false">EnergyCurve!AU207</f>
        <v>-0.517091326059428</v>
      </c>
      <c r="AV207" s="169" t="n">
        <f aca="false">AT207*1.25</f>
        <v>10.3418265211886</v>
      </c>
      <c r="AW207" s="168" t="n">
        <f aca="false">EnergyCurve!AW207*2*2</f>
        <v>9.7392</v>
      </c>
      <c r="AX207" s="169" t="n">
        <f aca="false">EnergyCurve!AX207</f>
        <v>-0.6087</v>
      </c>
      <c r="AY207" s="169" t="n">
        <f aca="false">AW207*1.25</f>
        <v>12.174</v>
      </c>
      <c r="AZ207" s="167" t="n">
        <v>0</v>
      </c>
      <c r="BA207" s="74"/>
      <c r="BQ207" s="108" t="n">
        <v>36907.7428240741</v>
      </c>
      <c r="BR207" s="109" t="n">
        <v>36907.7434490741</v>
      </c>
      <c r="BS207" s="110" t="n">
        <v>42401</v>
      </c>
      <c r="BT207" s="111" t="n">
        <v>0</v>
      </c>
      <c r="BU207" s="112" t="n">
        <v>0</v>
      </c>
      <c r="BV207" s="112" t="n">
        <v>0</v>
      </c>
      <c r="BW207" s="112" t="n">
        <v>0</v>
      </c>
      <c r="BX207" s="113" t="n">
        <v>0</v>
      </c>
      <c r="BZ207" s="110" t="n">
        <v>42186</v>
      </c>
      <c r="CA207" s="116" t="n">
        <v>40.5209999084473</v>
      </c>
      <c r="CB207" s="116" t="n">
        <v>0</v>
      </c>
      <c r="CC207" s="116" t="n">
        <v>0</v>
      </c>
      <c r="CD207" s="116" t="n">
        <v>0</v>
      </c>
      <c r="CE207" s="117" t="n">
        <v>0</v>
      </c>
    </row>
    <row r="208" customFormat="false" ht="12.75" hidden="false" customHeight="false" outlineLevel="0" collapsed="false">
      <c r="A208" s="0" t="n">
        <f aca="true">IF(ISERROR(MATCH(D208,iRefDt,0)),"",MATCH(D208,iRefDt,0))</f>
        <v>199</v>
      </c>
      <c r="B208" s="92" t="n">
        <f aca="false">MATCH(YEAR(D208),iSpreads)</f>
        <v>15</v>
      </c>
      <c r="C208" s="0" t="n">
        <f aca="false">MONTH(D208)</f>
        <v>8</v>
      </c>
      <c r="D208" s="93" t="n">
        <f aca="false">+EnergyCurve!D208</f>
        <v>42217</v>
      </c>
      <c r="E208" s="94" t="n">
        <f aca="false">VLOOKUP($D208,tblPriorPrice,2)</f>
        <v>42.6809997558594</v>
      </c>
      <c r="F208" s="95" t="n">
        <f aca="false">G208-E208</f>
        <v>2.44140622385203E-007</v>
      </c>
      <c r="G208" s="264" t="n">
        <f aca="false">IF(EnergyCurve!G208&lt;200,0.001*EnergyCurve!G208+1,1.2)*EnergyCurve!G208</f>
        <v>42.681</v>
      </c>
      <c r="H208" s="96" t="n">
        <f aca="false">IF(EnergyCurve!H208&lt;200,0.001*EnergyCurve!H208+1,1.2)*EnergyCurve!H208</f>
        <v>37.296</v>
      </c>
      <c r="I208" s="96" t="n">
        <f aca="false">IF(EnergyCurve!I208&lt;200,0.001*EnergyCurve!I208+1,1.2)*EnergyCurve!I208</f>
        <v>74.9</v>
      </c>
      <c r="J208" s="94" t="n">
        <f aca="false">VLOOKUP($D208,tblPriorPrice,3)</f>
        <v>0</v>
      </c>
      <c r="K208" s="95" t="n">
        <f aca="false">L208-J208</f>
        <v>0</v>
      </c>
      <c r="L208" s="264" t="n">
        <v>0</v>
      </c>
      <c r="M208" s="96" t="n">
        <f aca="false">L208</f>
        <v>0</v>
      </c>
      <c r="N208" s="96" t="n">
        <f aca="false">L208</f>
        <v>0</v>
      </c>
      <c r="O208" s="58" t="n">
        <f aca="true">IF($A208="",0,INDEX(tblPosn,$A208,2))</f>
        <v>0</v>
      </c>
      <c r="P208" s="59" t="n">
        <f aca="true">IF($A208="",0,INDEX(tblPosn,$A208,3))</f>
        <v>0</v>
      </c>
      <c r="Q208" s="59" t="n">
        <f aca="true">IF($A208="",0,INDEX(tblPosn,$A208,4))</f>
        <v>0</v>
      </c>
      <c r="R208" s="59" t="n">
        <f aca="true">IF($A208="",0,INDEX(tblPosn,$A208,5))</f>
        <v>0</v>
      </c>
      <c r="S208" s="59" t="n">
        <f aca="true">IF($A208="",0,INDEX(tblPosn,$A208,6))</f>
        <v>0</v>
      </c>
      <c r="T208" s="98" t="n">
        <f aca="false">O208*F208+P208*K208+R208*AC208+S208*AH208/0.72+Q208*X208</f>
        <v>0</v>
      </c>
      <c r="V208" s="161" t="n">
        <f aca="false">D208</f>
        <v>42217</v>
      </c>
      <c r="W208" s="94" t="n">
        <f aca="false">VLOOKUP($D208,tblPriorPrice,4)</f>
        <v>0</v>
      </c>
      <c r="X208" s="162"/>
      <c r="Y208" s="176" t="n">
        <f aca="false">L208</f>
        <v>0</v>
      </c>
      <c r="Z208" s="177" t="n">
        <f aca="false">Y208</f>
        <v>0</v>
      </c>
      <c r="AA208" s="177" t="n">
        <f aca="false">Y208</f>
        <v>0</v>
      </c>
      <c r="AB208" s="94" t="n">
        <f aca="false">VLOOKUP($D208,tblPriorPrice,5)</f>
        <v>0</v>
      </c>
      <c r="AC208" s="162"/>
      <c r="AD208" s="176" t="n">
        <f aca="false">L208</f>
        <v>0</v>
      </c>
      <c r="AE208" s="96" t="n">
        <f aca="false">AD208</f>
        <v>0</v>
      </c>
      <c r="AF208" s="97" t="n">
        <f aca="false">AD208</f>
        <v>0</v>
      </c>
      <c r="AG208" s="94" t="n">
        <f aca="false">VLOOKUP($D208,tblPriorPrice,6)</f>
        <v>0</v>
      </c>
      <c r="AH208" s="182"/>
      <c r="AI208" s="189" t="n">
        <f aca="false">AG208+AH208</f>
        <v>0</v>
      </c>
      <c r="AJ208" s="96" t="n">
        <f aca="false">AI208</f>
        <v>0</v>
      </c>
      <c r="AK208" s="97" t="n">
        <f aca="false">AI208</f>
        <v>0</v>
      </c>
      <c r="AL208" s="178" t="n">
        <v>59</v>
      </c>
      <c r="AM208" s="165" t="n">
        <v>0.4</v>
      </c>
      <c r="AN208" s="166" t="n">
        <f aca="false">EnergyCurve!AN208*2</f>
        <v>0.34</v>
      </c>
      <c r="AO208" s="166" t="n">
        <f aca="false">EnergyCurve!AO208</f>
        <v>0.153</v>
      </c>
      <c r="AP208" s="166" t="n">
        <f aca="false">AN208*1.25</f>
        <v>0.425</v>
      </c>
      <c r="AQ208" s="166" t="n">
        <f aca="false">EnergyCurve!AQ208*2</f>
        <v>0.34</v>
      </c>
      <c r="AR208" s="166" t="n">
        <f aca="false">EnergyCurve!AR208</f>
        <v>0.136</v>
      </c>
      <c r="AS208" s="166" t="n">
        <f aca="false">EnergyCurve!AS208*1.25</f>
        <v>0.255</v>
      </c>
      <c r="AT208" s="168" t="n">
        <f aca="false">EnergyCurve!AT208*2*2</f>
        <v>8.83433884019377</v>
      </c>
      <c r="AU208" s="169" t="n">
        <f aca="false">EnergyCurve!AU208</f>
        <v>-0.552146177512111</v>
      </c>
      <c r="AV208" s="169" t="n">
        <f aca="false">AT208*1.25</f>
        <v>11.0429235502422</v>
      </c>
      <c r="AW208" s="168" t="n">
        <f aca="false">EnergyCurve!AW208*2*2</f>
        <v>9.5508</v>
      </c>
      <c r="AX208" s="169" t="n">
        <f aca="false">EnergyCurve!AX208</f>
        <v>-0.596925</v>
      </c>
      <c r="AY208" s="169" t="n">
        <f aca="false">AW208*1.25</f>
        <v>11.9385</v>
      </c>
      <c r="AZ208" s="167" t="n">
        <v>0</v>
      </c>
      <c r="BA208" s="74"/>
      <c r="BQ208" s="108" t="n">
        <v>36907.7428240741</v>
      </c>
      <c r="BR208" s="109" t="n">
        <v>36907.7434490741</v>
      </c>
      <c r="BS208" s="110" t="n">
        <v>42430</v>
      </c>
      <c r="BT208" s="111" t="n">
        <v>0</v>
      </c>
      <c r="BU208" s="112" t="n">
        <v>0</v>
      </c>
      <c r="BV208" s="112" t="n">
        <v>0</v>
      </c>
      <c r="BW208" s="112" t="n">
        <v>0</v>
      </c>
      <c r="BX208" s="113" t="n">
        <v>0</v>
      </c>
      <c r="BZ208" s="110" t="n">
        <v>42217</v>
      </c>
      <c r="CA208" s="116" t="n">
        <v>42.6809997558594</v>
      </c>
      <c r="CB208" s="116" t="n">
        <v>0</v>
      </c>
      <c r="CC208" s="116" t="n">
        <v>0</v>
      </c>
      <c r="CD208" s="116" t="n">
        <v>0</v>
      </c>
      <c r="CE208" s="117" t="n">
        <v>0</v>
      </c>
    </row>
    <row r="209" customFormat="false" ht="12.75" hidden="false" customHeight="false" outlineLevel="0" collapsed="false">
      <c r="A209" s="0" t="n">
        <f aca="true">IF(ISERROR(MATCH(D209,iRefDt,0)),"",MATCH(D209,iRefDt,0))</f>
        <v>200</v>
      </c>
      <c r="B209" s="92" t="n">
        <f aca="false">MATCH(YEAR(D209),iSpreads)</f>
        <v>15</v>
      </c>
      <c r="C209" s="0" t="n">
        <f aca="false">MONTH(D209)</f>
        <v>9</v>
      </c>
      <c r="D209" s="93" t="n">
        <f aca="false">+EnergyCurve!D209</f>
        <v>42248</v>
      </c>
      <c r="E209" s="94" t="n">
        <f aca="false">VLOOKUP($D209,tblPriorPrice,2)</f>
        <v>36.2249984741211</v>
      </c>
      <c r="F209" s="95" t="n">
        <f aca="false">G209-E209</f>
        <v>1.52587890056566E-006</v>
      </c>
      <c r="G209" s="264" t="n">
        <f aca="false">IF(EnergyCurve!G209&lt;200,0.001*EnergyCurve!G209+1,1.2)*EnergyCurve!G209</f>
        <v>36.225</v>
      </c>
      <c r="H209" s="96" t="n">
        <f aca="false">IF(EnergyCurve!H209&lt;200,0.001*EnergyCurve!H209+1,1.2)*EnergyCurve!H209</f>
        <v>30.9</v>
      </c>
      <c r="I209" s="96" t="n">
        <f aca="false">IF(EnergyCurve!I209&lt;200,0.001*EnergyCurve!I209+1,1.2)*EnergyCurve!I209</f>
        <v>68.096</v>
      </c>
      <c r="J209" s="94" t="n">
        <f aca="false">VLOOKUP($D209,tblPriorPrice,3)</f>
        <v>0</v>
      </c>
      <c r="K209" s="95" t="n">
        <f aca="false">L209-J209</f>
        <v>0</v>
      </c>
      <c r="L209" s="264" t="n">
        <v>0</v>
      </c>
      <c r="M209" s="96" t="n">
        <f aca="false">L209</f>
        <v>0</v>
      </c>
      <c r="N209" s="96" t="n">
        <f aca="false">L209</f>
        <v>0</v>
      </c>
      <c r="O209" s="58" t="n">
        <f aca="true">IF($A209="",0,INDEX(tblPosn,$A209,2))</f>
        <v>0</v>
      </c>
      <c r="P209" s="59" t="n">
        <f aca="true">IF($A209="",0,INDEX(tblPosn,$A209,3))</f>
        <v>0</v>
      </c>
      <c r="Q209" s="59" t="n">
        <f aca="true">IF($A209="",0,INDEX(tblPosn,$A209,4))</f>
        <v>0</v>
      </c>
      <c r="R209" s="59" t="n">
        <f aca="true">IF($A209="",0,INDEX(tblPosn,$A209,5))</f>
        <v>0</v>
      </c>
      <c r="S209" s="59" t="n">
        <f aca="true">IF($A209="",0,INDEX(tblPosn,$A209,6))</f>
        <v>0</v>
      </c>
      <c r="T209" s="98" t="n">
        <f aca="false">O209*F209+P209*K209+R209*AC209+S209*AH209/0.72+Q209*X209</f>
        <v>0</v>
      </c>
      <c r="V209" s="161" t="n">
        <f aca="false">D209</f>
        <v>42248</v>
      </c>
      <c r="W209" s="94" t="n">
        <f aca="false">VLOOKUP($D209,tblPriorPrice,4)</f>
        <v>0</v>
      </c>
      <c r="X209" s="162"/>
      <c r="Y209" s="176" t="n">
        <f aca="false">L209</f>
        <v>0</v>
      </c>
      <c r="Z209" s="177" t="n">
        <f aca="false">Y209</f>
        <v>0</v>
      </c>
      <c r="AA209" s="177" t="n">
        <f aca="false">Y209</f>
        <v>0</v>
      </c>
      <c r="AB209" s="94" t="n">
        <f aca="false">VLOOKUP($D209,tblPriorPrice,5)</f>
        <v>0</v>
      </c>
      <c r="AC209" s="162"/>
      <c r="AD209" s="176" t="n">
        <f aca="false">L209</f>
        <v>0</v>
      </c>
      <c r="AE209" s="96" t="n">
        <f aca="false">AD209</f>
        <v>0</v>
      </c>
      <c r="AF209" s="97" t="n">
        <f aca="false">AD209</f>
        <v>0</v>
      </c>
      <c r="AG209" s="94" t="n">
        <f aca="false">VLOOKUP($D209,tblPriorPrice,6)</f>
        <v>0</v>
      </c>
      <c r="AH209" s="182"/>
      <c r="AI209" s="189" t="n">
        <f aca="false">AG209+AH209</f>
        <v>0</v>
      </c>
      <c r="AJ209" s="96" t="n">
        <f aca="false">AI209</f>
        <v>0</v>
      </c>
      <c r="AK209" s="97" t="n">
        <f aca="false">AI209</f>
        <v>0</v>
      </c>
      <c r="AL209" s="178" t="n">
        <v>59</v>
      </c>
      <c r="AM209" s="165" t="n">
        <v>0.4</v>
      </c>
      <c r="AN209" s="166" t="n">
        <f aca="false">EnergyCurve!AN209*2</f>
        <v>0.34</v>
      </c>
      <c r="AO209" s="166" t="n">
        <f aca="false">EnergyCurve!AO209</f>
        <v>0.153</v>
      </c>
      <c r="AP209" s="166" t="n">
        <f aca="false">AN209*1.25</f>
        <v>0.425</v>
      </c>
      <c r="AQ209" s="166" t="n">
        <f aca="false">EnergyCurve!AQ209*2</f>
        <v>0.34</v>
      </c>
      <c r="AR209" s="166" t="n">
        <f aca="false">EnergyCurve!AR209</f>
        <v>0.136</v>
      </c>
      <c r="AS209" s="166" t="n">
        <f aca="false">EnergyCurve!AS209*1.25</f>
        <v>0.255</v>
      </c>
      <c r="AT209" s="168" t="n">
        <f aca="false">EnergyCurve!AT209*2*2</f>
        <v>7.29020125079811</v>
      </c>
      <c r="AU209" s="169" t="n">
        <f aca="false">EnergyCurve!AU209</f>
        <v>-0.455637578174882</v>
      </c>
      <c r="AV209" s="169" t="n">
        <f aca="false">AT209*1.25</f>
        <v>9.11275156349763</v>
      </c>
      <c r="AW209" s="168" t="n">
        <f aca="false">EnergyCurve!AW209*2*2</f>
        <v>10.116</v>
      </c>
      <c r="AX209" s="169" t="n">
        <f aca="false">EnergyCurve!AX209</f>
        <v>-0.63225</v>
      </c>
      <c r="AY209" s="169" t="n">
        <f aca="false">AW209*1.25</f>
        <v>12.645</v>
      </c>
      <c r="AZ209" s="167" t="n">
        <v>0</v>
      </c>
      <c r="BA209" s="74"/>
      <c r="BQ209" s="108" t="n">
        <v>36907.7428240741</v>
      </c>
      <c r="BR209" s="109" t="n">
        <v>36907.7434490741</v>
      </c>
      <c r="BS209" s="110" t="n">
        <v>42461</v>
      </c>
      <c r="BT209" s="111" t="n">
        <v>0</v>
      </c>
      <c r="BU209" s="112" t="n">
        <v>0</v>
      </c>
      <c r="BV209" s="112" t="n">
        <v>0</v>
      </c>
      <c r="BW209" s="112" t="n">
        <v>0</v>
      </c>
      <c r="BX209" s="113" t="n">
        <v>0</v>
      </c>
      <c r="BZ209" s="110" t="n">
        <v>42248</v>
      </c>
      <c r="CA209" s="116" t="n">
        <v>36.2249984741211</v>
      </c>
      <c r="CB209" s="116" t="n">
        <v>0</v>
      </c>
      <c r="CC209" s="116" t="n">
        <v>0</v>
      </c>
      <c r="CD209" s="116" t="n">
        <v>0</v>
      </c>
      <c r="CE209" s="117" t="n">
        <v>0</v>
      </c>
    </row>
    <row r="210" customFormat="false" ht="12.75" hidden="false" customHeight="false" outlineLevel="0" collapsed="false">
      <c r="A210" s="0" t="n">
        <f aca="true">IF(ISERROR(MATCH(D210,iRefDt,0)),"",MATCH(D210,iRefDt,0))</f>
        <v>201</v>
      </c>
      <c r="B210" s="92" t="n">
        <f aca="false">MATCH(YEAR(D210),iSpreads)</f>
        <v>15</v>
      </c>
      <c r="C210" s="0" t="n">
        <f aca="false">MONTH(D210)</f>
        <v>10</v>
      </c>
      <c r="D210" s="93" t="n">
        <f aca="false">+EnergyCurve!D210</f>
        <v>42278</v>
      </c>
      <c r="E210" s="94" t="n">
        <f aca="false">VLOOKUP($D210,tblPriorPrice,2)</f>
        <v>38.3689994812012</v>
      </c>
      <c r="F210" s="95" t="n">
        <f aca="false">G210-E210</f>
        <v>5.18798827897626E-007</v>
      </c>
      <c r="G210" s="264" t="n">
        <f aca="false">IF(EnergyCurve!G210&lt;200,0.001*EnergyCurve!G210+1,1.2)*EnergyCurve!G210</f>
        <v>38.369</v>
      </c>
      <c r="H210" s="96" t="n">
        <f aca="false">IF(EnergyCurve!H210&lt;200,0.001*EnergyCurve!H210+1,1.2)*EnergyCurve!H210</f>
        <v>33.024</v>
      </c>
      <c r="I210" s="96" t="n">
        <f aca="false">IF(EnergyCurve!I210&lt;200,0.001*EnergyCurve!I210+1,1.2)*EnergyCurve!I210</f>
        <v>70.356</v>
      </c>
      <c r="J210" s="94" t="n">
        <f aca="false">VLOOKUP($D210,tblPriorPrice,3)</f>
        <v>0</v>
      </c>
      <c r="K210" s="95" t="n">
        <f aca="false">L210-J210</f>
        <v>0</v>
      </c>
      <c r="L210" s="264" t="n">
        <v>0</v>
      </c>
      <c r="M210" s="96" t="n">
        <f aca="false">L210</f>
        <v>0</v>
      </c>
      <c r="N210" s="96" t="n">
        <f aca="false">L210</f>
        <v>0</v>
      </c>
      <c r="O210" s="58" t="n">
        <f aca="true">IF($A210="",0,INDEX(tblPosn,$A210,2))</f>
        <v>0</v>
      </c>
      <c r="P210" s="59" t="n">
        <f aca="true">IF($A210="",0,INDEX(tblPosn,$A210,3))</f>
        <v>0</v>
      </c>
      <c r="Q210" s="59" t="n">
        <f aca="true">IF($A210="",0,INDEX(tblPosn,$A210,4))</f>
        <v>0</v>
      </c>
      <c r="R210" s="59" t="n">
        <f aca="true">IF($A210="",0,INDEX(tblPosn,$A210,5))</f>
        <v>0</v>
      </c>
      <c r="S210" s="59" t="n">
        <f aca="true">IF($A210="",0,INDEX(tblPosn,$A210,6))</f>
        <v>0</v>
      </c>
      <c r="T210" s="98" t="n">
        <f aca="false">O210*F210+P210*K210+R210*AC210+S210*AH210/0.72+Q210*X210</f>
        <v>0</v>
      </c>
      <c r="V210" s="161" t="n">
        <f aca="false">D210</f>
        <v>42278</v>
      </c>
      <c r="W210" s="94" t="n">
        <f aca="false">VLOOKUP($D210,tblPriorPrice,4)</f>
        <v>0</v>
      </c>
      <c r="X210" s="162"/>
      <c r="Y210" s="176" t="n">
        <f aca="false">L210</f>
        <v>0</v>
      </c>
      <c r="Z210" s="177" t="n">
        <f aca="false">Y210</f>
        <v>0</v>
      </c>
      <c r="AA210" s="177" t="n">
        <f aca="false">Y210</f>
        <v>0</v>
      </c>
      <c r="AB210" s="94" t="n">
        <f aca="false">VLOOKUP($D210,tblPriorPrice,5)</f>
        <v>0</v>
      </c>
      <c r="AC210" s="162"/>
      <c r="AD210" s="176" t="n">
        <f aca="false">L210</f>
        <v>0</v>
      </c>
      <c r="AE210" s="96" t="n">
        <f aca="false">AD210</f>
        <v>0</v>
      </c>
      <c r="AF210" s="97" t="n">
        <f aca="false">AD210</f>
        <v>0</v>
      </c>
      <c r="AG210" s="94" t="n">
        <f aca="false">VLOOKUP($D210,tblPriorPrice,6)</f>
        <v>0</v>
      </c>
      <c r="AH210" s="182"/>
      <c r="AI210" s="189" t="n">
        <f aca="false">AG210+AH210</f>
        <v>0</v>
      </c>
      <c r="AJ210" s="96" t="n">
        <f aca="false">AI210</f>
        <v>0</v>
      </c>
      <c r="AK210" s="97" t="n">
        <f aca="false">AI210</f>
        <v>0</v>
      </c>
      <c r="AL210" s="178" t="n">
        <v>60</v>
      </c>
      <c r="AM210" s="165" t="n">
        <v>0.4</v>
      </c>
      <c r="AN210" s="166" t="n">
        <f aca="false">EnergyCurve!AN210*2</f>
        <v>0.34</v>
      </c>
      <c r="AO210" s="166" t="n">
        <f aca="false">EnergyCurve!AO210</f>
        <v>0.153</v>
      </c>
      <c r="AP210" s="166" t="n">
        <f aca="false">AN210*1.25</f>
        <v>0.425</v>
      </c>
      <c r="AQ210" s="166" t="n">
        <f aca="false">EnergyCurve!AQ210*2</f>
        <v>0.34</v>
      </c>
      <c r="AR210" s="166" t="n">
        <f aca="false">EnergyCurve!AR210</f>
        <v>0.136</v>
      </c>
      <c r="AS210" s="166" t="n">
        <f aca="false">EnergyCurve!AS210*1.25</f>
        <v>0.255</v>
      </c>
      <c r="AT210" s="168" t="n">
        <f aca="false">EnergyCurve!AT210*2*2</f>
        <v>7.75576329559925</v>
      </c>
      <c r="AU210" s="169" t="n">
        <f aca="false">EnergyCurve!AU210</f>
        <v>-0.484735205974953</v>
      </c>
      <c r="AV210" s="169" t="n">
        <f aca="false">AT210*1.25</f>
        <v>9.69470411949907</v>
      </c>
      <c r="AW210" s="168" t="n">
        <f aca="false">EnergyCurve!AW210*2*2</f>
        <v>9.9276</v>
      </c>
      <c r="AX210" s="169" t="n">
        <f aca="false">EnergyCurve!AX210</f>
        <v>-0.620475</v>
      </c>
      <c r="AY210" s="169" t="n">
        <f aca="false">AW210*1.25</f>
        <v>12.4095</v>
      </c>
      <c r="AZ210" s="167" t="n">
        <v>0</v>
      </c>
      <c r="BA210" s="74"/>
      <c r="BQ210" s="108" t="n">
        <v>36907.7428240741</v>
      </c>
      <c r="BR210" s="109" t="n">
        <v>36907.7434490741</v>
      </c>
      <c r="BS210" s="110" t="n">
        <v>42491</v>
      </c>
      <c r="BT210" s="111" t="n">
        <v>0</v>
      </c>
      <c r="BU210" s="112" t="n">
        <v>0</v>
      </c>
      <c r="BV210" s="112" t="n">
        <v>0</v>
      </c>
      <c r="BW210" s="112" t="n">
        <v>0</v>
      </c>
      <c r="BX210" s="113" t="n">
        <v>0</v>
      </c>
      <c r="BZ210" s="110" t="n">
        <v>42278</v>
      </c>
      <c r="CA210" s="116" t="n">
        <v>38.3689994812012</v>
      </c>
      <c r="CB210" s="116" t="n">
        <v>0</v>
      </c>
      <c r="CC210" s="116" t="n">
        <v>0</v>
      </c>
      <c r="CD210" s="116" t="n">
        <v>0</v>
      </c>
      <c r="CE210" s="117" t="n">
        <v>0</v>
      </c>
    </row>
    <row r="211" customFormat="false" ht="12.75" hidden="false" customHeight="false" outlineLevel="0" collapsed="false">
      <c r="A211" s="0" t="n">
        <f aca="true">IF(ISERROR(MATCH(D211,iRefDt,0)),"",MATCH(D211,iRefDt,0))</f>
        <v>202</v>
      </c>
      <c r="B211" s="92" t="n">
        <f aca="false">MATCH(YEAR(D211),iSpreads)</f>
        <v>15</v>
      </c>
      <c r="C211" s="0" t="n">
        <f aca="false">MONTH(D211)</f>
        <v>11</v>
      </c>
      <c r="D211" s="93" t="n">
        <f aca="false">+EnergyCurve!D211</f>
        <v>42309</v>
      </c>
      <c r="E211" s="94" t="n">
        <f aca="false">VLOOKUP($D211,tblPriorPrice,2)</f>
        <v>31.9610004425049</v>
      </c>
      <c r="F211" s="95" t="n">
        <f aca="false">G211-E211</f>
        <v>-4.42504884290429E-007</v>
      </c>
      <c r="G211" s="264" t="n">
        <f aca="false">IF(EnergyCurve!G211&lt;200,0.001*EnergyCurve!G211+1,1.2)*EnergyCurve!G211</f>
        <v>31.961</v>
      </c>
      <c r="H211" s="96" t="n">
        <f aca="false">IF(EnergyCurve!H211&lt;200,0.001*EnergyCurve!H211+1,1.2)*EnergyCurve!H211</f>
        <v>26.676</v>
      </c>
      <c r="I211" s="96" t="n">
        <f aca="false">IF(EnergyCurve!I211&lt;200,0.001*EnergyCurve!I211+1,1.2)*EnergyCurve!I211</f>
        <v>63.6</v>
      </c>
      <c r="J211" s="94" t="n">
        <f aca="false">VLOOKUP($D211,tblPriorPrice,3)</f>
        <v>0</v>
      </c>
      <c r="K211" s="95" t="n">
        <f aca="false">L211-J211</f>
        <v>0</v>
      </c>
      <c r="L211" s="264" t="n">
        <v>0</v>
      </c>
      <c r="M211" s="96" t="n">
        <f aca="false">L211</f>
        <v>0</v>
      </c>
      <c r="N211" s="96" t="n">
        <f aca="false">L211</f>
        <v>0</v>
      </c>
      <c r="O211" s="58" t="n">
        <f aca="true">IF($A211="",0,INDEX(tblPosn,$A211,2))</f>
        <v>0</v>
      </c>
      <c r="P211" s="59" t="n">
        <f aca="true">IF($A211="",0,INDEX(tblPosn,$A211,3))</f>
        <v>0</v>
      </c>
      <c r="Q211" s="59" t="n">
        <f aca="true">IF($A211="",0,INDEX(tblPosn,$A211,4))</f>
        <v>0</v>
      </c>
      <c r="R211" s="59" t="n">
        <f aca="true">IF($A211="",0,INDEX(tblPosn,$A211,5))</f>
        <v>0</v>
      </c>
      <c r="S211" s="59" t="n">
        <f aca="true">IF($A211="",0,INDEX(tblPosn,$A211,6))</f>
        <v>0</v>
      </c>
      <c r="T211" s="98" t="n">
        <f aca="false">O211*F211+P211*K211+R211*AC211+S211*AH211/0.72+Q211*X211</f>
        <v>0</v>
      </c>
      <c r="V211" s="161" t="n">
        <f aca="false">D211</f>
        <v>42309</v>
      </c>
      <c r="W211" s="94" t="n">
        <f aca="false">VLOOKUP($D211,tblPriorPrice,4)</f>
        <v>0</v>
      </c>
      <c r="X211" s="162"/>
      <c r="Y211" s="176" t="n">
        <f aca="false">L211</f>
        <v>0</v>
      </c>
      <c r="Z211" s="177" t="n">
        <f aca="false">Y211</f>
        <v>0</v>
      </c>
      <c r="AA211" s="177" t="n">
        <f aca="false">Y211</f>
        <v>0</v>
      </c>
      <c r="AB211" s="94" t="n">
        <f aca="false">VLOOKUP($D211,tblPriorPrice,5)</f>
        <v>0</v>
      </c>
      <c r="AC211" s="162"/>
      <c r="AD211" s="176" t="n">
        <f aca="false">L211</f>
        <v>0</v>
      </c>
      <c r="AE211" s="96" t="n">
        <f aca="false">AD211</f>
        <v>0</v>
      </c>
      <c r="AF211" s="97" t="n">
        <f aca="false">AD211</f>
        <v>0</v>
      </c>
      <c r="AG211" s="94" t="n">
        <f aca="false">VLOOKUP($D211,tblPriorPrice,6)</f>
        <v>0</v>
      </c>
      <c r="AH211" s="182"/>
      <c r="AI211" s="189" t="n">
        <f aca="false">AG211+AH211</f>
        <v>0</v>
      </c>
      <c r="AJ211" s="96" t="n">
        <f aca="false">AI211</f>
        <v>0</v>
      </c>
      <c r="AK211" s="97" t="n">
        <f aca="false">AI211</f>
        <v>0</v>
      </c>
      <c r="AL211" s="178" t="n">
        <v>60</v>
      </c>
      <c r="AM211" s="165" t="n">
        <v>0.4</v>
      </c>
      <c r="AN211" s="166" t="n">
        <f aca="false">EnergyCurve!AN211*2</f>
        <v>0.34</v>
      </c>
      <c r="AO211" s="166" t="n">
        <f aca="false">EnergyCurve!AO211</f>
        <v>0.153</v>
      </c>
      <c r="AP211" s="166" t="n">
        <f aca="false">AN211*1.25</f>
        <v>0.425</v>
      </c>
      <c r="AQ211" s="166" t="n">
        <f aca="false">EnergyCurve!AQ211*2</f>
        <v>0.34</v>
      </c>
      <c r="AR211" s="166" t="n">
        <f aca="false">EnergyCurve!AR211</f>
        <v>0.136</v>
      </c>
      <c r="AS211" s="166" t="n">
        <f aca="false">EnergyCurve!AS211*1.25</f>
        <v>0.255</v>
      </c>
      <c r="AT211" s="168" t="n">
        <f aca="false">EnergyCurve!AT211*2*2</f>
        <v>6.56235962744143</v>
      </c>
      <c r="AU211" s="169" t="n">
        <f aca="false">EnergyCurve!AU211</f>
        <v>-0.410147476715089</v>
      </c>
      <c r="AV211" s="169" t="n">
        <f aca="false">AT211*1.25</f>
        <v>8.20294953430178</v>
      </c>
      <c r="AW211" s="168" t="n">
        <f aca="false">EnergyCurve!AW211*2*2</f>
        <v>10.4928</v>
      </c>
      <c r="AX211" s="169" t="n">
        <f aca="false">EnergyCurve!AX211</f>
        <v>-0.6558</v>
      </c>
      <c r="AY211" s="169" t="n">
        <f aca="false">AW211*1.25</f>
        <v>13.116</v>
      </c>
      <c r="AZ211" s="167" t="n">
        <v>0</v>
      </c>
      <c r="BA211" s="74"/>
      <c r="BQ211" s="108" t="n">
        <v>36907.7428240741</v>
      </c>
      <c r="BR211" s="109" t="n">
        <v>36907.7434490741</v>
      </c>
      <c r="BS211" s="110" t="n">
        <v>42522</v>
      </c>
      <c r="BT211" s="111" t="n">
        <v>0</v>
      </c>
      <c r="BU211" s="112" t="n">
        <v>0</v>
      </c>
      <c r="BV211" s="112" t="n">
        <v>0</v>
      </c>
      <c r="BW211" s="112" t="n">
        <v>0</v>
      </c>
      <c r="BX211" s="113" t="n">
        <v>0</v>
      </c>
      <c r="BZ211" s="110" t="n">
        <v>42309</v>
      </c>
      <c r="CA211" s="116" t="n">
        <v>31.9610004425049</v>
      </c>
      <c r="CB211" s="116" t="n">
        <v>0</v>
      </c>
      <c r="CC211" s="116" t="n">
        <v>0</v>
      </c>
      <c r="CD211" s="116" t="n">
        <v>0</v>
      </c>
      <c r="CE211" s="117" t="n">
        <v>0</v>
      </c>
    </row>
    <row r="212" customFormat="false" ht="12.75" hidden="false" customHeight="false" outlineLevel="0" collapsed="false">
      <c r="A212" s="0" t="n">
        <f aca="true">IF(ISERROR(MATCH(D212,iRefDt,0)),"",MATCH(D212,iRefDt,0))</f>
        <v>203</v>
      </c>
      <c r="B212" s="92" t="n">
        <f aca="false">MATCH(YEAR(D212),iSpreads)</f>
        <v>15</v>
      </c>
      <c r="C212" s="0" t="n">
        <f aca="false">MONTH(D212)</f>
        <v>12</v>
      </c>
      <c r="D212" s="93" t="n">
        <f aca="false">+EnergyCurve!D212</f>
        <v>42339</v>
      </c>
      <c r="E212" s="94" t="n">
        <f aca="false">VLOOKUP($D212,tblPriorPrice,2)</f>
        <v>33.0239982604981</v>
      </c>
      <c r="F212" s="95" t="n">
        <f aca="false">G212-E212</f>
        <v>1.73950195403449E-006</v>
      </c>
      <c r="G212" s="264" t="n">
        <f aca="false">IF(EnergyCurve!G212&lt;200,0.001*EnergyCurve!G212+1,1.2)*EnergyCurve!G212</f>
        <v>33.024</v>
      </c>
      <c r="H212" s="96" t="n">
        <f aca="false">IF(EnergyCurve!H212&lt;200,0.001*EnergyCurve!H212+1,1.2)*EnergyCurve!H212</f>
        <v>27.729</v>
      </c>
      <c r="I212" s="96" t="n">
        <f aca="false">IF(EnergyCurve!I212&lt;200,0.001*EnergyCurve!I212+1,1.2)*EnergyCurve!I212</f>
        <v>64.721</v>
      </c>
      <c r="J212" s="94" t="n">
        <f aca="false">VLOOKUP($D212,tblPriorPrice,3)</f>
        <v>0</v>
      </c>
      <c r="K212" s="95" t="n">
        <f aca="false">L212-J212</f>
        <v>0</v>
      </c>
      <c r="L212" s="264" t="n">
        <v>0</v>
      </c>
      <c r="M212" s="96" t="n">
        <f aca="false">L212</f>
        <v>0</v>
      </c>
      <c r="N212" s="96" t="n">
        <f aca="false">L212</f>
        <v>0</v>
      </c>
      <c r="O212" s="58" t="n">
        <f aca="true">IF($A212="",0,INDEX(tblPosn,$A212,2))</f>
        <v>0</v>
      </c>
      <c r="P212" s="59" t="n">
        <f aca="true">IF($A212="",0,INDEX(tblPosn,$A212,3))</f>
        <v>0</v>
      </c>
      <c r="Q212" s="59" t="n">
        <f aca="true">IF($A212="",0,INDEX(tblPosn,$A212,4))</f>
        <v>0</v>
      </c>
      <c r="R212" s="59" t="n">
        <f aca="true">IF($A212="",0,INDEX(tblPosn,$A212,5))</f>
        <v>0</v>
      </c>
      <c r="S212" s="59" t="n">
        <f aca="true">IF($A212="",0,INDEX(tblPosn,$A212,6))</f>
        <v>0</v>
      </c>
      <c r="T212" s="98" t="n">
        <f aca="false">O212*F212+P212*K212+R212*AC212+S212*AH212/0.72+Q212*X212</f>
        <v>0</v>
      </c>
      <c r="V212" s="161" t="n">
        <f aca="false">D212</f>
        <v>42339</v>
      </c>
      <c r="W212" s="94" t="n">
        <f aca="false">VLOOKUP($D212,tblPriorPrice,4)</f>
        <v>0</v>
      </c>
      <c r="X212" s="162"/>
      <c r="Y212" s="176" t="n">
        <f aca="false">L212</f>
        <v>0</v>
      </c>
      <c r="Z212" s="177" t="n">
        <f aca="false">Y212</f>
        <v>0</v>
      </c>
      <c r="AA212" s="177" t="n">
        <f aca="false">Y212</f>
        <v>0</v>
      </c>
      <c r="AB212" s="94" t="n">
        <f aca="false">VLOOKUP($D212,tblPriorPrice,5)</f>
        <v>0</v>
      </c>
      <c r="AC212" s="162"/>
      <c r="AD212" s="176" t="n">
        <f aca="false">L212</f>
        <v>0</v>
      </c>
      <c r="AE212" s="96" t="n">
        <f aca="false">AD212</f>
        <v>0</v>
      </c>
      <c r="AF212" s="97" t="n">
        <f aca="false">AD212</f>
        <v>0</v>
      </c>
      <c r="AG212" s="94" t="n">
        <f aca="false">VLOOKUP($D212,tblPriorPrice,6)</f>
        <v>0</v>
      </c>
      <c r="AH212" s="182"/>
      <c r="AI212" s="189" t="n">
        <f aca="false">AG212+AH212</f>
        <v>0</v>
      </c>
      <c r="AJ212" s="96" t="n">
        <f aca="false">AI212</f>
        <v>0</v>
      </c>
      <c r="AK212" s="97" t="n">
        <f aca="false">AI212</f>
        <v>0</v>
      </c>
      <c r="AL212" s="178" t="n">
        <v>60</v>
      </c>
      <c r="AM212" s="165" t="n">
        <v>0.4</v>
      </c>
      <c r="AN212" s="166" t="n">
        <f aca="false">EnergyCurve!AN212*2</f>
        <v>0.34</v>
      </c>
      <c r="AO212" s="166" t="n">
        <f aca="false">EnergyCurve!AO212</f>
        <v>0.153</v>
      </c>
      <c r="AP212" s="166" t="n">
        <f aca="false">AN212*1.25</f>
        <v>0.425</v>
      </c>
      <c r="AQ212" s="166" t="n">
        <f aca="false">EnergyCurve!AQ212*2</f>
        <v>0.34</v>
      </c>
      <c r="AR212" s="166" t="n">
        <f aca="false">EnergyCurve!AR212</f>
        <v>0.136</v>
      </c>
      <c r="AS212" s="166" t="n">
        <f aca="false">EnergyCurve!AS212*1.25</f>
        <v>0.255</v>
      </c>
      <c r="AT212" s="168" t="n">
        <f aca="false">EnergyCurve!AT212*2*2</f>
        <v>6.71448638739126</v>
      </c>
      <c r="AU212" s="169" t="n">
        <f aca="false">EnergyCurve!AU212</f>
        <v>-0.419655399211954</v>
      </c>
      <c r="AV212" s="169" t="n">
        <f aca="false">AT212*1.25</f>
        <v>8.39310798423907</v>
      </c>
      <c r="AW212" s="168" t="n">
        <f aca="false">EnergyCurve!AW212*2*2</f>
        <v>10.6812</v>
      </c>
      <c r="AX212" s="169" t="n">
        <f aca="false">EnergyCurve!AX212</f>
        <v>-0.667575</v>
      </c>
      <c r="AY212" s="169" t="n">
        <f aca="false">AW212*1.25</f>
        <v>13.3515</v>
      </c>
      <c r="AZ212" s="167" t="n">
        <v>0</v>
      </c>
      <c r="BA212" s="74"/>
      <c r="BQ212" s="108" t="n">
        <v>36907.7428240741</v>
      </c>
      <c r="BR212" s="109" t="n">
        <v>36907.7434490741</v>
      </c>
      <c r="BS212" s="110" t="n">
        <v>42552</v>
      </c>
      <c r="BT212" s="111" t="n">
        <v>0</v>
      </c>
      <c r="BU212" s="112" t="n">
        <v>0</v>
      </c>
      <c r="BV212" s="112" t="n">
        <v>0</v>
      </c>
      <c r="BW212" s="112" t="n">
        <v>0</v>
      </c>
      <c r="BX212" s="113" t="n">
        <v>0</v>
      </c>
      <c r="BZ212" s="110" t="n">
        <v>42339</v>
      </c>
      <c r="CA212" s="116" t="n">
        <v>33.0239982604981</v>
      </c>
      <c r="CB212" s="116" t="n">
        <v>0</v>
      </c>
      <c r="CC212" s="116" t="n">
        <v>0</v>
      </c>
      <c r="CD212" s="116" t="n">
        <v>0</v>
      </c>
      <c r="CE212" s="117" t="n">
        <v>0</v>
      </c>
    </row>
    <row r="213" customFormat="false" ht="12.75" hidden="false" customHeight="false" outlineLevel="0" collapsed="false">
      <c r="A213" s="0" t="n">
        <f aca="true">IF(ISERROR(MATCH(D213,iRefDt,0)),"",MATCH(D213,iRefDt,0))</f>
        <v>204</v>
      </c>
      <c r="B213" s="92" t="n">
        <f aca="false">MATCH(YEAR(D213),iSpreads)</f>
        <v>16</v>
      </c>
      <c r="C213" s="0" t="n">
        <f aca="false">MONTH(D213)</f>
        <v>1</v>
      </c>
      <c r="D213" s="93" t="n">
        <f aca="false">+EnergyCurve!D213</f>
        <v>42370</v>
      </c>
      <c r="E213" s="94" t="n">
        <f aca="false">VLOOKUP($D213,tblPriorPrice,2)</f>
        <v>34.0890007019043</v>
      </c>
      <c r="F213" s="95" t="n">
        <f aca="false">G213-E213</f>
        <v>-7.01904298239242E-007</v>
      </c>
      <c r="G213" s="264" t="n">
        <f aca="false">IF(EnergyCurve!G213&lt;200,0.001*EnergyCurve!G213+1,1.2)*EnergyCurve!G213</f>
        <v>34.089</v>
      </c>
      <c r="H213" s="96" t="n">
        <f aca="false">IF(EnergyCurve!H213&lt;200,0.001*EnergyCurve!H213+1,1.2)*EnergyCurve!H213</f>
        <v>28.784</v>
      </c>
      <c r="I213" s="96" t="n">
        <f aca="false">IF(EnergyCurve!I213&lt;200,0.001*EnergyCurve!I213+1,1.2)*EnergyCurve!I213</f>
        <v>66.969</v>
      </c>
      <c r="J213" s="94" t="n">
        <f aca="false">VLOOKUP($D213,tblPriorPrice,3)</f>
        <v>0</v>
      </c>
      <c r="K213" s="95" t="n">
        <f aca="false">L213-J213</f>
        <v>0</v>
      </c>
      <c r="L213" s="264" t="n">
        <v>0</v>
      </c>
      <c r="M213" s="96" t="n">
        <f aca="false">L213</f>
        <v>0</v>
      </c>
      <c r="N213" s="96" t="n">
        <f aca="false">L213</f>
        <v>0</v>
      </c>
      <c r="O213" s="58" t="n">
        <f aca="true">IF($A213="",0,INDEX(tblPosn,$A213,2))</f>
        <v>0</v>
      </c>
      <c r="P213" s="59" t="n">
        <f aca="true">IF($A213="",0,INDEX(tblPosn,$A213,3))</f>
        <v>0</v>
      </c>
      <c r="Q213" s="59" t="n">
        <f aca="true">IF($A213="",0,INDEX(tblPosn,$A213,4))</f>
        <v>0</v>
      </c>
      <c r="R213" s="59" t="n">
        <f aca="true">IF($A213="",0,INDEX(tblPosn,$A213,5))</f>
        <v>0</v>
      </c>
      <c r="S213" s="59" t="n">
        <f aca="true">IF($A213="",0,INDEX(tblPosn,$A213,6))</f>
        <v>0</v>
      </c>
      <c r="T213" s="98" t="n">
        <f aca="false">O213*F213+P213*K213+R213*AC213+S213*AH213/0.72+Q213*X213</f>
        <v>0</v>
      </c>
      <c r="V213" s="161" t="n">
        <f aca="false">D213</f>
        <v>42370</v>
      </c>
      <c r="W213" s="94" t="n">
        <f aca="false">VLOOKUP($D213,tblPriorPrice,4)</f>
        <v>0</v>
      </c>
      <c r="X213" s="162"/>
      <c r="Y213" s="176" t="n">
        <f aca="false">L213</f>
        <v>0</v>
      </c>
      <c r="Z213" s="177" t="n">
        <f aca="false">Y213</f>
        <v>0</v>
      </c>
      <c r="AA213" s="177" t="n">
        <f aca="false">Y213</f>
        <v>0</v>
      </c>
      <c r="AB213" s="94" t="n">
        <f aca="false">VLOOKUP($D213,tblPriorPrice,5)</f>
        <v>0</v>
      </c>
      <c r="AC213" s="162"/>
      <c r="AD213" s="176" t="n">
        <f aca="false">L213</f>
        <v>0</v>
      </c>
      <c r="AE213" s="96" t="n">
        <f aca="false">AD213</f>
        <v>0</v>
      </c>
      <c r="AF213" s="97" t="n">
        <f aca="false">AD213</f>
        <v>0</v>
      </c>
      <c r="AG213" s="94" t="n">
        <f aca="false">VLOOKUP($D213,tblPriorPrice,6)</f>
        <v>0</v>
      </c>
      <c r="AH213" s="182"/>
      <c r="AI213" s="189" t="n">
        <f aca="false">AG213+AH213</f>
        <v>0</v>
      </c>
      <c r="AJ213" s="96" t="n">
        <f aca="false">AI213</f>
        <v>0</v>
      </c>
      <c r="AK213" s="97" t="n">
        <f aca="false">AI213</f>
        <v>0</v>
      </c>
      <c r="AL213" s="178" t="n">
        <v>61</v>
      </c>
      <c r="AM213" s="165" t="n">
        <v>0.4</v>
      </c>
      <c r="AN213" s="166" t="n">
        <f aca="false">EnergyCurve!AN213*2</f>
        <v>0.34</v>
      </c>
      <c r="AO213" s="166" t="n">
        <f aca="false">EnergyCurve!AO213</f>
        <v>0.153</v>
      </c>
      <c r="AP213" s="166" t="n">
        <f aca="false">AN213*1.25</f>
        <v>0.425</v>
      </c>
      <c r="AQ213" s="166" t="n">
        <f aca="false">EnergyCurve!AQ213*2</f>
        <v>0.34</v>
      </c>
      <c r="AR213" s="166" t="n">
        <f aca="false">EnergyCurve!AR213</f>
        <v>0.136</v>
      </c>
      <c r="AS213" s="166" t="n">
        <f aca="false">EnergyCurve!AS213*1.25</f>
        <v>0.255</v>
      </c>
      <c r="AT213" s="168" t="n">
        <f aca="false">EnergyCurve!AT213*2*2</f>
        <v>6.88781730529552</v>
      </c>
      <c r="AU213" s="169" t="n">
        <f aca="false">EnergyCurve!AU213</f>
        <v>-0.43048858158097</v>
      </c>
      <c r="AV213" s="169" t="n">
        <f aca="false">AT213*1.25</f>
        <v>8.60977163161941</v>
      </c>
      <c r="AW213" s="168" t="n">
        <f aca="false">EnergyCurve!AW213*2*2</f>
        <v>10.4928</v>
      </c>
      <c r="AX213" s="169" t="n">
        <f aca="false">EnergyCurve!AX213</f>
        <v>-0.6558</v>
      </c>
      <c r="AY213" s="169" t="n">
        <f aca="false">AW213*1.25</f>
        <v>13.116</v>
      </c>
      <c r="AZ213" s="167" t="n">
        <v>0</v>
      </c>
      <c r="BA213" s="74"/>
      <c r="BQ213" s="108" t="n">
        <v>36907.7428240741</v>
      </c>
      <c r="BR213" s="109" t="n">
        <v>36907.7434490741</v>
      </c>
      <c r="BS213" s="110" t="n">
        <v>42583</v>
      </c>
      <c r="BT213" s="111" t="n">
        <v>0</v>
      </c>
      <c r="BU213" s="112" t="n">
        <v>0</v>
      </c>
      <c r="BV213" s="112" t="n">
        <v>0</v>
      </c>
      <c r="BW213" s="112" t="n">
        <v>0</v>
      </c>
      <c r="BX213" s="113" t="n">
        <v>0</v>
      </c>
      <c r="BZ213" s="110" t="n">
        <v>42370</v>
      </c>
      <c r="CA213" s="116" t="n">
        <v>34.0890007019043</v>
      </c>
      <c r="CB213" s="116" t="n">
        <v>0</v>
      </c>
      <c r="CC213" s="116" t="n">
        <v>0</v>
      </c>
      <c r="CD213" s="116" t="n">
        <v>0</v>
      </c>
      <c r="CE213" s="117" t="n">
        <v>0</v>
      </c>
    </row>
    <row r="214" customFormat="false" ht="12.75" hidden="false" customHeight="false" outlineLevel="0" collapsed="false">
      <c r="A214" s="0" t="n">
        <f aca="true">IF(ISERROR(MATCH(D214,iRefDt,0)),"",MATCH(D214,iRefDt,0))</f>
        <v>205</v>
      </c>
      <c r="B214" s="92" t="n">
        <f aca="false">MATCH(YEAR(D214),iSpreads)</f>
        <v>16</v>
      </c>
      <c r="C214" s="0" t="n">
        <f aca="false">MONTH(D214)</f>
        <v>2</v>
      </c>
      <c r="D214" s="93" t="n">
        <f aca="false">+EnergyCurve!D214</f>
        <v>42401</v>
      </c>
      <c r="E214" s="94" t="n">
        <f aca="false">VLOOKUP($D214,tblPriorPrice,2)</f>
        <v>30.8999996185303</v>
      </c>
      <c r="F214" s="95" t="n">
        <f aca="false">G214-E214</f>
        <v>3.81469728694128E-007</v>
      </c>
      <c r="G214" s="264" t="n">
        <f aca="false">IF(EnergyCurve!G214&lt;200,0.001*EnergyCurve!G214+1,1.2)*EnergyCurve!G214</f>
        <v>30.9</v>
      </c>
      <c r="H214" s="96" t="n">
        <f aca="false">IF(EnergyCurve!H214&lt;200,0.001*EnergyCurve!H214+1,1.2)*EnergyCurve!H214</f>
        <v>25.625</v>
      </c>
      <c r="I214" s="96" t="n">
        <f aca="false">IF(EnergyCurve!I214&lt;200,0.001*EnergyCurve!I214+1,1.2)*EnergyCurve!I214</f>
        <v>63.6</v>
      </c>
      <c r="J214" s="94" t="n">
        <f aca="false">VLOOKUP($D214,tblPriorPrice,3)</f>
        <v>0</v>
      </c>
      <c r="K214" s="95" t="n">
        <f aca="false">L214-J214</f>
        <v>0</v>
      </c>
      <c r="L214" s="264" t="n">
        <v>0</v>
      </c>
      <c r="M214" s="96" t="n">
        <f aca="false">L214</f>
        <v>0</v>
      </c>
      <c r="N214" s="96" t="n">
        <f aca="false">L214</f>
        <v>0</v>
      </c>
      <c r="O214" s="58" t="n">
        <f aca="true">IF($A214="",0,INDEX(tblPosn,$A214,2))</f>
        <v>0</v>
      </c>
      <c r="P214" s="59" t="n">
        <f aca="true">IF($A214="",0,INDEX(tblPosn,$A214,3))</f>
        <v>0</v>
      </c>
      <c r="Q214" s="59" t="n">
        <f aca="true">IF($A214="",0,INDEX(tblPosn,$A214,4))</f>
        <v>0</v>
      </c>
      <c r="R214" s="59" t="n">
        <f aca="true">IF($A214="",0,INDEX(tblPosn,$A214,5))</f>
        <v>0</v>
      </c>
      <c r="S214" s="59" t="n">
        <f aca="true">IF($A214="",0,INDEX(tblPosn,$A214,6))</f>
        <v>0</v>
      </c>
      <c r="T214" s="98" t="n">
        <f aca="false">O214*F214+P214*K214+R214*AC214+S214*AH214/0.72+Q214*X214</f>
        <v>0</v>
      </c>
      <c r="V214" s="161" t="n">
        <f aca="false">D214</f>
        <v>42401</v>
      </c>
      <c r="W214" s="94" t="n">
        <f aca="false">VLOOKUP($D214,tblPriorPrice,4)</f>
        <v>0</v>
      </c>
      <c r="X214" s="162"/>
      <c r="Y214" s="176" t="n">
        <f aca="false">L214</f>
        <v>0</v>
      </c>
      <c r="Z214" s="177" t="n">
        <f aca="false">Y214</f>
        <v>0</v>
      </c>
      <c r="AA214" s="177" t="n">
        <f aca="false">Y214</f>
        <v>0</v>
      </c>
      <c r="AB214" s="94" t="n">
        <f aca="false">VLOOKUP($D214,tblPriorPrice,5)</f>
        <v>0</v>
      </c>
      <c r="AC214" s="162"/>
      <c r="AD214" s="176" t="n">
        <f aca="false">L214</f>
        <v>0</v>
      </c>
      <c r="AE214" s="96" t="n">
        <f aca="false">AD214</f>
        <v>0</v>
      </c>
      <c r="AF214" s="97" t="n">
        <f aca="false">AD214</f>
        <v>0</v>
      </c>
      <c r="AG214" s="94" t="n">
        <f aca="false">VLOOKUP($D214,tblPriorPrice,6)</f>
        <v>0</v>
      </c>
      <c r="AH214" s="182"/>
      <c r="AI214" s="189" t="n">
        <f aca="false">AG214+AH214</f>
        <v>0</v>
      </c>
      <c r="AJ214" s="96" t="n">
        <f aca="false">AI214</f>
        <v>0</v>
      </c>
      <c r="AK214" s="97" t="n">
        <f aca="false">AI214</f>
        <v>0</v>
      </c>
      <c r="AL214" s="178" t="n">
        <v>61</v>
      </c>
      <c r="AM214" s="165" t="n">
        <v>0.4</v>
      </c>
      <c r="AN214" s="166" t="n">
        <f aca="false">EnergyCurve!AN214*2</f>
        <v>0.34</v>
      </c>
      <c r="AO214" s="166" t="n">
        <f aca="false">EnergyCurve!AO214</f>
        <v>0.153</v>
      </c>
      <c r="AP214" s="166" t="n">
        <f aca="false">AN214*1.25</f>
        <v>0.425</v>
      </c>
      <c r="AQ214" s="166" t="n">
        <f aca="false">EnergyCurve!AQ214*2</f>
        <v>0.34</v>
      </c>
      <c r="AR214" s="166" t="n">
        <f aca="false">EnergyCurve!AR214</f>
        <v>0.136</v>
      </c>
      <c r="AS214" s="166" t="n">
        <f aca="false">EnergyCurve!AS214*1.25</f>
        <v>0.255</v>
      </c>
      <c r="AT214" s="168" t="n">
        <f aca="false">EnergyCurve!AT214*2*2</f>
        <v>6.43371807382396</v>
      </c>
      <c r="AU214" s="169" t="n">
        <f aca="false">EnergyCurve!AU214</f>
        <v>-0.402107379613998</v>
      </c>
      <c r="AV214" s="169" t="n">
        <f aca="false">AT214*1.25</f>
        <v>8.04214759227995</v>
      </c>
      <c r="AW214" s="168" t="n">
        <f aca="false">EnergyCurve!AW214*2*2</f>
        <v>10.587</v>
      </c>
      <c r="AX214" s="169" t="n">
        <f aca="false">EnergyCurve!AX214</f>
        <v>-0.6616875</v>
      </c>
      <c r="AY214" s="169" t="n">
        <f aca="false">AW214*1.25</f>
        <v>13.23375</v>
      </c>
      <c r="AZ214" s="167" t="n">
        <v>0</v>
      </c>
      <c r="BA214" s="74"/>
      <c r="BQ214" s="108" t="n">
        <v>36907.7428240741</v>
      </c>
      <c r="BR214" s="109" t="n">
        <v>36907.7434490741</v>
      </c>
      <c r="BS214" s="110" t="n">
        <v>42614</v>
      </c>
      <c r="BT214" s="111" t="n">
        <v>0</v>
      </c>
      <c r="BU214" s="112" t="n">
        <v>0</v>
      </c>
      <c r="BV214" s="112" t="n">
        <v>0</v>
      </c>
      <c r="BW214" s="112" t="n">
        <v>0</v>
      </c>
      <c r="BX214" s="113" t="n">
        <v>0</v>
      </c>
      <c r="BZ214" s="110" t="n">
        <v>42401</v>
      </c>
      <c r="CA214" s="116" t="n">
        <v>30.8999996185303</v>
      </c>
      <c r="CB214" s="116" t="n">
        <v>0</v>
      </c>
      <c r="CC214" s="116" t="n">
        <v>0</v>
      </c>
      <c r="CD214" s="116" t="n">
        <v>0</v>
      </c>
      <c r="CE214" s="117" t="n">
        <v>0</v>
      </c>
    </row>
    <row r="215" customFormat="false" ht="12.75" hidden="false" customHeight="false" outlineLevel="0" collapsed="false">
      <c r="A215" s="0" t="n">
        <f aca="true">IF(ISERROR(MATCH(D215,iRefDt,0)),"",MATCH(D215,iRefDt,0))</f>
        <v>206</v>
      </c>
      <c r="B215" s="92" t="n">
        <f aca="false">MATCH(YEAR(D215),iSpreads)</f>
        <v>16</v>
      </c>
      <c r="C215" s="0" t="n">
        <f aca="false">MONTH(D215)</f>
        <v>3</v>
      </c>
      <c r="D215" s="93" t="n">
        <f aca="false">+EnergyCurve!D215</f>
        <v>42430</v>
      </c>
      <c r="E215" s="94" t="n">
        <f aca="false">VLOOKUP($D215,tblPriorPrice,2)</f>
        <v>29.8409996032715</v>
      </c>
      <c r="F215" s="95" t="n">
        <f aca="false">G215-E215</f>
        <v>3.96728513152311E-007</v>
      </c>
      <c r="G215" s="264" t="n">
        <f aca="false">IF(EnergyCurve!G215&lt;200,0.001*EnergyCurve!G215+1,1.2)*EnergyCurve!G215</f>
        <v>29.841</v>
      </c>
      <c r="H215" s="96" t="n">
        <f aca="false">IF(EnergyCurve!H215&lt;200,0.001*EnergyCurve!H215+1,1.2)*EnergyCurve!H215</f>
        <v>24.576</v>
      </c>
      <c r="I215" s="96" t="n">
        <f aca="false">IF(EnergyCurve!I215&lt;200,0.001*EnergyCurve!I215+1,1.2)*EnergyCurve!I215</f>
        <v>62.481</v>
      </c>
      <c r="J215" s="94" t="n">
        <f aca="false">VLOOKUP($D215,tblPriorPrice,3)</f>
        <v>0</v>
      </c>
      <c r="K215" s="95" t="n">
        <f aca="false">L215-J215</f>
        <v>0</v>
      </c>
      <c r="L215" s="264" t="n">
        <v>0</v>
      </c>
      <c r="M215" s="96" t="n">
        <f aca="false">L215</f>
        <v>0</v>
      </c>
      <c r="N215" s="96" t="n">
        <f aca="false">L215</f>
        <v>0</v>
      </c>
      <c r="O215" s="58" t="n">
        <f aca="true">IF($A215="",0,INDEX(tblPosn,$A215,2))</f>
        <v>0</v>
      </c>
      <c r="P215" s="59" t="n">
        <f aca="true">IF($A215="",0,INDEX(tblPosn,$A215,3))</f>
        <v>0</v>
      </c>
      <c r="Q215" s="59" t="n">
        <f aca="true">IF($A215="",0,INDEX(tblPosn,$A215,4))</f>
        <v>0</v>
      </c>
      <c r="R215" s="59" t="n">
        <f aca="true">IF($A215="",0,INDEX(tblPosn,$A215,5))</f>
        <v>0</v>
      </c>
      <c r="S215" s="59" t="n">
        <f aca="true">IF($A215="",0,INDEX(tblPosn,$A215,6))</f>
        <v>0</v>
      </c>
      <c r="T215" s="98" t="n">
        <f aca="false">O215*F215+P215*K215+R215*AC215+S215*AH215/0.72+Q215*X215</f>
        <v>0</v>
      </c>
      <c r="V215" s="161" t="n">
        <f aca="false">D215</f>
        <v>42430</v>
      </c>
      <c r="W215" s="94" t="n">
        <f aca="false">VLOOKUP($D215,tblPriorPrice,4)</f>
        <v>0</v>
      </c>
      <c r="X215" s="162"/>
      <c r="Y215" s="176" t="n">
        <f aca="false">L215</f>
        <v>0</v>
      </c>
      <c r="Z215" s="177" t="n">
        <f aca="false">Y215</f>
        <v>0</v>
      </c>
      <c r="AA215" s="177" t="n">
        <f aca="false">Y215</f>
        <v>0</v>
      </c>
      <c r="AB215" s="94" t="n">
        <f aca="false">VLOOKUP($D215,tblPriorPrice,5)</f>
        <v>0</v>
      </c>
      <c r="AC215" s="162"/>
      <c r="AD215" s="176" t="n">
        <f aca="false">L215</f>
        <v>0</v>
      </c>
      <c r="AE215" s="96" t="n">
        <f aca="false">AD215</f>
        <v>0</v>
      </c>
      <c r="AF215" s="97" t="n">
        <f aca="false">AD215</f>
        <v>0</v>
      </c>
      <c r="AG215" s="94" t="n">
        <f aca="false">VLOOKUP($D215,tblPriorPrice,6)</f>
        <v>0</v>
      </c>
      <c r="AH215" s="182"/>
      <c r="AI215" s="189" t="n">
        <f aca="false">AG215+AH215</f>
        <v>0</v>
      </c>
      <c r="AJ215" s="96" t="n">
        <f aca="false">AI215</f>
        <v>0</v>
      </c>
      <c r="AK215" s="97" t="n">
        <f aca="false">AI215</f>
        <v>0</v>
      </c>
      <c r="AL215" s="178" t="n">
        <v>61</v>
      </c>
      <c r="AM215" s="165" t="n">
        <v>0.4</v>
      </c>
      <c r="AN215" s="166" t="n">
        <f aca="false">EnergyCurve!AN215*2</f>
        <v>0.34</v>
      </c>
      <c r="AO215" s="166" t="n">
        <f aca="false">EnergyCurve!AO215</f>
        <v>0.153</v>
      </c>
      <c r="AP215" s="166" t="n">
        <f aca="false">AN215*1.25</f>
        <v>0.425</v>
      </c>
      <c r="AQ215" s="166" t="n">
        <f aca="false">EnergyCurve!AQ215*2</f>
        <v>0.34</v>
      </c>
      <c r="AR215" s="166" t="n">
        <f aca="false">EnergyCurve!AR215</f>
        <v>0.136</v>
      </c>
      <c r="AS215" s="166" t="n">
        <f aca="false">EnergyCurve!AS215*1.25</f>
        <v>0.255</v>
      </c>
      <c r="AT215" s="168" t="n">
        <f aca="false">EnergyCurve!AT215*2*2</f>
        <v>6.33113623762127</v>
      </c>
      <c r="AU215" s="169" t="n">
        <f aca="false">EnergyCurve!AU215</f>
        <v>-0.395696014851329</v>
      </c>
      <c r="AV215" s="169" t="n">
        <f aca="false">AT215*1.25</f>
        <v>7.91392029702658</v>
      </c>
      <c r="AW215" s="168" t="n">
        <f aca="false">EnergyCurve!AW215*2*2</f>
        <v>10.6812</v>
      </c>
      <c r="AX215" s="169" t="n">
        <f aca="false">EnergyCurve!AX215</f>
        <v>-0.667575</v>
      </c>
      <c r="AY215" s="169" t="n">
        <f aca="false">AW215*1.25</f>
        <v>13.3515</v>
      </c>
      <c r="AZ215" s="167" t="n">
        <v>0</v>
      </c>
      <c r="BA215" s="74"/>
      <c r="BQ215" s="108" t="n">
        <v>36907.7428240741</v>
      </c>
      <c r="BR215" s="109" t="n">
        <v>36907.7434490741</v>
      </c>
      <c r="BS215" s="110" t="n">
        <v>42644</v>
      </c>
      <c r="BT215" s="111" t="n">
        <v>0</v>
      </c>
      <c r="BU215" s="112" t="n">
        <v>0</v>
      </c>
      <c r="BV215" s="112" t="n">
        <v>0</v>
      </c>
      <c r="BW215" s="112" t="n">
        <v>0</v>
      </c>
      <c r="BX215" s="113" t="n">
        <v>0</v>
      </c>
      <c r="BZ215" s="110" t="n">
        <v>42430</v>
      </c>
      <c r="CA215" s="116" t="n">
        <v>29.8409996032715</v>
      </c>
      <c r="CB215" s="116" t="n">
        <v>0</v>
      </c>
      <c r="CC215" s="116" t="n">
        <v>0</v>
      </c>
      <c r="CD215" s="116" t="n">
        <v>0</v>
      </c>
      <c r="CE215" s="117" t="n">
        <v>0</v>
      </c>
    </row>
    <row r="216" customFormat="false" ht="12.75" hidden="false" customHeight="false" outlineLevel="0" collapsed="false">
      <c r="A216" s="0" t="n">
        <f aca="true">IF(ISERROR(MATCH(D216,iRefDt,0)),"",MATCH(D216,iRefDt,0))</f>
        <v>207</v>
      </c>
      <c r="B216" s="92" t="n">
        <f aca="false">MATCH(YEAR(D216),iSpreads)</f>
        <v>16</v>
      </c>
      <c r="C216" s="0" t="n">
        <f aca="false">MONTH(D216)</f>
        <v>4</v>
      </c>
      <c r="D216" s="93" t="n">
        <f aca="false">+EnergyCurve!D216</f>
        <v>42461</v>
      </c>
      <c r="E216" s="94" t="n">
        <f aca="false">VLOOKUP($D216,tblPriorPrice,2)</f>
        <v>29.8409996032715</v>
      </c>
      <c r="F216" s="95" t="n">
        <f aca="false">G216-E216</f>
        <v>3.96728513152311E-007</v>
      </c>
      <c r="G216" s="264" t="n">
        <f aca="false">IF(EnergyCurve!G216&lt;200,0.001*EnergyCurve!G216+1,1.2)*EnergyCurve!G216</f>
        <v>29.841</v>
      </c>
      <c r="H216" s="96" t="n">
        <f aca="false">IF(EnergyCurve!H216&lt;200,0.001*EnergyCurve!H216+1,1.2)*EnergyCurve!H216</f>
        <v>24.576</v>
      </c>
      <c r="I216" s="96" t="n">
        <f aca="false">IF(EnergyCurve!I216&lt;200,0.001*EnergyCurve!I216+1,1.2)*EnergyCurve!I216</f>
        <v>62.481</v>
      </c>
      <c r="J216" s="94" t="n">
        <f aca="false">VLOOKUP($D216,tblPriorPrice,3)</f>
        <v>0</v>
      </c>
      <c r="K216" s="95" t="n">
        <f aca="false">L216-J216</f>
        <v>0</v>
      </c>
      <c r="L216" s="264" t="n">
        <v>0</v>
      </c>
      <c r="M216" s="96" t="n">
        <f aca="false">L216</f>
        <v>0</v>
      </c>
      <c r="N216" s="96" t="n">
        <f aca="false">L216</f>
        <v>0</v>
      </c>
      <c r="O216" s="58" t="n">
        <f aca="true">IF($A216="",0,INDEX(tblPosn,$A216,2))</f>
        <v>0</v>
      </c>
      <c r="P216" s="59" t="n">
        <f aca="true">IF($A216="",0,INDEX(tblPosn,$A216,3))</f>
        <v>0</v>
      </c>
      <c r="Q216" s="59" t="n">
        <f aca="true">IF($A216="",0,INDEX(tblPosn,$A216,4))</f>
        <v>0</v>
      </c>
      <c r="R216" s="59" t="n">
        <f aca="true">IF($A216="",0,INDEX(tblPosn,$A216,5))</f>
        <v>0</v>
      </c>
      <c r="S216" s="59" t="n">
        <f aca="true">IF($A216="",0,INDEX(tblPosn,$A216,6))</f>
        <v>0</v>
      </c>
      <c r="T216" s="98" t="n">
        <f aca="false">O216*F216+P216*K216+R216*AC216+S216*AH216/0.72+Q216*X216</f>
        <v>0</v>
      </c>
      <c r="V216" s="161" t="n">
        <f aca="false">D216</f>
        <v>42461</v>
      </c>
      <c r="W216" s="94" t="n">
        <f aca="false">VLOOKUP($D216,tblPriorPrice,4)</f>
        <v>0</v>
      </c>
      <c r="X216" s="162"/>
      <c r="Y216" s="176" t="n">
        <f aca="false">L216</f>
        <v>0</v>
      </c>
      <c r="Z216" s="177" t="n">
        <f aca="false">Y216</f>
        <v>0</v>
      </c>
      <c r="AA216" s="177" t="n">
        <f aca="false">Y216</f>
        <v>0</v>
      </c>
      <c r="AB216" s="94" t="n">
        <f aca="false">VLOOKUP($D216,tblPriorPrice,5)</f>
        <v>0</v>
      </c>
      <c r="AC216" s="162"/>
      <c r="AD216" s="176" t="n">
        <f aca="false">L216</f>
        <v>0</v>
      </c>
      <c r="AE216" s="96" t="n">
        <f aca="false">AD216</f>
        <v>0</v>
      </c>
      <c r="AF216" s="97" t="n">
        <f aca="false">AD216</f>
        <v>0</v>
      </c>
      <c r="AG216" s="94" t="n">
        <f aca="false">VLOOKUP($D216,tblPriorPrice,6)</f>
        <v>0</v>
      </c>
      <c r="AH216" s="182"/>
      <c r="AI216" s="189" t="n">
        <f aca="false">AG216+AH216</f>
        <v>0</v>
      </c>
      <c r="AJ216" s="96" t="n">
        <f aca="false">AI216</f>
        <v>0</v>
      </c>
      <c r="AK216" s="97" t="n">
        <f aca="false">AI216</f>
        <v>0</v>
      </c>
      <c r="AL216" s="178" t="n">
        <v>62</v>
      </c>
      <c r="AM216" s="165" t="n">
        <v>0.4</v>
      </c>
      <c r="AN216" s="166" t="n">
        <f aca="false">EnergyCurve!AN216*2</f>
        <v>0.34</v>
      </c>
      <c r="AO216" s="166" t="n">
        <f aca="false">EnergyCurve!AO216</f>
        <v>0.153</v>
      </c>
      <c r="AP216" s="166" t="n">
        <f aca="false">AN216*1.25</f>
        <v>0.425</v>
      </c>
      <c r="AQ216" s="166" t="n">
        <f aca="false">EnergyCurve!AQ216*2</f>
        <v>0.34</v>
      </c>
      <c r="AR216" s="166" t="n">
        <f aca="false">EnergyCurve!AR216</f>
        <v>0.136</v>
      </c>
      <c r="AS216" s="166" t="n">
        <f aca="false">EnergyCurve!AS216*1.25</f>
        <v>0.255</v>
      </c>
      <c r="AT216" s="168" t="n">
        <f aca="false">EnergyCurve!AT216*2*2</f>
        <v>6.33113623762127</v>
      </c>
      <c r="AU216" s="169" t="n">
        <f aca="false">EnergyCurve!AU216</f>
        <v>-0.395696014851329</v>
      </c>
      <c r="AV216" s="169" t="n">
        <f aca="false">AT216*1.25</f>
        <v>7.91392029702658</v>
      </c>
      <c r="AW216" s="168" t="n">
        <f aca="false">EnergyCurve!AW216*2*2</f>
        <v>10.6812</v>
      </c>
      <c r="AX216" s="169" t="n">
        <f aca="false">EnergyCurve!AX216</f>
        <v>-0.667575</v>
      </c>
      <c r="AY216" s="169" t="n">
        <f aca="false">AW216*1.25</f>
        <v>13.3515</v>
      </c>
      <c r="AZ216" s="167" t="n">
        <v>0</v>
      </c>
      <c r="BA216" s="74"/>
      <c r="BQ216" s="108" t="n">
        <v>36907.7428240741</v>
      </c>
      <c r="BR216" s="109" t="n">
        <v>36907.7434490741</v>
      </c>
      <c r="BS216" s="110" t="n">
        <v>42675</v>
      </c>
      <c r="BT216" s="111" t="n">
        <v>0</v>
      </c>
      <c r="BU216" s="112" t="n">
        <v>0</v>
      </c>
      <c r="BV216" s="112" t="n">
        <v>0</v>
      </c>
      <c r="BW216" s="112" t="n">
        <v>0</v>
      </c>
      <c r="BX216" s="113" t="n">
        <v>0</v>
      </c>
      <c r="BZ216" s="110" t="n">
        <v>42461</v>
      </c>
      <c r="CA216" s="116" t="n">
        <v>29.8409996032715</v>
      </c>
      <c r="CB216" s="116" t="n">
        <v>0</v>
      </c>
      <c r="CC216" s="116" t="n">
        <v>0</v>
      </c>
      <c r="CD216" s="116" t="n">
        <v>0</v>
      </c>
      <c r="CE216" s="117" t="n">
        <v>0</v>
      </c>
    </row>
    <row r="217" customFormat="false" ht="12.75" hidden="false" customHeight="false" outlineLevel="0" collapsed="false">
      <c r="A217" s="0" t="n">
        <f aca="true">IF(ISERROR(MATCH(D217,iRefDt,0)),"",MATCH(D217,iRefDt,0))</f>
        <v>208</v>
      </c>
      <c r="B217" s="92" t="n">
        <f aca="false">MATCH(YEAR(D217),iSpreads)</f>
        <v>16</v>
      </c>
      <c r="C217" s="0" t="n">
        <f aca="false">MONTH(D217)</f>
        <v>5</v>
      </c>
      <c r="D217" s="93" t="n">
        <f aca="false">+EnergyCurve!D217</f>
        <v>42491</v>
      </c>
      <c r="E217" s="94" t="n">
        <f aca="false">VLOOKUP($D217,tblPriorPrice,2)</f>
        <v>33.0239982604981</v>
      </c>
      <c r="F217" s="95" t="n">
        <f aca="false">G217-E217</f>
        <v>1.73950195403449E-006</v>
      </c>
      <c r="G217" s="264" t="n">
        <f aca="false">IF(EnergyCurve!G217&lt;200,0.001*EnergyCurve!G217+1,1.2)*EnergyCurve!G217</f>
        <v>33.024</v>
      </c>
      <c r="H217" s="96" t="n">
        <f aca="false">IF(EnergyCurve!H217&lt;200,0.001*EnergyCurve!H217+1,1.2)*EnergyCurve!H217</f>
        <v>27.729</v>
      </c>
      <c r="I217" s="96" t="n">
        <f aca="false">IF(EnergyCurve!I217&lt;200,0.001*EnergyCurve!I217+1,1.2)*EnergyCurve!I217</f>
        <v>65.844</v>
      </c>
      <c r="J217" s="94" t="n">
        <f aca="false">VLOOKUP($D217,tblPriorPrice,3)</f>
        <v>0</v>
      </c>
      <c r="K217" s="95" t="n">
        <f aca="false">L217-J217</f>
        <v>0</v>
      </c>
      <c r="L217" s="264" t="n">
        <v>0</v>
      </c>
      <c r="M217" s="96" t="n">
        <f aca="false">L217</f>
        <v>0</v>
      </c>
      <c r="N217" s="96" t="n">
        <f aca="false">L217</f>
        <v>0</v>
      </c>
      <c r="O217" s="58" t="n">
        <f aca="true">IF($A217="",0,INDEX(tblPosn,$A217,2))</f>
        <v>0</v>
      </c>
      <c r="P217" s="59" t="n">
        <f aca="true">IF($A217="",0,INDEX(tblPosn,$A217,3))</f>
        <v>0</v>
      </c>
      <c r="Q217" s="59" t="n">
        <f aca="true">IF($A217="",0,INDEX(tblPosn,$A217,4))</f>
        <v>0</v>
      </c>
      <c r="R217" s="59" t="n">
        <f aca="true">IF($A217="",0,INDEX(tblPosn,$A217,5))</f>
        <v>0</v>
      </c>
      <c r="S217" s="59" t="n">
        <f aca="true">IF($A217="",0,INDEX(tblPosn,$A217,6))</f>
        <v>0</v>
      </c>
      <c r="T217" s="98" t="n">
        <f aca="false">O217*F217+P217*K217+R217*AC217+S217*AH217/0.72+Q217*X217</f>
        <v>0</v>
      </c>
      <c r="V217" s="161" t="n">
        <f aca="false">D217</f>
        <v>42491</v>
      </c>
      <c r="W217" s="94" t="n">
        <f aca="false">VLOOKUP($D217,tblPriorPrice,4)</f>
        <v>0</v>
      </c>
      <c r="X217" s="162"/>
      <c r="Y217" s="176" t="n">
        <f aca="false">L217</f>
        <v>0</v>
      </c>
      <c r="Z217" s="177" t="n">
        <f aca="false">Y217</f>
        <v>0</v>
      </c>
      <c r="AA217" s="177" t="n">
        <f aca="false">Y217</f>
        <v>0</v>
      </c>
      <c r="AB217" s="94" t="n">
        <f aca="false">VLOOKUP($D217,tblPriorPrice,5)</f>
        <v>0</v>
      </c>
      <c r="AC217" s="162"/>
      <c r="AD217" s="176" t="n">
        <f aca="false">L217</f>
        <v>0</v>
      </c>
      <c r="AE217" s="96" t="n">
        <f aca="false">AD217</f>
        <v>0</v>
      </c>
      <c r="AF217" s="97" t="n">
        <f aca="false">AD217</f>
        <v>0</v>
      </c>
      <c r="AG217" s="94" t="n">
        <f aca="false">VLOOKUP($D217,tblPriorPrice,6)</f>
        <v>0</v>
      </c>
      <c r="AH217" s="182"/>
      <c r="AI217" s="189" t="n">
        <f aca="false">AG217+AH217</f>
        <v>0</v>
      </c>
      <c r="AJ217" s="96" t="n">
        <f aca="false">AI217</f>
        <v>0</v>
      </c>
      <c r="AK217" s="97" t="n">
        <f aca="false">AI217</f>
        <v>0</v>
      </c>
      <c r="AL217" s="178" t="n">
        <v>62</v>
      </c>
      <c r="AM217" s="165" t="n">
        <v>0.4</v>
      </c>
      <c r="AN217" s="166" t="n">
        <f aca="false">EnergyCurve!AN217*2</f>
        <v>0.34</v>
      </c>
      <c r="AO217" s="166" t="n">
        <f aca="false">EnergyCurve!AO217</f>
        <v>0.153</v>
      </c>
      <c r="AP217" s="166" t="n">
        <f aca="false">AN217*1.25</f>
        <v>0.425</v>
      </c>
      <c r="AQ217" s="166" t="n">
        <f aca="false">EnergyCurve!AQ217*2</f>
        <v>0.34</v>
      </c>
      <c r="AR217" s="166" t="n">
        <f aca="false">EnergyCurve!AR217</f>
        <v>0.136</v>
      </c>
      <c r="AS217" s="166" t="n">
        <f aca="false">EnergyCurve!AS217*1.25</f>
        <v>0.255</v>
      </c>
      <c r="AT217" s="168" t="n">
        <f aca="false">EnergyCurve!AT217*2*2</f>
        <v>6.71448638739126</v>
      </c>
      <c r="AU217" s="169" t="n">
        <f aca="false">EnergyCurve!AU217</f>
        <v>-0.419655399211954</v>
      </c>
      <c r="AV217" s="169" t="n">
        <f aca="false">AT217*1.25</f>
        <v>8.39310798423907</v>
      </c>
      <c r="AW217" s="168" t="n">
        <f aca="false">EnergyCurve!AW217*2*2</f>
        <v>10.3986</v>
      </c>
      <c r="AX217" s="169" t="n">
        <f aca="false">EnergyCurve!AX217</f>
        <v>-0.6499125</v>
      </c>
      <c r="AY217" s="169" t="n">
        <f aca="false">AW217*1.25</f>
        <v>12.99825</v>
      </c>
      <c r="AZ217" s="167" t="n">
        <v>0</v>
      </c>
      <c r="BA217" s="74"/>
      <c r="BQ217" s="108" t="n">
        <v>36907.7428240741</v>
      </c>
      <c r="BR217" s="109" t="n">
        <v>36907.7434490741</v>
      </c>
      <c r="BS217" s="110" t="n">
        <v>42705</v>
      </c>
      <c r="BT217" s="111" t="n">
        <v>0</v>
      </c>
      <c r="BU217" s="112" t="n">
        <v>0</v>
      </c>
      <c r="BV217" s="112" t="n">
        <v>0</v>
      </c>
      <c r="BW217" s="112" t="n">
        <v>0</v>
      </c>
      <c r="BX217" s="113" t="n">
        <v>0</v>
      </c>
      <c r="BZ217" s="110" t="n">
        <v>42491</v>
      </c>
      <c r="CA217" s="116" t="n">
        <v>33.0239982604981</v>
      </c>
      <c r="CB217" s="116" t="n">
        <v>0</v>
      </c>
      <c r="CC217" s="116" t="n">
        <v>0</v>
      </c>
      <c r="CD217" s="116" t="n">
        <v>0</v>
      </c>
      <c r="CE217" s="117" t="n">
        <v>0</v>
      </c>
    </row>
    <row r="218" customFormat="false" ht="12.75" hidden="false" customHeight="false" outlineLevel="0" collapsed="false">
      <c r="A218" s="0" t="n">
        <f aca="true">IF(ISERROR(MATCH(D218,iRefDt,0)),"",MATCH(D218,iRefDt,0))</f>
        <v>209</v>
      </c>
      <c r="B218" s="92" t="n">
        <f aca="false">MATCH(YEAR(D218),iSpreads)</f>
        <v>16</v>
      </c>
      <c r="C218" s="0" t="n">
        <f aca="false">MONTH(D218)</f>
        <v>6</v>
      </c>
      <c r="D218" s="93" t="n">
        <f aca="false">+EnergyCurve!D218</f>
        <v>42522</v>
      </c>
      <c r="E218" s="94" t="n">
        <f aca="false">VLOOKUP($D218,tblPriorPrice,2)</f>
        <v>40.5209999084473</v>
      </c>
      <c r="F218" s="95" t="n">
        <f aca="false">G218-E218</f>
        <v>9.15527280653805E-008</v>
      </c>
      <c r="G218" s="264" t="n">
        <f aca="false">IF(EnergyCurve!G218&lt;200,0.001*EnergyCurve!G218+1,1.2)*EnergyCurve!G218</f>
        <v>40.521</v>
      </c>
      <c r="H218" s="96" t="n">
        <f aca="false">IF(EnergyCurve!H218&lt;200,0.001*EnergyCurve!H218+1,1.2)*EnergyCurve!H218</f>
        <v>35.156</v>
      </c>
      <c r="I218" s="96" t="n">
        <f aca="false">IF(EnergyCurve!I218&lt;200,0.001*EnergyCurve!I218+1,1.2)*EnergyCurve!I218</f>
        <v>73.761</v>
      </c>
      <c r="J218" s="94" t="n">
        <f aca="false">VLOOKUP($D218,tblPriorPrice,3)</f>
        <v>0</v>
      </c>
      <c r="K218" s="95" t="n">
        <f aca="false">L218-J218</f>
        <v>0</v>
      </c>
      <c r="L218" s="264" t="n">
        <v>0</v>
      </c>
      <c r="M218" s="96" t="n">
        <f aca="false">L218</f>
        <v>0</v>
      </c>
      <c r="N218" s="96" t="n">
        <f aca="false">L218</f>
        <v>0</v>
      </c>
      <c r="O218" s="58" t="n">
        <f aca="true">IF($A218="",0,INDEX(tblPosn,$A218,2))</f>
        <v>0</v>
      </c>
      <c r="P218" s="59" t="n">
        <f aca="true">IF($A218="",0,INDEX(tblPosn,$A218,3))</f>
        <v>0</v>
      </c>
      <c r="Q218" s="59" t="n">
        <f aca="true">IF($A218="",0,INDEX(tblPosn,$A218,4))</f>
        <v>0</v>
      </c>
      <c r="R218" s="59" t="n">
        <f aca="true">IF($A218="",0,INDEX(tblPosn,$A218,5))</f>
        <v>0</v>
      </c>
      <c r="S218" s="59" t="n">
        <f aca="true">IF($A218="",0,INDEX(tblPosn,$A218,6))</f>
        <v>0</v>
      </c>
      <c r="T218" s="98" t="n">
        <f aca="false">O218*F218+P218*K218+R218*AC218+S218*AH218/0.72+Q218*X218</f>
        <v>0</v>
      </c>
      <c r="V218" s="161" t="n">
        <f aca="false">D218</f>
        <v>42522</v>
      </c>
      <c r="W218" s="94" t="n">
        <f aca="false">VLOOKUP($D218,tblPriorPrice,4)</f>
        <v>0</v>
      </c>
      <c r="X218" s="162"/>
      <c r="Y218" s="176" t="n">
        <f aca="false">L218</f>
        <v>0</v>
      </c>
      <c r="Z218" s="177" t="n">
        <f aca="false">Y218</f>
        <v>0</v>
      </c>
      <c r="AA218" s="177" t="n">
        <f aca="false">Y218</f>
        <v>0</v>
      </c>
      <c r="AB218" s="94" t="n">
        <f aca="false">VLOOKUP($D218,tblPriorPrice,5)</f>
        <v>0</v>
      </c>
      <c r="AC218" s="162"/>
      <c r="AD218" s="176" t="n">
        <f aca="false">L218</f>
        <v>0</v>
      </c>
      <c r="AE218" s="96" t="n">
        <f aca="false">AD218</f>
        <v>0</v>
      </c>
      <c r="AF218" s="97" t="n">
        <f aca="false">AD218</f>
        <v>0</v>
      </c>
      <c r="AG218" s="94" t="n">
        <f aca="false">VLOOKUP($D218,tblPriorPrice,6)</f>
        <v>0</v>
      </c>
      <c r="AH218" s="182"/>
      <c r="AI218" s="189" t="n">
        <f aca="false">AG218+AH218</f>
        <v>0</v>
      </c>
      <c r="AJ218" s="96" t="n">
        <f aca="false">AI218</f>
        <v>0</v>
      </c>
      <c r="AK218" s="97" t="n">
        <f aca="false">AI218</f>
        <v>0</v>
      </c>
      <c r="AL218" s="178" t="n">
        <v>62</v>
      </c>
      <c r="AM218" s="165" t="n">
        <v>0.4</v>
      </c>
      <c r="AN218" s="166" t="n">
        <f aca="false">EnergyCurve!AN218*2</f>
        <v>0.34</v>
      </c>
      <c r="AO218" s="166" t="n">
        <f aca="false">EnergyCurve!AO218</f>
        <v>0.153</v>
      </c>
      <c r="AP218" s="166" t="n">
        <f aca="false">AN218*1.25</f>
        <v>0.425</v>
      </c>
      <c r="AQ218" s="166" t="n">
        <f aca="false">EnergyCurve!AQ218*2</f>
        <v>0.34</v>
      </c>
      <c r="AR218" s="166" t="n">
        <f aca="false">EnergyCurve!AR218</f>
        <v>0.136</v>
      </c>
      <c r="AS218" s="166" t="n">
        <f aca="false">EnergyCurve!AS218*1.25</f>
        <v>0.255</v>
      </c>
      <c r="AT218" s="168" t="n">
        <f aca="false">EnergyCurve!AT218*2*2</f>
        <v>8.27346121695085</v>
      </c>
      <c r="AU218" s="169" t="n">
        <f aca="false">EnergyCurve!AU218</f>
        <v>-0.517091326059428</v>
      </c>
      <c r="AV218" s="169" t="n">
        <f aca="false">AT218*1.25</f>
        <v>10.3418265211886</v>
      </c>
      <c r="AW218" s="168" t="n">
        <f aca="false">EnergyCurve!AW218*2*2</f>
        <v>9.7392</v>
      </c>
      <c r="AX218" s="169" t="n">
        <f aca="false">EnergyCurve!AX218</f>
        <v>-0.6087</v>
      </c>
      <c r="AY218" s="169" t="n">
        <f aca="false">AW218*1.25</f>
        <v>12.174</v>
      </c>
      <c r="AZ218" s="167" t="n">
        <v>0</v>
      </c>
      <c r="BA218" s="74"/>
      <c r="BQ218" s="108" t="n">
        <v>36907.7428240741</v>
      </c>
      <c r="BR218" s="109" t="n">
        <v>36907.7434490741</v>
      </c>
      <c r="BS218" s="110" t="n">
        <v>42736</v>
      </c>
      <c r="BT218" s="111" t="n">
        <v>0</v>
      </c>
      <c r="BU218" s="112" t="n">
        <v>0</v>
      </c>
      <c r="BV218" s="112" t="n">
        <v>0</v>
      </c>
      <c r="BW218" s="112" t="n">
        <v>0</v>
      </c>
      <c r="BX218" s="113" t="n">
        <v>0</v>
      </c>
      <c r="BZ218" s="110" t="n">
        <v>42522</v>
      </c>
      <c r="CA218" s="116" t="n">
        <v>40.5209999084473</v>
      </c>
      <c r="CB218" s="116" t="n">
        <v>0</v>
      </c>
      <c r="CC218" s="116" t="n">
        <v>0</v>
      </c>
      <c r="CD218" s="116" t="n">
        <v>0</v>
      </c>
      <c r="CE218" s="117" t="n">
        <v>0</v>
      </c>
    </row>
    <row r="219" customFormat="false" ht="12.75" hidden="false" customHeight="false" outlineLevel="0" collapsed="false">
      <c r="A219" s="0" t="n">
        <f aca="true">IF(ISERROR(MATCH(D219,iRefDt,0)),"",MATCH(D219,iRefDt,0))</f>
        <v>210</v>
      </c>
      <c r="B219" s="92" t="n">
        <f aca="false">MATCH(YEAR(D219),iSpreads)</f>
        <v>16</v>
      </c>
      <c r="C219" s="0" t="n">
        <f aca="false">MONTH(D219)</f>
        <v>7</v>
      </c>
      <c r="D219" s="93" t="n">
        <f aca="false">+EnergyCurve!D219</f>
        <v>42552</v>
      </c>
      <c r="E219" s="94" t="n">
        <f aca="false">VLOOKUP($D219,tblPriorPrice,2)</f>
        <v>40.5209999084473</v>
      </c>
      <c r="F219" s="95" t="n">
        <f aca="false">G219-E219</f>
        <v>9.15527280653805E-008</v>
      </c>
      <c r="G219" s="264" t="n">
        <f aca="false">IF(EnergyCurve!G219&lt;200,0.001*EnergyCurve!G219+1,1.2)*EnergyCurve!G219</f>
        <v>40.521</v>
      </c>
      <c r="H219" s="96" t="n">
        <f aca="false">IF(EnergyCurve!H219&lt;200,0.001*EnergyCurve!H219+1,1.2)*EnergyCurve!H219</f>
        <v>35.156</v>
      </c>
      <c r="I219" s="96" t="n">
        <f aca="false">IF(EnergyCurve!I219&lt;200,0.001*EnergyCurve!I219+1,1.2)*EnergyCurve!I219</f>
        <v>73.761</v>
      </c>
      <c r="J219" s="94" t="n">
        <f aca="false">VLOOKUP($D219,tblPriorPrice,3)</f>
        <v>0</v>
      </c>
      <c r="K219" s="95" t="n">
        <f aca="false">L219-J219</f>
        <v>0</v>
      </c>
      <c r="L219" s="264" t="n">
        <v>0</v>
      </c>
      <c r="M219" s="96" t="n">
        <f aca="false">L219</f>
        <v>0</v>
      </c>
      <c r="N219" s="96" t="n">
        <f aca="false">L219</f>
        <v>0</v>
      </c>
      <c r="O219" s="58" t="n">
        <f aca="true">IF($A219="",0,INDEX(tblPosn,$A219,2))</f>
        <v>0</v>
      </c>
      <c r="P219" s="59" t="n">
        <f aca="true">IF($A219="",0,INDEX(tblPosn,$A219,3))</f>
        <v>0</v>
      </c>
      <c r="Q219" s="59" t="n">
        <f aca="true">IF($A219="",0,INDEX(tblPosn,$A219,4))</f>
        <v>0</v>
      </c>
      <c r="R219" s="59" t="n">
        <f aca="true">IF($A219="",0,INDEX(tblPosn,$A219,5))</f>
        <v>0</v>
      </c>
      <c r="S219" s="59" t="n">
        <f aca="true">IF($A219="",0,INDEX(tblPosn,$A219,6))</f>
        <v>0</v>
      </c>
      <c r="T219" s="98" t="n">
        <f aca="false">O219*F219+P219*K219+R219*AC219+S219*AH219/0.72+Q219*X219</f>
        <v>0</v>
      </c>
      <c r="V219" s="161" t="n">
        <f aca="false">D219</f>
        <v>42552</v>
      </c>
      <c r="W219" s="94" t="n">
        <f aca="false">VLOOKUP($D219,tblPriorPrice,4)</f>
        <v>0</v>
      </c>
      <c r="X219" s="162"/>
      <c r="Y219" s="176" t="n">
        <f aca="false">L219</f>
        <v>0</v>
      </c>
      <c r="Z219" s="177" t="n">
        <f aca="false">Y219</f>
        <v>0</v>
      </c>
      <c r="AA219" s="177" t="n">
        <f aca="false">Y219</f>
        <v>0</v>
      </c>
      <c r="AB219" s="94" t="n">
        <f aca="false">VLOOKUP($D219,tblPriorPrice,5)</f>
        <v>0</v>
      </c>
      <c r="AC219" s="162"/>
      <c r="AD219" s="176" t="n">
        <f aca="false">L219</f>
        <v>0</v>
      </c>
      <c r="AE219" s="96" t="n">
        <f aca="false">AD219</f>
        <v>0</v>
      </c>
      <c r="AF219" s="97" t="n">
        <f aca="false">AD219</f>
        <v>0</v>
      </c>
      <c r="AG219" s="94" t="n">
        <f aca="false">VLOOKUP($D219,tblPriorPrice,6)</f>
        <v>0</v>
      </c>
      <c r="AH219" s="182"/>
      <c r="AI219" s="189" t="n">
        <f aca="false">AG219+AH219</f>
        <v>0</v>
      </c>
      <c r="AJ219" s="96" t="n">
        <f aca="false">AI219</f>
        <v>0</v>
      </c>
      <c r="AK219" s="97" t="n">
        <f aca="false">AI219</f>
        <v>0</v>
      </c>
      <c r="AL219" s="178" t="n">
        <v>63</v>
      </c>
      <c r="AM219" s="165" t="n">
        <v>0.4</v>
      </c>
      <c r="AN219" s="166" t="n">
        <f aca="false">EnergyCurve!AN219*2</f>
        <v>0.34</v>
      </c>
      <c r="AO219" s="166" t="n">
        <f aca="false">EnergyCurve!AO219</f>
        <v>0.153</v>
      </c>
      <c r="AP219" s="166" t="n">
        <f aca="false">AN219*1.25</f>
        <v>0.425</v>
      </c>
      <c r="AQ219" s="166" t="n">
        <f aca="false">EnergyCurve!AQ219*2</f>
        <v>0.34</v>
      </c>
      <c r="AR219" s="166" t="n">
        <f aca="false">EnergyCurve!AR219</f>
        <v>0.136</v>
      </c>
      <c r="AS219" s="166" t="n">
        <f aca="false">EnergyCurve!AS219*1.25</f>
        <v>0.255</v>
      </c>
      <c r="AT219" s="168" t="n">
        <f aca="false">EnergyCurve!AT219*2*2</f>
        <v>8.27346121695085</v>
      </c>
      <c r="AU219" s="169" t="n">
        <f aca="false">EnergyCurve!AU219</f>
        <v>-0.517091326059428</v>
      </c>
      <c r="AV219" s="169" t="n">
        <f aca="false">AT219*1.25</f>
        <v>10.3418265211886</v>
      </c>
      <c r="AW219" s="168" t="n">
        <f aca="false">EnergyCurve!AW219*2*2</f>
        <v>9.7392</v>
      </c>
      <c r="AX219" s="169" t="n">
        <f aca="false">EnergyCurve!AX219</f>
        <v>-0.6087</v>
      </c>
      <c r="AY219" s="169" t="n">
        <f aca="false">AW219*1.25</f>
        <v>12.174</v>
      </c>
      <c r="AZ219" s="167" t="n">
        <v>0</v>
      </c>
      <c r="BA219" s="74"/>
      <c r="BQ219" s="108" t="n">
        <v>36907.7428240741</v>
      </c>
      <c r="BR219" s="109" t="n">
        <v>36907.7434490741</v>
      </c>
      <c r="BS219" s="110" t="n">
        <v>42767</v>
      </c>
      <c r="BT219" s="111" t="n">
        <v>0</v>
      </c>
      <c r="BU219" s="112" t="n">
        <v>0</v>
      </c>
      <c r="BV219" s="112" t="n">
        <v>0</v>
      </c>
      <c r="BW219" s="112" t="n">
        <v>0</v>
      </c>
      <c r="BX219" s="113" t="n">
        <v>0</v>
      </c>
      <c r="BZ219" s="110" t="n">
        <v>42552</v>
      </c>
      <c r="CA219" s="116" t="n">
        <v>40.5209999084473</v>
      </c>
      <c r="CB219" s="116" t="n">
        <v>0</v>
      </c>
      <c r="CC219" s="116" t="n">
        <v>0</v>
      </c>
      <c r="CD219" s="116" t="n">
        <v>0</v>
      </c>
      <c r="CE219" s="117" t="n">
        <v>0</v>
      </c>
    </row>
    <row r="220" customFormat="false" ht="12.75" hidden="false" customHeight="false" outlineLevel="0" collapsed="false">
      <c r="A220" s="0" t="n">
        <f aca="true">IF(ISERROR(MATCH(D220,iRefDt,0)),"",MATCH(D220,iRefDt,0))</f>
        <v>211</v>
      </c>
      <c r="B220" s="92" t="n">
        <f aca="false">MATCH(YEAR(D220),iSpreads)</f>
        <v>16</v>
      </c>
      <c r="C220" s="0" t="n">
        <f aca="false">MONTH(D220)</f>
        <v>8</v>
      </c>
      <c r="D220" s="93" t="n">
        <f aca="false">+EnergyCurve!D220</f>
        <v>42583</v>
      </c>
      <c r="E220" s="94" t="n">
        <f aca="false">VLOOKUP($D220,tblPriorPrice,2)</f>
        <v>42.6809997558594</v>
      </c>
      <c r="F220" s="95" t="n">
        <f aca="false">G220-E220</f>
        <v>2.44140622385203E-007</v>
      </c>
      <c r="G220" s="264" t="n">
        <f aca="false">IF(EnergyCurve!G220&lt;200,0.001*EnergyCurve!G220+1,1.2)*EnergyCurve!G220</f>
        <v>42.681</v>
      </c>
      <c r="H220" s="96" t="n">
        <f aca="false">IF(EnergyCurve!H220&lt;200,0.001*EnergyCurve!H220+1,1.2)*EnergyCurve!H220</f>
        <v>37.296</v>
      </c>
      <c r="I220" s="96" t="n">
        <f aca="false">IF(EnergyCurve!I220&lt;200,0.001*EnergyCurve!I220+1,1.2)*EnergyCurve!I220</f>
        <v>76.041</v>
      </c>
      <c r="J220" s="94" t="n">
        <f aca="false">VLOOKUP($D220,tblPriorPrice,3)</f>
        <v>0</v>
      </c>
      <c r="K220" s="95" t="n">
        <f aca="false">L220-J220</f>
        <v>0</v>
      </c>
      <c r="L220" s="264" t="n">
        <v>0</v>
      </c>
      <c r="M220" s="96" t="n">
        <f aca="false">L220</f>
        <v>0</v>
      </c>
      <c r="N220" s="96" t="n">
        <f aca="false">L220</f>
        <v>0</v>
      </c>
      <c r="O220" s="58" t="n">
        <f aca="true">IF($A220="",0,INDEX(tblPosn,$A220,2))</f>
        <v>0</v>
      </c>
      <c r="P220" s="59" t="n">
        <f aca="true">IF($A220="",0,INDEX(tblPosn,$A220,3))</f>
        <v>0</v>
      </c>
      <c r="Q220" s="59" t="n">
        <f aca="true">IF($A220="",0,INDEX(tblPosn,$A220,4))</f>
        <v>0</v>
      </c>
      <c r="R220" s="59" t="n">
        <f aca="true">IF($A220="",0,INDEX(tblPosn,$A220,5))</f>
        <v>0</v>
      </c>
      <c r="S220" s="59" t="n">
        <f aca="true">IF($A220="",0,INDEX(tblPosn,$A220,6))</f>
        <v>0</v>
      </c>
      <c r="T220" s="98" t="n">
        <f aca="false">O220*F220+P220*K220+R220*AC220+S220*AH220/0.72+Q220*X220</f>
        <v>0</v>
      </c>
      <c r="V220" s="161" t="n">
        <f aca="false">D220</f>
        <v>42583</v>
      </c>
      <c r="W220" s="94" t="n">
        <f aca="false">VLOOKUP($D220,tblPriorPrice,4)</f>
        <v>0</v>
      </c>
      <c r="X220" s="162"/>
      <c r="Y220" s="176" t="n">
        <f aca="false">L220</f>
        <v>0</v>
      </c>
      <c r="Z220" s="177" t="n">
        <f aca="false">Y220</f>
        <v>0</v>
      </c>
      <c r="AA220" s="177" t="n">
        <f aca="false">Y220</f>
        <v>0</v>
      </c>
      <c r="AB220" s="94" t="n">
        <f aca="false">VLOOKUP($D220,tblPriorPrice,5)</f>
        <v>0</v>
      </c>
      <c r="AC220" s="162"/>
      <c r="AD220" s="176" t="n">
        <f aca="false">L220</f>
        <v>0</v>
      </c>
      <c r="AE220" s="96" t="n">
        <f aca="false">AD220</f>
        <v>0</v>
      </c>
      <c r="AF220" s="97" t="n">
        <f aca="false">AD220</f>
        <v>0</v>
      </c>
      <c r="AG220" s="94" t="n">
        <f aca="false">VLOOKUP($D220,tblPriorPrice,6)</f>
        <v>0</v>
      </c>
      <c r="AH220" s="182"/>
      <c r="AI220" s="189" t="n">
        <f aca="false">AG220+AH220</f>
        <v>0</v>
      </c>
      <c r="AJ220" s="96" t="n">
        <f aca="false">AI220</f>
        <v>0</v>
      </c>
      <c r="AK220" s="97" t="n">
        <f aca="false">AI220</f>
        <v>0</v>
      </c>
      <c r="AL220" s="178" t="n">
        <v>63</v>
      </c>
      <c r="AM220" s="165" t="n">
        <v>0.4</v>
      </c>
      <c r="AN220" s="166" t="n">
        <f aca="false">EnergyCurve!AN220*2</f>
        <v>0.34</v>
      </c>
      <c r="AO220" s="166" t="n">
        <f aca="false">EnergyCurve!AO220</f>
        <v>0.153</v>
      </c>
      <c r="AP220" s="166" t="n">
        <f aca="false">AN220*1.25</f>
        <v>0.425</v>
      </c>
      <c r="AQ220" s="166" t="n">
        <f aca="false">EnergyCurve!AQ220*2</f>
        <v>0.34</v>
      </c>
      <c r="AR220" s="166" t="n">
        <f aca="false">EnergyCurve!AR220</f>
        <v>0.136</v>
      </c>
      <c r="AS220" s="166" t="n">
        <f aca="false">EnergyCurve!AS220*1.25</f>
        <v>0.255</v>
      </c>
      <c r="AT220" s="168" t="n">
        <f aca="false">EnergyCurve!AT220*2*2</f>
        <v>8.83433884019377</v>
      </c>
      <c r="AU220" s="169" t="n">
        <f aca="false">EnergyCurve!AU220</f>
        <v>-0.552146177512111</v>
      </c>
      <c r="AV220" s="169" t="n">
        <f aca="false">AT220*1.25</f>
        <v>11.0429235502422</v>
      </c>
      <c r="AW220" s="168" t="n">
        <f aca="false">EnergyCurve!AW220*2*2</f>
        <v>9.5508</v>
      </c>
      <c r="AX220" s="169" t="n">
        <f aca="false">EnergyCurve!AX220</f>
        <v>-0.596925</v>
      </c>
      <c r="AY220" s="169" t="n">
        <f aca="false">AW220*1.25</f>
        <v>11.9385</v>
      </c>
      <c r="AZ220" s="167" t="n">
        <v>0</v>
      </c>
      <c r="BA220" s="74"/>
      <c r="BQ220" s="108" t="n">
        <v>36907.7428240741</v>
      </c>
      <c r="BR220" s="109" t="n">
        <v>36907.7434490741</v>
      </c>
      <c r="BS220" s="110" t="n">
        <v>42795</v>
      </c>
      <c r="BT220" s="111" t="n">
        <v>0</v>
      </c>
      <c r="BU220" s="112" t="n">
        <v>0</v>
      </c>
      <c r="BV220" s="112" t="n">
        <v>0</v>
      </c>
      <c r="BW220" s="112" t="n">
        <v>0</v>
      </c>
      <c r="BX220" s="113" t="n">
        <v>0</v>
      </c>
      <c r="BZ220" s="110" t="n">
        <v>42583</v>
      </c>
      <c r="CA220" s="116" t="n">
        <v>42.6809997558594</v>
      </c>
      <c r="CB220" s="116" t="n">
        <v>0</v>
      </c>
      <c r="CC220" s="116" t="n">
        <v>0</v>
      </c>
      <c r="CD220" s="116" t="n">
        <v>0</v>
      </c>
      <c r="CE220" s="117" t="n">
        <v>0</v>
      </c>
    </row>
    <row r="221" customFormat="false" ht="12.75" hidden="false" customHeight="false" outlineLevel="0" collapsed="false">
      <c r="A221" s="0" t="n">
        <f aca="true">IF(ISERROR(MATCH(D221,iRefDt,0)),"",MATCH(D221,iRefDt,0))</f>
        <v>212</v>
      </c>
      <c r="B221" s="92" t="n">
        <f aca="false">MATCH(YEAR(D221),iSpreads)</f>
        <v>16</v>
      </c>
      <c r="C221" s="0" t="n">
        <f aca="false">MONTH(D221)</f>
        <v>9</v>
      </c>
      <c r="D221" s="93" t="n">
        <f aca="false">+EnergyCurve!D221</f>
        <v>42614</v>
      </c>
      <c r="E221" s="94" t="n">
        <f aca="false">VLOOKUP($D221,tblPriorPrice,2)</f>
        <v>36.2249984741211</v>
      </c>
      <c r="F221" s="95" t="n">
        <f aca="false">G221-E221</f>
        <v>1.52587890056566E-006</v>
      </c>
      <c r="G221" s="264" t="n">
        <f aca="false">IF(EnergyCurve!G221&lt;200,0.001*EnergyCurve!G221+1,1.2)*EnergyCurve!G221</f>
        <v>36.225</v>
      </c>
      <c r="H221" s="96" t="n">
        <f aca="false">IF(EnergyCurve!H221&lt;200,0.001*EnergyCurve!H221+1,1.2)*EnergyCurve!H221</f>
        <v>30.9</v>
      </c>
      <c r="I221" s="96" t="n">
        <f aca="false">IF(EnergyCurve!I221&lt;200,0.001*EnergyCurve!I221+1,1.2)*EnergyCurve!I221</f>
        <v>69.225</v>
      </c>
      <c r="J221" s="94" t="n">
        <f aca="false">VLOOKUP($D221,tblPriorPrice,3)</f>
        <v>0</v>
      </c>
      <c r="K221" s="95" t="n">
        <f aca="false">L221-J221</f>
        <v>0</v>
      </c>
      <c r="L221" s="264" t="n">
        <v>0</v>
      </c>
      <c r="M221" s="96" t="n">
        <f aca="false">L221</f>
        <v>0</v>
      </c>
      <c r="N221" s="96" t="n">
        <f aca="false">L221</f>
        <v>0</v>
      </c>
      <c r="O221" s="58" t="n">
        <f aca="true">IF($A221="",0,INDEX(tblPosn,$A221,2))</f>
        <v>0</v>
      </c>
      <c r="P221" s="59" t="n">
        <f aca="true">IF($A221="",0,INDEX(tblPosn,$A221,3))</f>
        <v>0</v>
      </c>
      <c r="Q221" s="59" t="n">
        <f aca="true">IF($A221="",0,INDEX(tblPosn,$A221,4))</f>
        <v>0</v>
      </c>
      <c r="R221" s="59" t="n">
        <f aca="true">IF($A221="",0,INDEX(tblPosn,$A221,5))</f>
        <v>0</v>
      </c>
      <c r="S221" s="59" t="n">
        <f aca="true">IF($A221="",0,INDEX(tblPosn,$A221,6))</f>
        <v>0</v>
      </c>
      <c r="T221" s="98" t="n">
        <f aca="false">O221*F221+P221*K221+R221*AC221+S221*AH221/0.72+Q221*X221</f>
        <v>0</v>
      </c>
      <c r="V221" s="161" t="n">
        <f aca="false">D221</f>
        <v>42614</v>
      </c>
      <c r="W221" s="94" t="n">
        <f aca="false">VLOOKUP($D221,tblPriorPrice,4)</f>
        <v>0</v>
      </c>
      <c r="X221" s="162"/>
      <c r="Y221" s="176" t="n">
        <f aca="false">L221</f>
        <v>0</v>
      </c>
      <c r="Z221" s="177" t="n">
        <f aca="false">Y221</f>
        <v>0</v>
      </c>
      <c r="AA221" s="177" t="n">
        <f aca="false">Y221</f>
        <v>0</v>
      </c>
      <c r="AB221" s="94" t="n">
        <f aca="false">VLOOKUP($D221,tblPriorPrice,5)</f>
        <v>0</v>
      </c>
      <c r="AC221" s="162"/>
      <c r="AD221" s="176" t="n">
        <f aca="false">L221</f>
        <v>0</v>
      </c>
      <c r="AE221" s="96" t="n">
        <f aca="false">AD221</f>
        <v>0</v>
      </c>
      <c r="AF221" s="97" t="n">
        <f aca="false">AD221</f>
        <v>0</v>
      </c>
      <c r="AG221" s="94" t="n">
        <f aca="false">VLOOKUP($D221,tblPriorPrice,6)</f>
        <v>0</v>
      </c>
      <c r="AH221" s="182"/>
      <c r="AI221" s="189" t="n">
        <f aca="false">AG221+AH221</f>
        <v>0</v>
      </c>
      <c r="AJ221" s="96" t="n">
        <f aca="false">AI221</f>
        <v>0</v>
      </c>
      <c r="AK221" s="97" t="n">
        <f aca="false">AI221</f>
        <v>0</v>
      </c>
      <c r="AL221" s="178" t="n">
        <v>63</v>
      </c>
      <c r="AM221" s="165" t="n">
        <v>0.4</v>
      </c>
      <c r="AN221" s="166" t="n">
        <f aca="false">EnergyCurve!AN221*2</f>
        <v>0.34</v>
      </c>
      <c r="AO221" s="166" t="n">
        <f aca="false">EnergyCurve!AO221</f>
        <v>0.153</v>
      </c>
      <c r="AP221" s="166" t="n">
        <f aca="false">AN221*1.25</f>
        <v>0.425</v>
      </c>
      <c r="AQ221" s="166" t="n">
        <f aca="false">EnergyCurve!AQ221*2</f>
        <v>0.34</v>
      </c>
      <c r="AR221" s="166" t="n">
        <f aca="false">EnergyCurve!AR221</f>
        <v>0.136</v>
      </c>
      <c r="AS221" s="166" t="n">
        <f aca="false">EnergyCurve!AS221*1.25</f>
        <v>0.255</v>
      </c>
      <c r="AT221" s="168" t="n">
        <f aca="false">EnergyCurve!AT221*2*2</f>
        <v>7.29020125079811</v>
      </c>
      <c r="AU221" s="169" t="n">
        <f aca="false">EnergyCurve!AU221</f>
        <v>-0.455637578174882</v>
      </c>
      <c r="AV221" s="169" t="n">
        <f aca="false">AT221*1.25</f>
        <v>9.11275156349763</v>
      </c>
      <c r="AW221" s="168" t="n">
        <f aca="false">EnergyCurve!AW221*2*2</f>
        <v>10.116</v>
      </c>
      <c r="AX221" s="169" t="n">
        <f aca="false">EnergyCurve!AX221</f>
        <v>-0.63225</v>
      </c>
      <c r="AY221" s="169" t="n">
        <f aca="false">AW221*1.25</f>
        <v>12.645</v>
      </c>
      <c r="AZ221" s="167" t="n">
        <v>0</v>
      </c>
      <c r="BA221" s="74"/>
      <c r="BQ221" s="108" t="n">
        <v>36907.7428240741</v>
      </c>
      <c r="BR221" s="109" t="n">
        <v>36907.7434490741</v>
      </c>
      <c r="BS221" s="110" t="n">
        <v>42826</v>
      </c>
      <c r="BT221" s="111" t="n">
        <v>0</v>
      </c>
      <c r="BU221" s="112" t="n">
        <v>0</v>
      </c>
      <c r="BV221" s="112" t="n">
        <v>0</v>
      </c>
      <c r="BW221" s="112" t="n">
        <v>0</v>
      </c>
      <c r="BX221" s="113" t="n">
        <v>0</v>
      </c>
      <c r="BZ221" s="110" t="n">
        <v>42614</v>
      </c>
      <c r="CA221" s="116" t="n">
        <v>36.2249984741211</v>
      </c>
      <c r="CB221" s="116" t="n">
        <v>0</v>
      </c>
      <c r="CC221" s="116" t="n">
        <v>0</v>
      </c>
      <c r="CD221" s="116" t="n">
        <v>0</v>
      </c>
      <c r="CE221" s="117" t="n">
        <v>0</v>
      </c>
    </row>
    <row r="222" customFormat="false" ht="12.75" hidden="false" customHeight="false" outlineLevel="0" collapsed="false">
      <c r="A222" s="0" t="n">
        <f aca="true">IF(ISERROR(MATCH(D222,iRefDt,0)),"",MATCH(D222,iRefDt,0))</f>
        <v>213</v>
      </c>
      <c r="B222" s="92" t="n">
        <f aca="false">MATCH(YEAR(D222),iSpreads)</f>
        <v>16</v>
      </c>
      <c r="C222" s="0" t="n">
        <f aca="false">MONTH(D222)</f>
        <v>10</v>
      </c>
      <c r="D222" s="93" t="n">
        <f aca="false">+EnergyCurve!D222</f>
        <v>42644</v>
      </c>
      <c r="E222" s="94" t="n">
        <f aca="false">VLOOKUP($D222,tblPriorPrice,2)</f>
        <v>38.3689994812012</v>
      </c>
      <c r="F222" s="95" t="n">
        <f aca="false">G222-E222</f>
        <v>5.18798827897626E-007</v>
      </c>
      <c r="G222" s="264" t="n">
        <f aca="false">IF(EnergyCurve!G222&lt;200,0.001*EnergyCurve!G222+1,1.2)*EnergyCurve!G222</f>
        <v>38.369</v>
      </c>
      <c r="H222" s="96" t="n">
        <f aca="false">IF(EnergyCurve!H222&lt;200,0.001*EnergyCurve!H222+1,1.2)*EnergyCurve!H222</f>
        <v>33.024</v>
      </c>
      <c r="I222" s="96" t="n">
        <f aca="false">IF(EnergyCurve!I222&lt;200,0.001*EnergyCurve!I222+1,1.2)*EnergyCurve!I222</f>
        <v>71.489</v>
      </c>
      <c r="J222" s="94" t="n">
        <f aca="false">VLOOKUP($D222,tblPriorPrice,3)</f>
        <v>0</v>
      </c>
      <c r="K222" s="95" t="n">
        <f aca="false">L222-J222</f>
        <v>0</v>
      </c>
      <c r="L222" s="264" t="n">
        <v>0</v>
      </c>
      <c r="M222" s="96" t="n">
        <f aca="false">L222</f>
        <v>0</v>
      </c>
      <c r="N222" s="96" t="n">
        <f aca="false">L222</f>
        <v>0</v>
      </c>
      <c r="O222" s="58" t="n">
        <f aca="true">IF($A222="",0,INDEX(tblPosn,$A222,2))</f>
        <v>0</v>
      </c>
      <c r="P222" s="59" t="n">
        <f aca="true">IF($A222="",0,INDEX(tblPosn,$A222,3))</f>
        <v>0</v>
      </c>
      <c r="Q222" s="59" t="n">
        <f aca="true">IF($A222="",0,INDEX(tblPosn,$A222,4))</f>
        <v>0</v>
      </c>
      <c r="R222" s="59" t="n">
        <f aca="true">IF($A222="",0,INDEX(tblPosn,$A222,5))</f>
        <v>0</v>
      </c>
      <c r="S222" s="59" t="n">
        <f aca="true">IF($A222="",0,INDEX(tblPosn,$A222,6))</f>
        <v>0</v>
      </c>
      <c r="T222" s="98" t="n">
        <f aca="false">O222*F222+P222*K222+R222*AC222+S222*AH222/0.72+Q222*X222</f>
        <v>0</v>
      </c>
      <c r="V222" s="161" t="n">
        <f aca="false">D222</f>
        <v>42644</v>
      </c>
      <c r="W222" s="94" t="n">
        <f aca="false">VLOOKUP($D222,tblPriorPrice,4)</f>
        <v>0</v>
      </c>
      <c r="X222" s="162"/>
      <c r="Y222" s="176" t="n">
        <f aca="false">L222</f>
        <v>0</v>
      </c>
      <c r="Z222" s="177" t="n">
        <f aca="false">Y222</f>
        <v>0</v>
      </c>
      <c r="AA222" s="177" t="n">
        <f aca="false">Y222</f>
        <v>0</v>
      </c>
      <c r="AB222" s="94" t="n">
        <f aca="false">VLOOKUP($D222,tblPriorPrice,5)</f>
        <v>0</v>
      </c>
      <c r="AC222" s="162"/>
      <c r="AD222" s="176" t="n">
        <f aca="false">L222</f>
        <v>0</v>
      </c>
      <c r="AE222" s="96" t="n">
        <f aca="false">AD222</f>
        <v>0</v>
      </c>
      <c r="AF222" s="97" t="n">
        <f aca="false">AD222</f>
        <v>0</v>
      </c>
      <c r="AG222" s="94" t="n">
        <f aca="false">VLOOKUP($D222,tblPriorPrice,6)</f>
        <v>0</v>
      </c>
      <c r="AH222" s="182"/>
      <c r="AI222" s="189" t="n">
        <f aca="false">AG222+AH222</f>
        <v>0</v>
      </c>
      <c r="AJ222" s="96" t="n">
        <f aca="false">AI222</f>
        <v>0</v>
      </c>
      <c r="AK222" s="97" t="n">
        <f aca="false">AI222</f>
        <v>0</v>
      </c>
      <c r="AL222" s="178" t="n">
        <v>64</v>
      </c>
      <c r="AM222" s="165" t="n">
        <v>0.4</v>
      </c>
      <c r="AN222" s="166" t="n">
        <f aca="false">EnergyCurve!AN222*2</f>
        <v>0.34</v>
      </c>
      <c r="AO222" s="166" t="n">
        <f aca="false">EnergyCurve!AO222</f>
        <v>0.153</v>
      </c>
      <c r="AP222" s="166" t="n">
        <f aca="false">AN222*1.25</f>
        <v>0.425</v>
      </c>
      <c r="AQ222" s="166" t="n">
        <f aca="false">EnergyCurve!AQ222*2</f>
        <v>0.34</v>
      </c>
      <c r="AR222" s="166" t="n">
        <f aca="false">EnergyCurve!AR222</f>
        <v>0.136</v>
      </c>
      <c r="AS222" s="166" t="n">
        <f aca="false">EnergyCurve!AS222*1.25</f>
        <v>0.255</v>
      </c>
      <c r="AT222" s="168" t="n">
        <f aca="false">EnergyCurve!AT222*2*2</f>
        <v>7.75576329559925</v>
      </c>
      <c r="AU222" s="169" t="n">
        <f aca="false">EnergyCurve!AU222</f>
        <v>-0.484735205974953</v>
      </c>
      <c r="AV222" s="169" t="n">
        <f aca="false">AT222*1.25</f>
        <v>9.69470411949907</v>
      </c>
      <c r="AW222" s="168" t="n">
        <f aca="false">EnergyCurve!AW222*2*2</f>
        <v>9.9276</v>
      </c>
      <c r="AX222" s="169" t="n">
        <f aca="false">EnergyCurve!AX222</f>
        <v>-0.620475</v>
      </c>
      <c r="AY222" s="169" t="n">
        <f aca="false">AW222*1.25</f>
        <v>12.4095</v>
      </c>
      <c r="AZ222" s="167" t="n">
        <v>0</v>
      </c>
      <c r="BA222" s="74"/>
      <c r="BQ222" s="108" t="n">
        <v>36907.7428240741</v>
      </c>
      <c r="BR222" s="109" t="n">
        <v>36907.7434490741</v>
      </c>
      <c r="BS222" s="110" t="n">
        <v>42856</v>
      </c>
      <c r="BT222" s="111" t="n">
        <v>0</v>
      </c>
      <c r="BU222" s="112" t="n">
        <v>0</v>
      </c>
      <c r="BV222" s="112" t="n">
        <v>0</v>
      </c>
      <c r="BW222" s="112" t="n">
        <v>0</v>
      </c>
      <c r="BX222" s="113" t="n">
        <v>0</v>
      </c>
      <c r="BZ222" s="110" t="n">
        <v>42644</v>
      </c>
      <c r="CA222" s="116" t="n">
        <v>38.3689994812012</v>
      </c>
      <c r="CB222" s="116" t="n">
        <v>0</v>
      </c>
      <c r="CC222" s="116" t="n">
        <v>0</v>
      </c>
      <c r="CD222" s="116" t="n">
        <v>0</v>
      </c>
      <c r="CE222" s="117" t="n">
        <v>0</v>
      </c>
    </row>
    <row r="223" customFormat="false" ht="12.75" hidden="false" customHeight="false" outlineLevel="0" collapsed="false">
      <c r="A223" s="0" t="n">
        <f aca="true">IF(ISERROR(MATCH(D223,iRefDt,0)),"",MATCH(D223,iRefDt,0))</f>
        <v>214</v>
      </c>
      <c r="B223" s="92" t="n">
        <f aca="false">MATCH(YEAR(D223),iSpreads)</f>
        <v>16</v>
      </c>
      <c r="C223" s="0" t="n">
        <f aca="false">MONTH(D223)</f>
        <v>11</v>
      </c>
      <c r="D223" s="93" t="n">
        <f aca="false">+EnergyCurve!D223</f>
        <v>42675</v>
      </c>
      <c r="E223" s="94" t="n">
        <f aca="false">VLOOKUP($D223,tblPriorPrice,2)</f>
        <v>31.9610004425049</v>
      </c>
      <c r="F223" s="95" t="n">
        <f aca="false">G223-E223</f>
        <v>-4.42504884290429E-007</v>
      </c>
      <c r="G223" s="264" t="n">
        <f aca="false">IF(EnergyCurve!G223&lt;200,0.001*EnergyCurve!G223+1,1.2)*EnergyCurve!G223</f>
        <v>31.961</v>
      </c>
      <c r="H223" s="96" t="n">
        <f aca="false">IF(EnergyCurve!H223&lt;200,0.001*EnergyCurve!H223+1,1.2)*EnergyCurve!H223</f>
        <v>26.676</v>
      </c>
      <c r="I223" s="96" t="n">
        <f aca="false">IF(EnergyCurve!I223&lt;200,0.001*EnergyCurve!I223+1,1.2)*EnergyCurve!I223</f>
        <v>64.721</v>
      </c>
      <c r="J223" s="94" t="n">
        <f aca="false">VLOOKUP($D223,tblPriorPrice,3)</f>
        <v>0</v>
      </c>
      <c r="K223" s="95" t="n">
        <f aca="false">L223-J223</f>
        <v>0</v>
      </c>
      <c r="L223" s="264" t="n">
        <v>0</v>
      </c>
      <c r="M223" s="96" t="n">
        <f aca="false">L223</f>
        <v>0</v>
      </c>
      <c r="N223" s="96" t="n">
        <f aca="false">L223</f>
        <v>0</v>
      </c>
      <c r="O223" s="58" t="n">
        <f aca="true">IF($A223="",0,INDEX(tblPosn,$A223,2))</f>
        <v>0</v>
      </c>
      <c r="P223" s="59" t="n">
        <f aca="true">IF($A223="",0,INDEX(tblPosn,$A223,3))</f>
        <v>0</v>
      </c>
      <c r="Q223" s="59" t="n">
        <f aca="true">IF($A223="",0,INDEX(tblPosn,$A223,4))</f>
        <v>0</v>
      </c>
      <c r="R223" s="59" t="n">
        <f aca="true">IF($A223="",0,INDEX(tblPosn,$A223,5))</f>
        <v>0</v>
      </c>
      <c r="S223" s="59" t="n">
        <f aca="true">IF($A223="",0,INDEX(tblPosn,$A223,6))</f>
        <v>0</v>
      </c>
      <c r="T223" s="98" t="n">
        <f aca="false">O223*F223+P223*K223+R223*AC223+S223*AH223/0.72+Q223*X223</f>
        <v>0</v>
      </c>
      <c r="V223" s="161" t="n">
        <f aca="false">D223</f>
        <v>42675</v>
      </c>
      <c r="W223" s="94" t="n">
        <f aca="false">VLOOKUP($D223,tblPriorPrice,4)</f>
        <v>0</v>
      </c>
      <c r="X223" s="162"/>
      <c r="Y223" s="176" t="n">
        <f aca="false">L223</f>
        <v>0</v>
      </c>
      <c r="Z223" s="177" t="n">
        <f aca="false">Y223</f>
        <v>0</v>
      </c>
      <c r="AA223" s="177" t="n">
        <f aca="false">Y223</f>
        <v>0</v>
      </c>
      <c r="AB223" s="94" t="n">
        <f aca="false">VLOOKUP($D223,tblPriorPrice,5)</f>
        <v>0</v>
      </c>
      <c r="AC223" s="162"/>
      <c r="AD223" s="176" t="n">
        <f aca="false">L223</f>
        <v>0</v>
      </c>
      <c r="AE223" s="96" t="n">
        <f aca="false">AD223</f>
        <v>0</v>
      </c>
      <c r="AF223" s="97" t="n">
        <f aca="false">AD223</f>
        <v>0</v>
      </c>
      <c r="AG223" s="94" t="n">
        <f aca="false">VLOOKUP($D223,tblPriorPrice,6)</f>
        <v>0</v>
      </c>
      <c r="AH223" s="182"/>
      <c r="AI223" s="189" t="n">
        <f aca="false">AG223+AH223</f>
        <v>0</v>
      </c>
      <c r="AJ223" s="96" t="n">
        <f aca="false">AI223</f>
        <v>0</v>
      </c>
      <c r="AK223" s="97" t="n">
        <f aca="false">AI223</f>
        <v>0</v>
      </c>
      <c r="AL223" s="178" t="n">
        <v>64</v>
      </c>
      <c r="AM223" s="165" t="n">
        <v>0.4</v>
      </c>
      <c r="AN223" s="166" t="n">
        <f aca="false">EnergyCurve!AN223*2</f>
        <v>0.34</v>
      </c>
      <c r="AO223" s="166" t="n">
        <f aca="false">EnergyCurve!AO223</f>
        <v>0.153</v>
      </c>
      <c r="AP223" s="166" t="n">
        <f aca="false">AN223*1.25</f>
        <v>0.425</v>
      </c>
      <c r="AQ223" s="166" t="n">
        <f aca="false">EnergyCurve!AQ223*2</f>
        <v>0.34</v>
      </c>
      <c r="AR223" s="166" t="n">
        <f aca="false">EnergyCurve!AR223</f>
        <v>0.136</v>
      </c>
      <c r="AS223" s="166" t="n">
        <f aca="false">EnergyCurve!AS223*1.25</f>
        <v>0.255</v>
      </c>
      <c r="AT223" s="168" t="n">
        <f aca="false">EnergyCurve!AT223*2*2</f>
        <v>6.56235962744143</v>
      </c>
      <c r="AU223" s="169" t="n">
        <f aca="false">EnergyCurve!AU223</f>
        <v>-0.410147476715089</v>
      </c>
      <c r="AV223" s="169" t="n">
        <f aca="false">AT223*1.25</f>
        <v>8.20294953430178</v>
      </c>
      <c r="AW223" s="168" t="n">
        <f aca="false">EnergyCurve!AW223*2*2</f>
        <v>10.4928</v>
      </c>
      <c r="AX223" s="169" t="n">
        <f aca="false">EnergyCurve!AX223</f>
        <v>-0.6558</v>
      </c>
      <c r="AY223" s="169" t="n">
        <f aca="false">AW223*1.25</f>
        <v>13.116</v>
      </c>
      <c r="AZ223" s="167" t="n">
        <v>0</v>
      </c>
      <c r="BA223" s="74"/>
      <c r="BQ223" s="108" t="n">
        <v>36907.7428240741</v>
      </c>
      <c r="BR223" s="109" t="n">
        <v>36907.7434490741</v>
      </c>
      <c r="BS223" s="110" t="n">
        <v>42887</v>
      </c>
      <c r="BT223" s="111" t="n">
        <v>0</v>
      </c>
      <c r="BU223" s="112" t="n">
        <v>0</v>
      </c>
      <c r="BV223" s="112" t="n">
        <v>0</v>
      </c>
      <c r="BW223" s="112" t="n">
        <v>0</v>
      </c>
      <c r="BX223" s="113" t="n">
        <v>0</v>
      </c>
      <c r="BZ223" s="110" t="n">
        <v>42675</v>
      </c>
      <c r="CA223" s="116" t="n">
        <v>31.9610004425049</v>
      </c>
      <c r="CB223" s="116" t="n">
        <v>0</v>
      </c>
      <c r="CC223" s="116" t="n">
        <v>0</v>
      </c>
      <c r="CD223" s="116" t="n">
        <v>0</v>
      </c>
      <c r="CE223" s="117" t="n">
        <v>0</v>
      </c>
    </row>
    <row r="224" customFormat="false" ht="12.75" hidden="false" customHeight="false" outlineLevel="0" collapsed="false">
      <c r="A224" s="0" t="n">
        <f aca="true">IF(ISERROR(MATCH(D224,iRefDt,0)),"",MATCH(D224,iRefDt,0))</f>
        <v>215</v>
      </c>
      <c r="B224" s="92" t="n">
        <f aca="false">MATCH(YEAR(D224),iSpreads)</f>
        <v>16</v>
      </c>
      <c r="C224" s="0" t="n">
        <f aca="false">MONTH(D224)</f>
        <v>12</v>
      </c>
      <c r="D224" s="93" t="n">
        <f aca="false">+EnergyCurve!D224</f>
        <v>42705</v>
      </c>
      <c r="E224" s="94" t="n">
        <f aca="false">VLOOKUP($D224,tblPriorPrice,2)</f>
        <v>33.0239982604981</v>
      </c>
      <c r="F224" s="95" t="n">
        <f aca="false">G224-E224</f>
        <v>1.73950195403449E-006</v>
      </c>
      <c r="G224" s="264" t="n">
        <f aca="false">IF(EnergyCurve!G224&lt;200,0.001*EnergyCurve!G224+1,1.2)*EnergyCurve!G224</f>
        <v>33.024</v>
      </c>
      <c r="H224" s="96" t="n">
        <f aca="false">IF(EnergyCurve!H224&lt;200,0.001*EnergyCurve!H224+1,1.2)*EnergyCurve!H224</f>
        <v>27.729</v>
      </c>
      <c r="I224" s="96" t="n">
        <f aca="false">IF(EnergyCurve!I224&lt;200,0.001*EnergyCurve!I224+1,1.2)*EnergyCurve!I224</f>
        <v>65.844</v>
      </c>
      <c r="J224" s="94" t="n">
        <f aca="false">VLOOKUP($D224,tblPriorPrice,3)</f>
        <v>0</v>
      </c>
      <c r="K224" s="95" t="n">
        <f aca="false">L224-J224</f>
        <v>0</v>
      </c>
      <c r="L224" s="264" t="n">
        <v>0</v>
      </c>
      <c r="M224" s="96" t="n">
        <f aca="false">L224</f>
        <v>0</v>
      </c>
      <c r="N224" s="96" t="n">
        <f aca="false">L224</f>
        <v>0</v>
      </c>
      <c r="O224" s="58" t="n">
        <f aca="true">IF($A224="",0,INDEX(tblPosn,$A224,2))</f>
        <v>0</v>
      </c>
      <c r="P224" s="59" t="n">
        <f aca="true">IF($A224="",0,INDEX(tblPosn,$A224,3))</f>
        <v>0</v>
      </c>
      <c r="Q224" s="59" t="n">
        <f aca="true">IF($A224="",0,INDEX(tblPosn,$A224,4))</f>
        <v>0</v>
      </c>
      <c r="R224" s="59" t="n">
        <f aca="true">IF($A224="",0,INDEX(tblPosn,$A224,5))</f>
        <v>0</v>
      </c>
      <c r="S224" s="59" t="n">
        <f aca="true">IF($A224="",0,INDEX(tblPosn,$A224,6))</f>
        <v>0</v>
      </c>
      <c r="T224" s="98" t="n">
        <f aca="false">O224*F224+P224*K224+R224*AC224+S224*AH224/0.72+Q224*X224</f>
        <v>0</v>
      </c>
      <c r="V224" s="161" t="n">
        <f aca="false">D224</f>
        <v>42705</v>
      </c>
      <c r="W224" s="94" t="n">
        <f aca="false">VLOOKUP($D224,tblPriorPrice,4)</f>
        <v>0</v>
      </c>
      <c r="X224" s="162"/>
      <c r="Y224" s="176" t="n">
        <f aca="false">L224</f>
        <v>0</v>
      </c>
      <c r="Z224" s="177" t="n">
        <f aca="false">Y224</f>
        <v>0</v>
      </c>
      <c r="AA224" s="177" t="n">
        <f aca="false">Y224</f>
        <v>0</v>
      </c>
      <c r="AB224" s="94" t="n">
        <f aca="false">VLOOKUP($D224,tblPriorPrice,5)</f>
        <v>0</v>
      </c>
      <c r="AC224" s="162"/>
      <c r="AD224" s="176" t="n">
        <f aca="false">L224</f>
        <v>0</v>
      </c>
      <c r="AE224" s="96" t="n">
        <f aca="false">AD224</f>
        <v>0</v>
      </c>
      <c r="AF224" s="97" t="n">
        <f aca="false">AD224</f>
        <v>0</v>
      </c>
      <c r="AG224" s="94" t="n">
        <f aca="false">VLOOKUP($D224,tblPriorPrice,6)</f>
        <v>0</v>
      </c>
      <c r="AH224" s="182"/>
      <c r="AI224" s="189" t="n">
        <f aca="false">AG224+AH224</f>
        <v>0</v>
      </c>
      <c r="AJ224" s="96" t="n">
        <f aca="false">AI224</f>
        <v>0</v>
      </c>
      <c r="AK224" s="97" t="n">
        <f aca="false">AI224</f>
        <v>0</v>
      </c>
      <c r="AL224" s="178" t="n">
        <v>64</v>
      </c>
      <c r="AM224" s="165" t="n">
        <v>0.4</v>
      </c>
      <c r="AN224" s="166" t="n">
        <f aca="false">EnergyCurve!AN224*2</f>
        <v>0.34</v>
      </c>
      <c r="AO224" s="166" t="n">
        <f aca="false">EnergyCurve!AO224</f>
        <v>0.153</v>
      </c>
      <c r="AP224" s="166" t="n">
        <f aca="false">AN224*1.25</f>
        <v>0.425</v>
      </c>
      <c r="AQ224" s="166" t="n">
        <f aca="false">EnergyCurve!AQ224*2</f>
        <v>0.34</v>
      </c>
      <c r="AR224" s="166" t="n">
        <f aca="false">EnergyCurve!AR224</f>
        <v>0.136</v>
      </c>
      <c r="AS224" s="166" t="n">
        <f aca="false">EnergyCurve!AS224*1.25</f>
        <v>0.255</v>
      </c>
      <c r="AT224" s="168" t="n">
        <f aca="false">EnergyCurve!AT224*2*2</f>
        <v>6.71448638739126</v>
      </c>
      <c r="AU224" s="169" t="n">
        <f aca="false">EnergyCurve!AU224</f>
        <v>-0.419655399211954</v>
      </c>
      <c r="AV224" s="169" t="n">
        <f aca="false">AT224*1.25</f>
        <v>8.39310798423907</v>
      </c>
      <c r="AW224" s="168" t="n">
        <f aca="false">EnergyCurve!AW224*2*2</f>
        <v>10.6812</v>
      </c>
      <c r="AX224" s="169" t="n">
        <f aca="false">EnergyCurve!AX224</f>
        <v>-0.667575</v>
      </c>
      <c r="AY224" s="169" t="n">
        <f aca="false">AW224*1.25</f>
        <v>13.3515</v>
      </c>
      <c r="AZ224" s="167" t="n">
        <v>0</v>
      </c>
      <c r="BA224" s="74"/>
      <c r="BQ224" s="108" t="n">
        <v>36907.7428240741</v>
      </c>
      <c r="BR224" s="109" t="n">
        <v>36907.7434490741</v>
      </c>
      <c r="BS224" s="110" t="n">
        <v>42917</v>
      </c>
      <c r="BT224" s="111" t="n">
        <v>0</v>
      </c>
      <c r="BU224" s="112" t="n">
        <v>0</v>
      </c>
      <c r="BV224" s="112" t="n">
        <v>0</v>
      </c>
      <c r="BW224" s="112" t="n">
        <v>0</v>
      </c>
      <c r="BX224" s="113" t="n">
        <v>0</v>
      </c>
      <c r="BZ224" s="110" t="n">
        <v>42705</v>
      </c>
      <c r="CA224" s="116" t="n">
        <v>33.0239982604981</v>
      </c>
      <c r="CB224" s="116" t="n">
        <v>0</v>
      </c>
      <c r="CC224" s="116" t="n">
        <v>0</v>
      </c>
      <c r="CD224" s="116" t="n">
        <v>0</v>
      </c>
      <c r="CE224" s="117" t="n">
        <v>0</v>
      </c>
    </row>
    <row r="225" customFormat="false" ht="12.75" hidden="false" customHeight="false" outlineLevel="0" collapsed="false">
      <c r="A225" s="0" t="n">
        <f aca="true">IF(ISERROR(MATCH(D225,iRefDt,0)),"",MATCH(D225,iRefDt,0))</f>
        <v>216</v>
      </c>
      <c r="B225" s="92" t="n">
        <f aca="false">MATCH(YEAR(D225),iSpreads)</f>
        <v>17</v>
      </c>
      <c r="C225" s="0" t="n">
        <f aca="false">MONTH(D225)</f>
        <v>1</v>
      </c>
      <c r="D225" s="93" t="n">
        <f aca="false">+EnergyCurve!D225</f>
        <v>42736</v>
      </c>
      <c r="E225" s="94" t="n">
        <f aca="false">VLOOKUP($D225,tblPriorPrice,2)</f>
        <v>34.0890007019043</v>
      </c>
      <c r="F225" s="95" t="n">
        <f aca="false">G225-E225</f>
        <v>-7.01904298239242E-007</v>
      </c>
      <c r="G225" s="264" t="n">
        <f aca="false">IF(EnergyCurve!G225&lt;200,0.001*EnergyCurve!G225+1,1.2)*EnergyCurve!G225</f>
        <v>34.089</v>
      </c>
      <c r="H225" s="96" t="n">
        <f aca="false">IF(EnergyCurve!H225&lt;200,0.001*EnergyCurve!H225+1,1.2)*EnergyCurve!H225</f>
        <v>28.784</v>
      </c>
      <c r="I225" s="96" t="n">
        <f aca="false">IF(EnergyCurve!I225&lt;200,0.001*EnergyCurve!I225+1,1.2)*EnergyCurve!I225</f>
        <v>68.096</v>
      </c>
      <c r="J225" s="94" t="n">
        <f aca="false">VLOOKUP($D225,tblPriorPrice,3)</f>
        <v>0</v>
      </c>
      <c r="K225" s="95" t="n">
        <f aca="false">L225-J225</f>
        <v>0</v>
      </c>
      <c r="L225" s="264" t="n">
        <v>0</v>
      </c>
      <c r="M225" s="96" t="n">
        <f aca="false">L225</f>
        <v>0</v>
      </c>
      <c r="N225" s="96" t="n">
        <f aca="false">L225</f>
        <v>0</v>
      </c>
      <c r="O225" s="58" t="n">
        <f aca="true">IF($A225="",0,INDEX(tblPosn,$A225,2))</f>
        <v>0</v>
      </c>
      <c r="P225" s="59" t="n">
        <f aca="true">IF($A225="",0,INDEX(tblPosn,$A225,3))</f>
        <v>0</v>
      </c>
      <c r="Q225" s="59" t="n">
        <f aca="true">IF($A225="",0,INDEX(tblPosn,$A225,4))</f>
        <v>0</v>
      </c>
      <c r="R225" s="59" t="n">
        <f aca="true">IF($A225="",0,INDEX(tblPosn,$A225,5))</f>
        <v>0</v>
      </c>
      <c r="S225" s="59" t="n">
        <f aca="true">IF($A225="",0,INDEX(tblPosn,$A225,6))</f>
        <v>0</v>
      </c>
      <c r="T225" s="98" t="n">
        <f aca="false">O225*F225+P225*K225+R225*AC225+S225*AH225/0.72+Q225*X225</f>
        <v>0</v>
      </c>
      <c r="V225" s="161" t="n">
        <f aca="false">D225</f>
        <v>42736</v>
      </c>
      <c r="W225" s="94" t="n">
        <f aca="false">VLOOKUP($D225,tblPriorPrice,4)</f>
        <v>0</v>
      </c>
      <c r="X225" s="162"/>
      <c r="Y225" s="176" t="n">
        <f aca="false">L225</f>
        <v>0</v>
      </c>
      <c r="Z225" s="177" t="n">
        <f aca="false">Y225</f>
        <v>0</v>
      </c>
      <c r="AA225" s="177" t="n">
        <f aca="false">Y225</f>
        <v>0</v>
      </c>
      <c r="AB225" s="94" t="n">
        <f aca="false">VLOOKUP($D225,tblPriorPrice,5)</f>
        <v>0</v>
      </c>
      <c r="AC225" s="162"/>
      <c r="AD225" s="176" t="n">
        <f aca="false">L225</f>
        <v>0</v>
      </c>
      <c r="AE225" s="96" t="n">
        <f aca="false">AD225</f>
        <v>0</v>
      </c>
      <c r="AF225" s="97" t="n">
        <f aca="false">AD225</f>
        <v>0</v>
      </c>
      <c r="AG225" s="94" t="n">
        <f aca="false">VLOOKUP($D225,tblPriorPrice,6)</f>
        <v>0</v>
      </c>
      <c r="AH225" s="182"/>
      <c r="AI225" s="189" t="n">
        <f aca="false">AG225+AH225</f>
        <v>0</v>
      </c>
      <c r="AJ225" s="96" t="n">
        <f aca="false">AI225</f>
        <v>0</v>
      </c>
      <c r="AK225" s="97" t="n">
        <f aca="false">AI225</f>
        <v>0</v>
      </c>
      <c r="AL225" s="178" t="n">
        <v>65</v>
      </c>
      <c r="AM225" s="165" t="n">
        <v>0.4</v>
      </c>
      <c r="AN225" s="166" t="n">
        <f aca="false">EnergyCurve!AN225*2</f>
        <v>0.34</v>
      </c>
      <c r="AO225" s="166" t="n">
        <f aca="false">EnergyCurve!AO225</f>
        <v>0.153</v>
      </c>
      <c r="AP225" s="166" t="n">
        <f aca="false">AN225*1.25</f>
        <v>0.425</v>
      </c>
      <c r="AQ225" s="166" t="n">
        <f aca="false">EnergyCurve!AQ225*2</f>
        <v>0.34</v>
      </c>
      <c r="AR225" s="166" t="n">
        <f aca="false">EnergyCurve!AR225</f>
        <v>0.136</v>
      </c>
      <c r="AS225" s="166" t="n">
        <f aca="false">EnergyCurve!AS225*1.25</f>
        <v>0.255</v>
      </c>
      <c r="AT225" s="168" t="n">
        <f aca="false">EnergyCurve!AT225*2*2</f>
        <v>6.88781730529552</v>
      </c>
      <c r="AU225" s="169" t="n">
        <f aca="false">EnergyCurve!AU225</f>
        <v>-0.43048858158097</v>
      </c>
      <c r="AV225" s="169" t="n">
        <f aca="false">AT225*1.25</f>
        <v>8.60977163161941</v>
      </c>
      <c r="AW225" s="168" t="n">
        <f aca="false">EnergyCurve!AW225*2*2</f>
        <v>10.4928</v>
      </c>
      <c r="AX225" s="169" t="n">
        <f aca="false">EnergyCurve!AX225</f>
        <v>-0.6558</v>
      </c>
      <c r="AY225" s="169" t="n">
        <f aca="false">AW225*1.25</f>
        <v>13.116</v>
      </c>
      <c r="AZ225" s="167" t="n">
        <v>0</v>
      </c>
      <c r="BA225" s="74"/>
      <c r="BQ225" s="108" t="n">
        <v>36907.7428240741</v>
      </c>
      <c r="BR225" s="109" t="n">
        <v>36907.7434490741</v>
      </c>
      <c r="BS225" s="110" t="n">
        <v>42948</v>
      </c>
      <c r="BT225" s="111" t="n">
        <v>0</v>
      </c>
      <c r="BU225" s="112" t="n">
        <v>0</v>
      </c>
      <c r="BV225" s="112" t="n">
        <v>0</v>
      </c>
      <c r="BW225" s="112" t="n">
        <v>0</v>
      </c>
      <c r="BX225" s="113" t="n">
        <v>0</v>
      </c>
      <c r="BZ225" s="110" t="n">
        <v>42736</v>
      </c>
      <c r="CA225" s="116" t="n">
        <v>34.0890007019043</v>
      </c>
      <c r="CB225" s="116" t="n">
        <v>0</v>
      </c>
      <c r="CC225" s="116" t="n">
        <v>0</v>
      </c>
      <c r="CD225" s="116" t="n">
        <v>0</v>
      </c>
      <c r="CE225" s="117" t="n">
        <v>0</v>
      </c>
    </row>
    <row r="226" customFormat="false" ht="12.75" hidden="false" customHeight="false" outlineLevel="0" collapsed="false">
      <c r="A226" s="0" t="n">
        <f aca="true">IF(ISERROR(MATCH(D226,iRefDt,0)),"",MATCH(D226,iRefDt,0))</f>
        <v>217</v>
      </c>
      <c r="B226" s="92" t="n">
        <f aca="false">MATCH(YEAR(D226),iSpreads)</f>
        <v>17</v>
      </c>
      <c r="C226" s="0" t="n">
        <f aca="false">MONTH(D226)</f>
        <v>2</v>
      </c>
      <c r="D226" s="93" t="n">
        <f aca="false">+EnergyCurve!D226</f>
        <v>42767</v>
      </c>
      <c r="E226" s="94" t="n">
        <f aca="false">VLOOKUP($D226,tblPriorPrice,2)</f>
        <v>30.8999996185303</v>
      </c>
      <c r="F226" s="95" t="n">
        <f aca="false">G226-E226</f>
        <v>3.81469728694128E-007</v>
      </c>
      <c r="G226" s="264" t="n">
        <f aca="false">IF(EnergyCurve!G226&lt;200,0.001*EnergyCurve!G226+1,1.2)*EnergyCurve!G226</f>
        <v>30.9</v>
      </c>
      <c r="H226" s="96" t="n">
        <f aca="false">IF(EnergyCurve!H226&lt;200,0.001*EnergyCurve!H226+1,1.2)*EnergyCurve!H226</f>
        <v>25.625</v>
      </c>
      <c r="I226" s="96" t="n">
        <f aca="false">IF(EnergyCurve!I226&lt;200,0.001*EnergyCurve!I226+1,1.2)*EnergyCurve!I226</f>
        <v>64.721</v>
      </c>
      <c r="J226" s="94" t="n">
        <f aca="false">VLOOKUP($D226,tblPriorPrice,3)</f>
        <v>0</v>
      </c>
      <c r="K226" s="95" t="n">
        <f aca="false">L226-J226</f>
        <v>0</v>
      </c>
      <c r="L226" s="264" t="n">
        <v>0</v>
      </c>
      <c r="M226" s="96" t="n">
        <f aca="false">L226</f>
        <v>0</v>
      </c>
      <c r="N226" s="96" t="n">
        <f aca="false">L226</f>
        <v>0</v>
      </c>
      <c r="O226" s="58" t="n">
        <f aca="true">IF($A226="",0,INDEX(tblPosn,$A226,2))</f>
        <v>0</v>
      </c>
      <c r="P226" s="59" t="n">
        <f aca="true">IF($A226="",0,INDEX(tblPosn,$A226,3))</f>
        <v>0</v>
      </c>
      <c r="Q226" s="59" t="n">
        <f aca="true">IF($A226="",0,INDEX(tblPosn,$A226,4))</f>
        <v>0</v>
      </c>
      <c r="R226" s="59" t="n">
        <f aca="true">IF($A226="",0,INDEX(tblPosn,$A226,5))</f>
        <v>0</v>
      </c>
      <c r="S226" s="59" t="n">
        <f aca="true">IF($A226="",0,INDEX(tblPosn,$A226,6))</f>
        <v>0</v>
      </c>
      <c r="T226" s="98" t="n">
        <f aca="false">O226*F226+P226*K226+R226*AC226+S226*AH226/0.72+Q226*X226</f>
        <v>0</v>
      </c>
      <c r="V226" s="161" t="n">
        <f aca="false">D226</f>
        <v>42767</v>
      </c>
      <c r="W226" s="94" t="n">
        <f aca="false">VLOOKUP($D226,tblPriorPrice,4)</f>
        <v>0</v>
      </c>
      <c r="X226" s="162"/>
      <c r="Y226" s="176" t="n">
        <f aca="false">L226</f>
        <v>0</v>
      </c>
      <c r="Z226" s="177" t="n">
        <f aca="false">Y226</f>
        <v>0</v>
      </c>
      <c r="AA226" s="177" t="n">
        <f aca="false">Y226</f>
        <v>0</v>
      </c>
      <c r="AB226" s="94" t="n">
        <f aca="false">VLOOKUP($D226,tblPriorPrice,5)</f>
        <v>0</v>
      </c>
      <c r="AC226" s="162"/>
      <c r="AD226" s="176" t="n">
        <f aca="false">L226</f>
        <v>0</v>
      </c>
      <c r="AE226" s="96" t="n">
        <f aca="false">AD226</f>
        <v>0</v>
      </c>
      <c r="AF226" s="97" t="n">
        <f aca="false">AD226</f>
        <v>0</v>
      </c>
      <c r="AG226" s="94" t="n">
        <f aca="false">VLOOKUP($D226,tblPriorPrice,6)</f>
        <v>0</v>
      </c>
      <c r="AH226" s="182"/>
      <c r="AI226" s="189" t="n">
        <f aca="false">AG226+AH226</f>
        <v>0</v>
      </c>
      <c r="AJ226" s="96" t="n">
        <f aca="false">AI226</f>
        <v>0</v>
      </c>
      <c r="AK226" s="97" t="n">
        <f aca="false">AI226</f>
        <v>0</v>
      </c>
      <c r="AL226" s="178" t="n">
        <v>65</v>
      </c>
      <c r="AM226" s="165" t="n">
        <v>0.4</v>
      </c>
      <c r="AN226" s="166" t="n">
        <f aca="false">EnergyCurve!AN226*2</f>
        <v>0.34</v>
      </c>
      <c r="AO226" s="166" t="n">
        <f aca="false">EnergyCurve!AO226</f>
        <v>0.153</v>
      </c>
      <c r="AP226" s="166" t="n">
        <f aca="false">AN226*1.25</f>
        <v>0.425</v>
      </c>
      <c r="AQ226" s="166" t="n">
        <f aca="false">EnergyCurve!AQ226*2</f>
        <v>0.34</v>
      </c>
      <c r="AR226" s="166" t="n">
        <f aca="false">EnergyCurve!AR226</f>
        <v>0.136</v>
      </c>
      <c r="AS226" s="166" t="n">
        <f aca="false">EnergyCurve!AS226*1.25</f>
        <v>0.255</v>
      </c>
      <c r="AT226" s="168" t="n">
        <f aca="false">EnergyCurve!AT226*2*2</f>
        <v>6.43371807382396</v>
      </c>
      <c r="AU226" s="169" t="n">
        <f aca="false">EnergyCurve!AU226</f>
        <v>-0.402107379613998</v>
      </c>
      <c r="AV226" s="169" t="n">
        <f aca="false">AT226*1.25</f>
        <v>8.04214759227995</v>
      </c>
      <c r="AW226" s="168" t="n">
        <f aca="false">EnergyCurve!AW226*2*2</f>
        <v>10.587</v>
      </c>
      <c r="AX226" s="169" t="n">
        <f aca="false">EnergyCurve!AX226</f>
        <v>-0.6616875</v>
      </c>
      <c r="AY226" s="169" t="n">
        <f aca="false">AW226*1.25</f>
        <v>13.23375</v>
      </c>
      <c r="AZ226" s="167" t="n">
        <v>0</v>
      </c>
      <c r="BA226" s="74"/>
      <c r="BQ226" s="108" t="n">
        <v>36907.7428240741</v>
      </c>
      <c r="BR226" s="109" t="n">
        <v>36907.7434490741</v>
      </c>
      <c r="BS226" s="110" t="n">
        <v>42979</v>
      </c>
      <c r="BT226" s="111" t="n">
        <v>0</v>
      </c>
      <c r="BU226" s="112" t="n">
        <v>0</v>
      </c>
      <c r="BV226" s="112" t="n">
        <v>0</v>
      </c>
      <c r="BW226" s="112" t="n">
        <v>0</v>
      </c>
      <c r="BX226" s="113" t="n">
        <v>0</v>
      </c>
      <c r="BZ226" s="110" t="n">
        <v>42767</v>
      </c>
      <c r="CA226" s="116" t="n">
        <v>30.8999996185303</v>
      </c>
      <c r="CB226" s="116" t="n">
        <v>0</v>
      </c>
      <c r="CC226" s="116" t="n">
        <v>0</v>
      </c>
      <c r="CD226" s="116" t="n">
        <v>0</v>
      </c>
      <c r="CE226" s="117" t="n">
        <v>0</v>
      </c>
    </row>
    <row r="227" customFormat="false" ht="12.75" hidden="false" customHeight="false" outlineLevel="0" collapsed="false">
      <c r="A227" s="0" t="n">
        <f aca="true">IF(ISERROR(MATCH(D227,iRefDt,0)),"",MATCH(D227,iRefDt,0))</f>
        <v>218</v>
      </c>
      <c r="B227" s="92" t="n">
        <f aca="false">MATCH(YEAR(D227),iSpreads)</f>
        <v>17</v>
      </c>
      <c r="C227" s="0" t="n">
        <f aca="false">MONTH(D227)</f>
        <v>3</v>
      </c>
      <c r="D227" s="93" t="n">
        <f aca="false">+EnergyCurve!D227</f>
        <v>42795</v>
      </c>
      <c r="E227" s="94" t="n">
        <f aca="false">VLOOKUP($D227,tblPriorPrice,2)</f>
        <v>29.8409996032715</v>
      </c>
      <c r="F227" s="95" t="n">
        <f aca="false">G227-E227</f>
        <v>3.96728513152311E-007</v>
      </c>
      <c r="G227" s="264" t="n">
        <f aca="false">IF(EnergyCurve!G227&lt;200,0.001*EnergyCurve!G227+1,1.2)*EnergyCurve!G227</f>
        <v>29.841</v>
      </c>
      <c r="H227" s="96" t="n">
        <f aca="false">IF(EnergyCurve!H227&lt;200,0.001*EnergyCurve!H227+1,1.2)*EnergyCurve!H227</f>
        <v>24.576</v>
      </c>
      <c r="I227" s="96" t="n">
        <f aca="false">IF(EnergyCurve!I227&lt;200,0.001*EnergyCurve!I227+1,1.2)*EnergyCurve!I227</f>
        <v>63.6</v>
      </c>
      <c r="J227" s="94" t="n">
        <f aca="false">VLOOKUP($D227,tblPriorPrice,3)</f>
        <v>0</v>
      </c>
      <c r="K227" s="95" t="n">
        <f aca="false">L227-J227</f>
        <v>0</v>
      </c>
      <c r="L227" s="264" t="n">
        <v>0</v>
      </c>
      <c r="M227" s="96" t="n">
        <f aca="false">L227</f>
        <v>0</v>
      </c>
      <c r="N227" s="96" t="n">
        <f aca="false">L227</f>
        <v>0</v>
      </c>
      <c r="O227" s="58" t="n">
        <f aca="true">IF($A227="",0,INDEX(tblPosn,$A227,2))</f>
        <v>0</v>
      </c>
      <c r="P227" s="59" t="n">
        <f aca="true">IF($A227="",0,INDEX(tblPosn,$A227,3))</f>
        <v>0</v>
      </c>
      <c r="Q227" s="59" t="n">
        <f aca="true">IF($A227="",0,INDEX(tblPosn,$A227,4))</f>
        <v>0</v>
      </c>
      <c r="R227" s="59" t="n">
        <f aca="true">IF($A227="",0,INDEX(tblPosn,$A227,5))</f>
        <v>0</v>
      </c>
      <c r="S227" s="59" t="n">
        <f aca="true">IF($A227="",0,INDEX(tblPosn,$A227,6))</f>
        <v>0</v>
      </c>
      <c r="T227" s="98" t="n">
        <f aca="false">O227*F227+P227*K227+R227*AC227+S227*AH227/0.72+Q227*X227</f>
        <v>0</v>
      </c>
      <c r="V227" s="161" t="n">
        <f aca="false">D227</f>
        <v>42795</v>
      </c>
      <c r="W227" s="94" t="n">
        <f aca="false">VLOOKUP($D227,tblPriorPrice,4)</f>
        <v>0</v>
      </c>
      <c r="X227" s="162"/>
      <c r="Y227" s="176" t="n">
        <f aca="false">L227</f>
        <v>0</v>
      </c>
      <c r="Z227" s="177" t="n">
        <f aca="false">Y227</f>
        <v>0</v>
      </c>
      <c r="AA227" s="177" t="n">
        <f aca="false">Y227</f>
        <v>0</v>
      </c>
      <c r="AB227" s="94" t="n">
        <f aca="false">VLOOKUP($D227,tblPriorPrice,5)</f>
        <v>0</v>
      </c>
      <c r="AC227" s="162"/>
      <c r="AD227" s="176" t="n">
        <f aca="false">L227</f>
        <v>0</v>
      </c>
      <c r="AE227" s="96" t="n">
        <f aca="false">AD227</f>
        <v>0</v>
      </c>
      <c r="AF227" s="97" t="n">
        <f aca="false">AD227</f>
        <v>0</v>
      </c>
      <c r="AG227" s="94" t="n">
        <f aca="false">VLOOKUP($D227,tblPriorPrice,6)</f>
        <v>0</v>
      </c>
      <c r="AH227" s="182"/>
      <c r="AI227" s="189" t="n">
        <f aca="false">AG227+AH227</f>
        <v>0</v>
      </c>
      <c r="AJ227" s="96" t="n">
        <f aca="false">AI227</f>
        <v>0</v>
      </c>
      <c r="AK227" s="97" t="n">
        <f aca="false">AI227</f>
        <v>0</v>
      </c>
      <c r="AL227" s="178" t="n">
        <v>65</v>
      </c>
      <c r="AM227" s="165" t="n">
        <v>0.4</v>
      </c>
      <c r="AN227" s="166" t="n">
        <f aca="false">EnergyCurve!AN227*2</f>
        <v>0.34</v>
      </c>
      <c r="AO227" s="166" t="n">
        <f aca="false">EnergyCurve!AO227</f>
        <v>0.153</v>
      </c>
      <c r="AP227" s="166" t="n">
        <f aca="false">AN227*1.25</f>
        <v>0.425</v>
      </c>
      <c r="AQ227" s="166" t="n">
        <f aca="false">EnergyCurve!AQ227*2</f>
        <v>0.34</v>
      </c>
      <c r="AR227" s="166" t="n">
        <f aca="false">EnergyCurve!AR227</f>
        <v>0.136</v>
      </c>
      <c r="AS227" s="166" t="n">
        <f aca="false">EnergyCurve!AS227*1.25</f>
        <v>0.255</v>
      </c>
      <c r="AT227" s="168" t="n">
        <f aca="false">EnergyCurve!AT227*2*2</f>
        <v>6.33113623762127</v>
      </c>
      <c r="AU227" s="169" t="n">
        <f aca="false">EnergyCurve!AU227</f>
        <v>-0.395696014851329</v>
      </c>
      <c r="AV227" s="169" t="n">
        <f aca="false">AT227*1.25</f>
        <v>7.91392029702658</v>
      </c>
      <c r="AW227" s="168" t="n">
        <f aca="false">EnergyCurve!AW227*2*2</f>
        <v>10.6812</v>
      </c>
      <c r="AX227" s="169" t="n">
        <f aca="false">EnergyCurve!AX227</f>
        <v>-0.667575</v>
      </c>
      <c r="AY227" s="169" t="n">
        <f aca="false">AW227*1.25</f>
        <v>13.3515</v>
      </c>
      <c r="AZ227" s="167" t="n">
        <v>0</v>
      </c>
      <c r="BA227" s="74"/>
      <c r="BQ227" s="108" t="n">
        <v>36907.7428240741</v>
      </c>
      <c r="BR227" s="109" t="n">
        <v>36907.7434490741</v>
      </c>
      <c r="BS227" s="110" t="n">
        <v>43009</v>
      </c>
      <c r="BT227" s="111" t="n">
        <v>0</v>
      </c>
      <c r="BU227" s="112" t="n">
        <v>0</v>
      </c>
      <c r="BV227" s="112" t="n">
        <v>0</v>
      </c>
      <c r="BW227" s="112" t="n">
        <v>0</v>
      </c>
      <c r="BX227" s="113" t="n">
        <v>0</v>
      </c>
      <c r="BZ227" s="110" t="n">
        <v>42795</v>
      </c>
      <c r="CA227" s="116" t="n">
        <v>29.8409996032715</v>
      </c>
      <c r="CB227" s="116" t="n">
        <v>0</v>
      </c>
      <c r="CC227" s="116" t="n">
        <v>0</v>
      </c>
      <c r="CD227" s="116" t="n">
        <v>0</v>
      </c>
      <c r="CE227" s="117" t="n">
        <v>0</v>
      </c>
    </row>
    <row r="228" customFormat="false" ht="12.75" hidden="false" customHeight="false" outlineLevel="0" collapsed="false">
      <c r="A228" s="0" t="n">
        <f aca="true">IF(ISERROR(MATCH(D228,iRefDt,0)),"",MATCH(D228,iRefDt,0))</f>
        <v>219</v>
      </c>
      <c r="B228" s="92" t="n">
        <f aca="false">MATCH(YEAR(D228),iSpreads)</f>
        <v>17</v>
      </c>
      <c r="C228" s="0" t="n">
        <f aca="false">MONTH(D228)</f>
        <v>4</v>
      </c>
      <c r="D228" s="93" t="n">
        <f aca="false">+EnergyCurve!D228</f>
        <v>42826</v>
      </c>
      <c r="E228" s="94" t="n">
        <f aca="false">VLOOKUP($D228,tblPriorPrice,2)</f>
        <v>29.8409996032715</v>
      </c>
      <c r="F228" s="95" t="n">
        <f aca="false">G228-E228</f>
        <v>3.96728513152311E-007</v>
      </c>
      <c r="G228" s="264" t="n">
        <f aca="false">IF(EnergyCurve!G228&lt;200,0.001*EnergyCurve!G228+1,1.2)*EnergyCurve!G228</f>
        <v>29.841</v>
      </c>
      <c r="H228" s="96" t="n">
        <f aca="false">IF(EnergyCurve!H228&lt;200,0.001*EnergyCurve!H228+1,1.2)*EnergyCurve!H228</f>
        <v>24.576</v>
      </c>
      <c r="I228" s="96" t="n">
        <f aca="false">IF(EnergyCurve!I228&lt;200,0.001*EnergyCurve!I228+1,1.2)*EnergyCurve!I228</f>
        <v>63.6</v>
      </c>
      <c r="J228" s="94" t="n">
        <f aca="false">VLOOKUP($D228,tblPriorPrice,3)</f>
        <v>0</v>
      </c>
      <c r="K228" s="95" t="n">
        <f aca="false">L228-J228</f>
        <v>0</v>
      </c>
      <c r="L228" s="264" t="n">
        <v>0</v>
      </c>
      <c r="M228" s="96" t="n">
        <f aca="false">L228</f>
        <v>0</v>
      </c>
      <c r="N228" s="96" t="n">
        <f aca="false">L228</f>
        <v>0</v>
      </c>
      <c r="O228" s="58" t="n">
        <f aca="true">IF($A228="",0,INDEX(tblPosn,$A228,2))</f>
        <v>0</v>
      </c>
      <c r="P228" s="59" t="n">
        <f aca="true">IF($A228="",0,INDEX(tblPosn,$A228,3))</f>
        <v>0</v>
      </c>
      <c r="Q228" s="59" t="n">
        <f aca="true">IF($A228="",0,INDEX(tblPosn,$A228,4))</f>
        <v>0</v>
      </c>
      <c r="R228" s="59" t="n">
        <f aca="true">IF($A228="",0,INDEX(tblPosn,$A228,5))</f>
        <v>0</v>
      </c>
      <c r="S228" s="59" t="n">
        <f aca="true">IF($A228="",0,INDEX(tblPosn,$A228,6))</f>
        <v>0</v>
      </c>
      <c r="T228" s="98" t="n">
        <f aca="false">O228*F228+P228*K228+R228*AC228+S228*AH228/0.72+Q228*X228</f>
        <v>0</v>
      </c>
      <c r="V228" s="161" t="n">
        <f aca="false">D228</f>
        <v>42826</v>
      </c>
      <c r="W228" s="94" t="n">
        <f aca="false">VLOOKUP($D228,tblPriorPrice,4)</f>
        <v>0</v>
      </c>
      <c r="X228" s="162"/>
      <c r="Y228" s="176" t="n">
        <f aca="false">L228</f>
        <v>0</v>
      </c>
      <c r="Z228" s="177" t="n">
        <f aca="false">Y228</f>
        <v>0</v>
      </c>
      <c r="AA228" s="177" t="n">
        <f aca="false">Y228</f>
        <v>0</v>
      </c>
      <c r="AB228" s="94" t="n">
        <f aca="false">VLOOKUP($D228,tblPriorPrice,5)</f>
        <v>0</v>
      </c>
      <c r="AC228" s="162"/>
      <c r="AD228" s="176" t="n">
        <f aca="false">L228</f>
        <v>0</v>
      </c>
      <c r="AE228" s="96" t="n">
        <f aca="false">AD228</f>
        <v>0</v>
      </c>
      <c r="AF228" s="97" t="n">
        <f aca="false">AD228</f>
        <v>0</v>
      </c>
      <c r="AG228" s="94" t="n">
        <f aca="false">VLOOKUP($D228,tblPriorPrice,6)</f>
        <v>0</v>
      </c>
      <c r="AH228" s="182"/>
      <c r="AI228" s="189" t="n">
        <f aca="false">AG228+AH228</f>
        <v>0</v>
      </c>
      <c r="AJ228" s="96" t="n">
        <f aca="false">AI228</f>
        <v>0</v>
      </c>
      <c r="AK228" s="97" t="n">
        <f aca="false">AI228</f>
        <v>0</v>
      </c>
      <c r="AL228" s="178" t="n">
        <v>66</v>
      </c>
      <c r="AM228" s="165" t="n">
        <v>0.4</v>
      </c>
      <c r="AN228" s="166" t="n">
        <f aca="false">EnergyCurve!AN228*2</f>
        <v>0.34</v>
      </c>
      <c r="AO228" s="166" t="n">
        <f aca="false">EnergyCurve!AO228</f>
        <v>0.153</v>
      </c>
      <c r="AP228" s="166" t="n">
        <f aca="false">AN228*1.25</f>
        <v>0.425</v>
      </c>
      <c r="AQ228" s="166" t="n">
        <f aca="false">EnergyCurve!AQ228*2</f>
        <v>0.34</v>
      </c>
      <c r="AR228" s="166" t="n">
        <f aca="false">EnergyCurve!AR228</f>
        <v>0.136</v>
      </c>
      <c r="AS228" s="166" t="n">
        <f aca="false">EnergyCurve!AS228*1.25</f>
        <v>0.255</v>
      </c>
      <c r="AT228" s="168" t="n">
        <f aca="false">EnergyCurve!AT228*2*2</f>
        <v>6.33113623762127</v>
      </c>
      <c r="AU228" s="169" t="n">
        <f aca="false">EnergyCurve!AU228</f>
        <v>-0.395696014851329</v>
      </c>
      <c r="AV228" s="169" t="n">
        <f aca="false">AT228*1.25</f>
        <v>7.91392029702658</v>
      </c>
      <c r="AW228" s="168" t="n">
        <f aca="false">EnergyCurve!AW228*2*2</f>
        <v>10.6812</v>
      </c>
      <c r="AX228" s="169" t="n">
        <f aca="false">EnergyCurve!AX228</f>
        <v>-0.667575</v>
      </c>
      <c r="AY228" s="169" t="n">
        <f aca="false">AW228*1.25</f>
        <v>13.3515</v>
      </c>
      <c r="AZ228" s="167" t="n">
        <v>0</v>
      </c>
      <c r="BA228" s="74"/>
      <c r="BQ228" s="108" t="n">
        <v>36907.7428240741</v>
      </c>
      <c r="BR228" s="109" t="n">
        <v>36907.7434490741</v>
      </c>
      <c r="BS228" s="110" t="n">
        <v>43040</v>
      </c>
      <c r="BT228" s="111" t="n">
        <v>0</v>
      </c>
      <c r="BU228" s="112" t="n">
        <v>0</v>
      </c>
      <c r="BV228" s="112" t="n">
        <v>0</v>
      </c>
      <c r="BW228" s="112" t="n">
        <v>0</v>
      </c>
      <c r="BX228" s="113" t="n">
        <v>0</v>
      </c>
      <c r="BZ228" s="110" t="n">
        <v>42826</v>
      </c>
      <c r="CA228" s="116" t="n">
        <v>29.8409996032715</v>
      </c>
      <c r="CB228" s="116" t="n">
        <v>0</v>
      </c>
      <c r="CC228" s="116" t="n">
        <v>0</v>
      </c>
      <c r="CD228" s="116" t="n">
        <v>0</v>
      </c>
      <c r="CE228" s="117" t="n">
        <v>0</v>
      </c>
    </row>
    <row r="229" customFormat="false" ht="12.75" hidden="false" customHeight="false" outlineLevel="0" collapsed="false">
      <c r="A229" s="0" t="n">
        <f aca="true">IF(ISERROR(MATCH(D229,iRefDt,0)),"",MATCH(D229,iRefDt,0))</f>
        <v>220</v>
      </c>
      <c r="B229" s="92" t="n">
        <f aca="false">MATCH(YEAR(D229),iSpreads)</f>
        <v>17</v>
      </c>
      <c r="C229" s="0" t="n">
        <f aca="false">MONTH(D229)</f>
        <v>5</v>
      </c>
      <c r="D229" s="93" t="n">
        <f aca="false">+EnergyCurve!D229</f>
        <v>42856</v>
      </c>
      <c r="E229" s="94" t="n">
        <f aca="false">VLOOKUP($D229,tblPriorPrice,2)</f>
        <v>33.0239982604981</v>
      </c>
      <c r="F229" s="95" t="n">
        <f aca="false">G229-E229</f>
        <v>1.73950195403449E-006</v>
      </c>
      <c r="G229" s="264" t="n">
        <f aca="false">IF(EnergyCurve!G229&lt;200,0.001*EnergyCurve!G229+1,1.2)*EnergyCurve!G229</f>
        <v>33.024</v>
      </c>
      <c r="H229" s="96" t="n">
        <f aca="false">IF(EnergyCurve!H229&lt;200,0.001*EnergyCurve!H229+1,1.2)*EnergyCurve!H229</f>
        <v>27.729</v>
      </c>
      <c r="I229" s="96" t="n">
        <f aca="false">IF(EnergyCurve!I229&lt;200,0.001*EnergyCurve!I229+1,1.2)*EnergyCurve!I229</f>
        <v>66.969</v>
      </c>
      <c r="J229" s="94" t="n">
        <f aca="false">VLOOKUP($D229,tblPriorPrice,3)</f>
        <v>0</v>
      </c>
      <c r="K229" s="95" t="n">
        <f aca="false">L229-J229</f>
        <v>0</v>
      </c>
      <c r="L229" s="264" t="n">
        <v>0</v>
      </c>
      <c r="M229" s="96" t="n">
        <f aca="false">L229</f>
        <v>0</v>
      </c>
      <c r="N229" s="96" t="n">
        <f aca="false">L229</f>
        <v>0</v>
      </c>
      <c r="O229" s="58" t="n">
        <f aca="true">IF($A229="",0,INDEX(tblPosn,$A229,2))</f>
        <v>0</v>
      </c>
      <c r="P229" s="59" t="n">
        <f aca="true">IF($A229="",0,INDEX(tblPosn,$A229,3))</f>
        <v>0</v>
      </c>
      <c r="Q229" s="59" t="n">
        <f aca="true">IF($A229="",0,INDEX(tblPosn,$A229,4))</f>
        <v>0</v>
      </c>
      <c r="R229" s="59" t="n">
        <f aca="true">IF($A229="",0,INDEX(tblPosn,$A229,5))</f>
        <v>0</v>
      </c>
      <c r="S229" s="59" t="n">
        <f aca="true">IF($A229="",0,INDEX(tblPosn,$A229,6))</f>
        <v>0</v>
      </c>
      <c r="T229" s="98" t="n">
        <f aca="false">O229*F229+P229*K229+R229*AC229+S229*AH229/0.72+Q229*X229</f>
        <v>0</v>
      </c>
      <c r="V229" s="161" t="n">
        <f aca="false">D229</f>
        <v>42856</v>
      </c>
      <c r="W229" s="94" t="n">
        <f aca="false">VLOOKUP($D229,tblPriorPrice,4)</f>
        <v>0</v>
      </c>
      <c r="X229" s="162"/>
      <c r="Y229" s="176" t="n">
        <f aca="false">L229</f>
        <v>0</v>
      </c>
      <c r="Z229" s="177" t="n">
        <f aca="false">Y229</f>
        <v>0</v>
      </c>
      <c r="AA229" s="177" t="n">
        <f aca="false">Y229</f>
        <v>0</v>
      </c>
      <c r="AB229" s="94" t="n">
        <f aca="false">VLOOKUP($D229,tblPriorPrice,5)</f>
        <v>0</v>
      </c>
      <c r="AC229" s="162"/>
      <c r="AD229" s="176" t="n">
        <f aca="false">L229</f>
        <v>0</v>
      </c>
      <c r="AE229" s="96" t="n">
        <f aca="false">AD229</f>
        <v>0</v>
      </c>
      <c r="AF229" s="97" t="n">
        <f aca="false">AD229</f>
        <v>0</v>
      </c>
      <c r="AG229" s="94" t="n">
        <f aca="false">VLOOKUP($D229,tblPriorPrice,6)</f>
        <v>0</v>
      </c>
      <c r="AH229" s="182"/>
      <c r="AI229" s="189" t="n">
        <f aca="false">AG229+AH229</f>
        <v>0</v>
      </c>
      <c r="AJ229" s="96" t="n">
        <f aca="false">AI229</f>
        <v>0</v>
      </c>
      <c r="AK229" s="97" t="n">
        <f aca="false">AI229</f>
        <v>0</v>
      </c>
      <c r="AL229" s="178" t="n">
        <v>66</v>
      </c>
      <c r="AM229" s="165" t="n">
        <v>0.4</v>
      </c>
      <c r="AN229" s="166" t="n">
        <f aca="false">EnergyCurve!AN229*2</f>
        <v>0.34</v>
      </c>
      <c r="AO229" s="166" t="n">
        <f aca="false">EnergyCurve!AO229</f>
        <v>0.153</v>
      </c>
      <c r="AP229" s="166" t="n">
        <f aca="false">AN229*1.25</f>
        <v>0.425</v>
      </c>
      <c r="AQ229" s="166" t="n">
        <f aca="false">EnergyCurve!AQ229*2</f>
        <v>0.34</v>
      </c>
      <c r="AR229" s="166" t="n">
        <f aca="false">EnergyCurve!AR229</f>
        <v>0.136</v>
      </c>
      <c r="AS229" s="166" t="n">
        <f aca="false">EnergyCurve!AS229*1.25</f>
        <v>0.255</v>
      </c>
      <c r="AT229" s="168" t="n">
        <f aca="false">EnergyCurve!AT229*2*2</f>
        <v>6.71448638739126</v>
      </c>
      <c r="AU229" s="169" t="n">
        <f aca="false">EnergyCurve!AU229</f>
        <v>-0.419655399211954</v>
      </c>
      <c r="AV229" s="169" t="n">
        <f aca="false">AT229*1.25</f>
        <v>8.39310798423907</v>
      </c>
      <c r="AW229" s="168" t="n">
        <f aca="false">EnergyCurve!AW229*2*2</f>
        <v>10.3986</v>
      </c>
      <c r="AX229" s="169" t="n">
        <f aca="false">EnergyCurve!AX229</f>
        <v>-0.6499125</v>
      </c>
      <c r="AY229" s="169" t="n">
        <f aca="false">AW229*1.25</f>
        <v>12.99825</v>
      </c>
      <c r="AZ229" s="167" t="n">
        <v>0</v>
      </c>
      <c r="BA229" s="74"/>
      <c r="BQ229" s="108" t="n">
        <v>36907.7428240741</v>
      </c>
      <c r="BR229" s="109" t="n">
        <v>36907.7434490741</v>
      </c>
      <c r="BS229" s="110" t="n">
        <v>43070</v>
      </c>
      <c r="BT229" s="111" t="n">
        <v>0</v>
      </c>
      <c r="BU229" s="112" t="n">
        <v>0</v>
      </c>
      <c r="BV229" s="112" t="n">
        <v>0</v>
      </c>
      <c r="BW229" s="112" t="n">
        <v>0</v>
      </c>
      <c r="BX229" s="113" t="n">
        <v>0</v>
      </c>
      <c r="BZ229" s="110" t="n">
        <v>42856</v>
      </c>
      <c r="CA229" s="116" t="n">
        <v>33.0239982604981</v>
      </c>
      <c r="CB229" s="116" t="n">
        <v>0</v>
      </c>
      <c r="CC229" s="116" t="n">
        <v>0</v>
      </c>
      <c r="CD229" s="116" t="n">
        <v>0</v>
      </c>
      <c r="CE229" s="117" t="n">
        <v>0</v>
      </c>
    </row>
    <row r="230" customFormat="false" ht="12.75" hidden="false" customHeight="false" outlineLevel="0" collapsed="false">
      <c r="A230" s="0" t="n">
        <f aca="true">IF(ISERROR(MATCH(D230,iRefDt,0)),"",MATCH(D230,iRefDt,0))</f>
        <v>221</v>
      </c>
      <c r="B230" s="92" t="n">
        <f aca="false">MATCH(YEAR(D230),iSpreads)</f>
        <v>17</v>
      </c>
      <c r="C230" s="0" t="n">
        <f aca="false">MONTH(D230)</f>
        <v>6</v>
      </c>
      <c r="D230" s="93" t="n">
        <f aca="false">+EnergyCurve!D230</f>
        <v>42887</v>
      </c>
      <c r="E230" s="94" t="n">
        <f aca="false">VLOOKUP($D230,tblPriorPrice,2)</f>
        <v>40.5209999084473</v>
      </c>
      <c r="F230" s="95" t="n">
        <f aca="false">G230-E230</f>
        <v>9.15527280653805E-008</v>
      </c>
      <c r="G230" s="264" t="n">
        <f aca="false">IF(EnergyCurve!G230&lt;200,0.001*EnergyCurve!G230+1,1.2)*EnergyCurve!G230</f>
        <v>40.521</v>
      </c>
      <c r="H230" s="96" t="n">
        <f aca="false">IF(EnergyCurve!H230&lt;200,0.001*EnergyCurve!H230+1,1.2)*EnergyCurve!H230</f>
        <v>35.156</v>
      </c>
      <c r="I230" s="96" t="n">
        <f aca="false">IF(EnergyCurve!I230&lt;200,0.001*EnergyCurve!I230+1,1.2)*EnergyCurve!I230</f>
        <v>74.9</v>
      </c>
      <c r="J230" s="94" t="n">
        <f aca="false">VLOOKUP($D230,tblPriorPrice,3)</f>
        <v>0</v>
      </c>
      <c r="K230" s="95" t="n">
        <f aca="false">L230-J230</f>
        <v>0</v>
      </c>
      <c r="L230" s="264" t="n">
        <v>0</v>
      </c>
      <c r="M230" s="96" t="n">
        <f aca="false">L230</f>
        <v>0</v>
      </c>
      <c r="N230" s="96" t="n">
        <f aca="false">L230</f>
        <v>0</v>
      </c>
      <c r="O230" s="58" t="n">
        <f aca="true">IF($A230="",0,INDEX(tblPosn,$A230,2))</f>
        <v>0</v>
      </c>
      <c r="P230" s="59" t="n">
        <f aca="true">IF($A230="",0,INDEX(tblPosn,$A230,3))</f>
        <v>0</v>
      </c>
      <c r="Q230" s="59" t="n">
        <f aca="true">IF($A230="",0,INDEX(tblPosn,$A230,4))</f>
        <v>0</v>
      </c>
      <c r="R230" s="59" t="n">
        <f aca="true">IF($A230="",0,INDEX(tblPosn,$A230,5))</f>
        <v>0</v>
      </c>
      <c r="S230" s="59" t="n">
        <f aca="true">IF($A230="",0,INDEX(tblPosn,$A230,6))</f>
        <v>0</v>
      </c>
      <c r="T230" s="98" t="n">
        <f aca="false">O230*F230+P230*K230+R230*AC230+S230*AH230/0.72+Q230*X230</f>
        <v>0</v>
      </c>
      <c r="V230" s="161" t="n">
        <f aca="false">D230</f>
        <v>42887</v>
      </c>
      <c r="W230" s="94" t="n">
        <f aca="false">VLOOKUP($D230,tblPriorPrice,4)</f>
        <v>0</v>
      </c>
      <c r="X230" s="162"/>
      <c r="Y230" s="176" t="n">
        <f aca="false">L230</f>
        <v>0</v>
      </c>
      <c r="Z230" s="177" t="n">
        <f aca="false">Y230</f>
        <v>0</v>
      </c>
      <c r="AA230" s="177" t="n">
        <f aca="false">Y230</f>
        <v>0</v>
      </c>
      <c r="AB230" s="94" t="n">
        <f aca="false">VLOOKUP($D230,tblPriorPrice,5)</f>
        <v>0</v>
      </c>
      <c r="AC230" s="162"/>
      <c r="AD230" s="176" t="n">
        <f aca="false">L230</f>
        <v>0</v>
      </c>
      <c r="AE230" s="96" t="n">
        <f aca="false">AD230</f>
        <v>0</v>
      </c>
      <c r="AF230" s="97" t="n">
        <f aca="false">AD230</f>
        <v>0</v>
      </c>
      <c r="AG230" s="94" t="n">
        <f aca="false">VLOOKUP($D230,tblPriorPrice,6)</f>
        <v>0</v>
      </c>
      <c r="AH230" s="182"/>
      <c r="AI230" s="189" t="n">
        <f aca="false">AG230+AH230</f>
        <v>0</v>
      </c>
      <c r="AJ230" s="96" t="n">
        <f aca="false">AI230</f>
        <v>0</v>
      </c>
      <c r="AK230" s="97" t="n">
        <f aca="false">AI230</f>
        <v>0</v>
      </c>
      <c r="AL230" s="178" t="n">
        <v>66</v>
      </c>
      <c r="AM230" s="165" t="n">
        <v>0.4</v>
      </c>
      <c r="AN230" s="166" t="n">
        <f aca="false">EnergyCurve!AN230*2</f>
        <v>0.34</v>
      </c>
      <c r="AO230" s="166" t="n">
        <f aca="false">EnergyCurve!AO230</f>
        <v>0.153</v>
      </c>
      <c r="AP230" s="166" t="n">
        <f aca="false">AN230*1.25</f>
        <v>0.425</v>
      </c>
      <c r="AQ230" s="166" t="n">
        <f aca="false">EnergyCurve!AQ230*2</f>
        <v>0.34</v>
      </c>
      <c r="AR230" s="166" t="n">
        <f aca="false">EnergyCurve!AR230</f>
        <v>0.136</v>
      </c>
      <c r="AS230" s="166" t="n">
        <f aca="false">EnergyCurve!AS230*1.25</f>
        <v>0.255</v>
      </c>
      <c r="AT230" s="168" t="n">
        <f aca="false">EnergyCurve!AT230*2*2</f>
        <v>8.27346121695085</v>
      </c>
      <c r="AU230" s="169" t="n">
        <f aca="false">EnergyCurve!AU230</f>
        <v>-0.517091326059428</v>
      </c>
      <c r="AV230" s="169" t="n">
        <f aca="false">AT230*1.25</f>
        <v>10.3418265211886</v>
      </c>
      <c r="AW230" s="168" t="n">
        <f aca="false">EnergyCurve!AW230*2*2</f>
        <v>9.7392</v>
      </c>
      <c r="AX230" s="169" t="n">
        <f aca="false">EnergyCurve!AX230</f>
        <v>-0.6087</v>
      </c>
      <c r="AY230" s="169" t="n">
        <f aca="false">AW230*1.25</f>
        <v>12.174</v>
      </c>
      <c r="AZ230" s="167" t="n">
        <v>0</v>
      </c>
      <c r="BA230" s="74"/>
      <c r="BQ230" s="108" t="n">
        <v>36907.7428240741</v>
      </c>
      <c r="BR230" s="109" t="n">
        <v>36907.7434490741</v>
      </c>
      <c r="BS230" s="110" t="n">
        <v>43101</v>
      </c>
      <c r="BT230" s="111" t="n">
        <v>0</v>
      </c>
      <c r="BU230" s="112" t="n">
        <v>0</v>
      </c>
      <c r="BV230" s="112" t="n">
        <v>0</v>
      </c>
      <c r="BW230" s="112" t="n">
        <v>0</v>
      </c>
      <c r="BX230" s="113" t="n">
        <v>0</v>
      </c>
      <c r="BZ230" s="110" t="n">
        <v>42887</v>
      </c>
      <c r="CA230" s="116" t="n">
        <v>40.5209999084473</v>
      </c>
      <c r="CB230" s="116" t="n">
        <v>0</v>
      </c>
      <c r="CC230" s="116" t="n">
        <v>0</v>
      </c>
      <c r="CD230" s="116" t="n">
        <v>0</v>
      </c>
      <c r="CE230" s="117" t="n">
        <v>0</v>
      </c>
    </row>
    <row r="231" customFormat="false" ht="12.75" hidden="false" customHeight="false" outlineLevel="0" collapsed="false">
      <c r="A231" s="0" t="n">
        <f aca="true">IF(ISERROR(MATCH(D231,iRefDt,0)),"",MATCH(D231,iRefDt,0))</f>
        <v>222</v>
      </c>
      <c r="B231" s="92" t="n">
        <f aca="false">MATCH(YEAR(D231),iSpreads)</f>
        <v>17</v>
      </c>
      <c r="C231" s="0" t="n">
        <f aca="false">MONTH(D231)</f>
        <v>7</v>
      </c>
      <c r="D231" s="93" t="n">
        <f aca="false">+EnergyCurve!D231</f>
        <v>42917</v>
      </c>
      <c r="E231" s="94" t="n">
        <f aca="false">VLOOKUP($D231,tblPriorPrice,2)</f>
        <v>40.5209999084473</v>
      </c>
      <c r="F231" s="95" t="n">
        <f aca="false">G231-E231</f>
        <v>9.15527280653805E-008</v>
      </c>
      <c r="G231" s="264" t="n">
        <f aca="false">IF(EnergyCurve!G231&lt;200,0.001*EnergyCurve!G231+1,1.2)*EnergyCurve!G231</f>
        <v>40.521</v>
      </c>
      <c r="H231" s="96" t="n">
        <f aca="false">IF(EnergyCurve!H231&lt;200,0.001*EnergyCurve!H231+1,1.2)*EnergyCurve!H231</f>
        <v>35.156</v>
      </c>
      <c r="I231" s="96" t="n">
        <f aca="false">IF(EnergyCurve!I231&lt;200,0.001*EnergyCurve!I231+1,1.2)*EnergyCurve!I231</f>
        <v>74.9</v>
      </c>
      <c r="J231" s="94" t="n">
        <f aca="false">VLOOKUP($D231,tblPriorPrice,3)</f>
        <v>0</v>
      </c>
      <c r="K231" s="95" t="n">
        <f aca="false">L231-J231</f>
        <v>0</v>
      </c>
      <c r="L231" s="264" t="n">
        <v>0</v>
      </c>
      <c r="M231" s="96" t="n">
        <f aca="false">L231</f>
        <v>0</v>
      </c>
      <c r="N231" s="96" t="n">
        <f aca="false">L231</f>
        <v>0</v>
      </c>
      <c r="O231" s="58" t="n">
        <f aca="true">IF($A231="",0,INDEX(tblPosn,$A231,2))</f>
        <v>0</v>
      </c>
      <c r="P231" s="59" t="n">
        <f aca="true">IF($A231="",0,INDEX(tblPosn,$A231,3))</f>
        <v>0</v>
      </c>
      <c r="Q231" s="59" t="n">
        <f aca="true">IF($A231="",0,INDEX(tblPosn,$A231,4))</f>
        <v>0</v>
      </c>
      <c r="R231" s="59" t="n">
        <f aca="true">IF($A231="",0,INDEX(tblPosn,$A231,5))</f>
        <v>0</v>
      </c>
      <c r="S231" s="59" t="n">
        <f aca="true">IF($A231="",0,INDEX(tblPosn,$A231,6))</f>
        <v>0</v>
      </c>
      <c r="T231" s="98" t="n">
        <f aca="false">O231*F231+P231*K231+R231*AC231+S231*AH231/0.72+Q231*X231</f>
        <v>0</v>
      </c>
      <c r="V231" s="161" t="n">
        <f aca="false">D231</f>
        <v>42917</v>
      </c>
      <c r="W231" s="94" t="n">
        <f aca="false">VLOOKUP($D231,tblPriorPrice,4)</f>
        <v>0</v>
      </c>
      <c r="X231" s="162"/>
      <c r="Y231" s="176" t="n">
        <f aca="false">L231</f>
        <v>0</v>
      </c>
      <c r="Z231" s="177" t="n">
        <f aca="false">Y231</f>
        <v>0</v>
      </c>
      <c r="AA231" s="177" t="n">
        <f aca="false">Y231</f>
        <v>0</v>
      </c>
      <c r="AB231" s="94" t="n">
        <f aca="false">VLOOKUP($D231,tblPriorPrice,5)</f>
        <v>0</v>
      </c>
      <c r="AC231" s="162"/>
      <c r="AD231" s="176" t="n">
        <f aca="false">L231</f>
        <v>0</v>
      </c>
      <c r="AE231" s="96" t="n">
        <f aca="false">AD231</f>
        <v>0</v>
      </c>
      <c r="AF231" s="97" t="n">
        <f aca="false">AD231</f>
        <v>0</v>
      </c>
      <c r="AG231" s="94" t="n">
        <f aca="false">VLOOKUP($D231,tblPriorPrice,6)</f>
        <v>0</v>
      </c>
      <c r="AH231" s="182"/>
      <c r="AI231" s="189" t="n">
        <f aca="false">AG231+AH231</f>
        <v>0</v>
      </c>
      <c r="AJ231" s="96" t="n">
        <f aca="false">AI231</f>
        <v>0</v>
      </c>
      <c r="AK231" s="97" t="n">
        <f aca="false">AI231</f>
        <v>0</v>
      </c>
      <c r="AL231" s="178" t="n">
        <v>67</v>
      </c>
      <c r="AM231" s="165" t="n">
        <v>0.4</v>
      </c>
      <c r="AN231" s="166" t="n">
        <f aca="false">EnergyCurve!AN231*2</f>
        <v>0.34</v>
      </c>
      <c r="AO231" s="166" t="n">
        <f aca="false">EnergyCurve!AO231</f>
        <v>0.153</v>
      </c>
      <c r="AP231" s="166" t="n">
        <f aca="false">AN231*1.25</f>
        <v>0.425</v>
      </c>
      <c r="AQ231" s="166" t="n">
        <f aca="false">EnergyCurve!AQ231*2</f>
        <v>0.34</v>
      </c>
      <c r="AR231" s="166" t="n">
        <f aca="false">EnergyCurve!AR231</f>
        <v>0.136</v>
      </c>
      <c r="AS231" s="166" t="n">
        <f aca="false">EnergyCurve!AS231*1.25</f>
        <v>0.255</v>
      </c>
      <c r="AT231" s="168" t="n">
        <f aca="false">EnergyCurve!AT231*2*2</f>
        <v>8.27346121695085</v>
      </c>
      <c r="AU231" s="169" t="n">
        <f aca="false">EnergyCurve!AU231</f>
        <v>-0.517091326059428</v>
      </c>
      <c r="AV231" s="169" t="n">
        <f aca="false">AT231*1.25</f>
        <v>10.3418265211886</v>
      </c>
      <c r="AW231" s="168" t="n">
        <f aca="false">EnergyCurve!AW231*2*2</f>
        <v>9.7392</v>
      </c>
      <c r="AX231" s="169" t="n">
        <f aca="false">EnergyCurve!AX231</f>
        <v>-0.6087</v>
      </c>
      <c r="AY231" s="169" t="n">
        <f aca="false">AW231*1.25</f>
        <v>12.174</v>
      </c>
      <c r="AZ231" s="167" t="n">
        <v>0</v>
      </c>
      <c r="BA231" s="74"/>
      <c r="BQ231" s="108" t="n">
        <v>36907.7428240741</v>
      </c>
      <c r="BR231" s="109" t="n">
        <v>36907.7434490741</v>
      </c>
      <c r="BS231" s="110" t="n">
        <v>43132</v>
      </c>
      <c r="BT231" s="111" t="n">
        <v>0</v>
      </c>
      <c r="BU231" s="112" t="n">
        <v>0</v>
      </c>
      <c r="BV231" s="112" t="n">
        <v>0</v>
      </c>
      <c r="BW231" s="112" t="n">
        <v>0</v>
      </c>
      <c r="BX231" s="113" t="n">
        <v>0</v>
      </c>
      <c r="BZ231" s="110" t="n">
        <v>42917</v>
      </c>
      <c r="CA231" s="116" t="n">
        <v>40.5209999084473</v>
      </c>
      <c r="CB231" s="116" t="n">
        <v>0</v>
      </c>
      <c r="CC231" s="116" t="n">
        <v>0</v>
      </c>
      <c r="CD231" s="116" t="n">
        <v>0</v>
      </c>
      <c r="CE231" s="117" t="n">
        <v>0</v>
      </c>
    </row>
    <row r="232" customFormat="false" ht="12.75" hidden="false" customHeight="false" outlineLevel="0" collapsed="false">
      <c r="A232" s="0" t="n">
        <f aca="true">IF(ISERROR(MATCH(D232,iRefDt,0)),"",MATCH(D232,iRefDt,0))</f>
        <v>223</v>
      </c>
      <c r="B232" s="92" t="n">
        <f aca="false">MATCH(YEAR(D232),iSpreads)</f>
        <v>17</v>
      </c>
      <c r="C232" s="0" t="n">
        <f aca="false">MONTH(D232)</f>
        <v>8</v>
      </c>
      <c r="D232" s="93" t="n">
        <f aca="false">+EnergyCurve!D232</f>
        <v>42948</v>
      </c>
      <c r="E232" s="94" t="n">
        <f aca="false">VLOOKUP($D232,tblPriorPrice,2)</f>
        <v>42.6809997558594</v>
      </c>
      <c r="F232" s="95" t="n">
        <f aca="false">G232-E232</f>
        <v>2.44140622385203E-007</v>
      </c>
      <c r="G232" s="264" t="n">
        <f aca="false">IF(EnergyCurve!G232&lt;200,0.001*EnergyCurve!G232+1,1.2)*EnergyCurve!G232</f>
        <v>42.681</v>
      </c>
      <c r="H232" s="96" t="n">
        <f aca="false">IF(EnergyCurve!H232&lt;200,0.001*EnergyCurve!H232+1,1.2)*EnergyCurve!H232</f>
        <v>37.296</v>
      </c>
      <c r="I232" s="96" t="n">
        <f aca="false">IF(EnergyCurve!I232&lt;200,0.001*EnergyCurve!I232+1,1.2)*EnergyCurve!I232</f>
        <v>77.184</v>
      </c>
      <c r="J232" s="94" t="n">
        <f aca="false">VLOOKUP($D232,tblPriorPrice,3)</f>
        <v>0</v>
      </c>
      <c r="K232" s="95" t="n">
        <f aca="false">L232-J232</f>
        <v>0</v>
      </c>
      <c r="L232" s="264" t="n">
        <v>0</v>
      </c>
      <c r="M232" s="96" t="n">
        <f aca="false">L232</f>
        <v>0</v>
      </c>
      <c r="N232" s="96" t="n">
        <f aca="false">L232</f>
        <v>0</v>
      </c>
      <c r="O232" s="58" t="n">
        <f aca="true">IF($A232="",0,INDEX(tblPosn,$A232,2))</f>
        <v>0</v>
      </c>
      <c r="P232" s="59" t="n">
        <f aca="true">IF($A232="",0,INDEX(tblPosn,$A232,3))</f>
        <v>0</v>
      </c>
      <c r="Q232" s="59" t="n">
        <f aca="true">IF($A232="",0,INDEX(tblPosn,$A232,4))</f>
        <v>0</v>
      </c>
      <c r="R232" s="59" t="n">
        <f aca="true">IF($A232="",0,INDEX(tblPosn,$A232,5))</f>
        <v>0</v>
      </c>
      <c r="S232" s="59" t="n">
        <f aca="true">IF($A232="",0,INDEX(tblPosn,$A232,6))</f>
        <v>0</v>
      </c>
      <c r="T232" s="98" t="n">
        <f aca="false">O232*F232+P232*K232+R232*AC232+S232*AH232/0.72+Q232*X232</f>
        <v>0</v>
      </c>
      <c r="V232" s="161" t="n">
        <f aca="false">D232</f>
        <v>42948</v>
      </c>
      <c r="W232" s="94" t="n">
        <f aca="false">VLOOKUP($D232,tblPriorPrice,4)</f>
        <v>0</v>
      </c>
      <c r="X232" s="162"/>
      <c r="Y232" s="176" t="n">
        <f aca="false">L232</f>
        <v>0</v>
      </c>
      <c r="Z232" s="177" t="n">
        <f aca="false">Y232</f>
        <v>0</v>
      </c>
      <c r="AA232" s="177" t="n">
        <f aca="false">Y232</f>
        <v>0</v>
      </c>
      <c r="AB232" s="94" t="n">
        <f aca="false">VLOOKUP($D232,tblPriorPrice,5)</f>
        <v>0</v>
      </c>
      <c r="AC232" s="162"/>
      <c r="AD232" s="176" t="n">
        <f aca="false">L232</f>
        <v>0</v>
      </c>
      <c r="AE232" s="96" t="n">
        <f aca="false">AD232</f>
        <v>0</v>
      </c>
      <c r="AF232" s="97" t="n">
        <f aca="false">AD232</f>
        <v>0</v>
      </c>
      <c r="AG232" s="94" t="n">
        <f aca="false">VLOOKUP($D232,tblPriorPrice,6)</f>
        <v>0</v>
      </c>
      <c r="AH232" s="182"/>
      <c r="AI232" s="189" t="n">
        <f aca="false">AG232+AH232</f>
        <v>0</v>
      </c>
      <c r="AJ232" s="96" t="n">
        <f aca="false">AI232</f>
        <v>0</v>
      </c>
      <c r="AK232" s="97" t="n">
        <f aca="false">AI232</f>
        <v>0</v>
      </c>
      <c r="AL232" s="178" t="n">
        <v>67</v>
      </c>
      <c r="AM232" s="165" t="n">
        <v>0.4</v>
      </c>
      <c r="AN232" s="166" t="n">
        <f aca="false">EnergyCurve!AN232*2</f>
        <v>0.34</v>
      </c>
      <c r="AO232" s="166" t="n">
        <f aca="false">EnergyCurve!AO232</f>
        <v>0.153</v>
      </c>
      <c r="AP232" s="166" t="n">
        <f aca="false">AN232*1.25</f>
        <v>0.425</v>
      </c>
      <c r="AQ232" s="166" t="n">
        <f aca="false">EnergyCurve!AQ232*2</f>
        <v>0.34</v>
      </c>
      <c r="AR232" s="166" t="n">
        <f aca="false">EnergyCurve!AR232</f>
        <v>0.136</v>
      </c>
      <c r="AS232" s="166" t="n">
        <f aca="false">EnergyCurve!AS232*1.25</f>
        <v>0.255</v>
      </c>
      <c r="AT232" s="168" t="n">
        <f aca="false">EnergyCurve!AT232*2*2</f>
        <v>8.83433884019377</v>
      </c>
      <c r="AU232" s="169" t="n">
        <f aca="false">EnergyCurve!AU232</f>
        <v>-0.552146177512111</v>
      </c>
      <c r="AV232" s="169" t="n">
        <f aca="false">AT232*1.25</f>
        <v>11.0429235502422</v>
      </c>
      <c r="AW232" s="168" t="n">
        <f aca="false">EnergyCurve!AW232*2*2</f>
        <v>9.5508</v>
      </c>
      <c r="AX232" s="169" t="n">
        <f aca="false">EnergyCurve!AX232</f>
        <v>-0.596925</v>
      </c>
      <c r="AY232" s="169" t="n">
        <f aca="false">AW232*1.25</f>
        <v>11.9385</v>
      </c>
      <c r="AZ232" s="167" t="n">
        <v>0</v>
      </c>
      <c r="BA232" s="74"/>
      <c r="BQ232" s="108" t="n">
        <v>36907.7428240741</v>
      </c>
      <c r="BR232" s="109" t="n">
        <v>36907.7434490741</v>
      </c>
      <c r="BS232" s="110" t="n">
        <v>43160</v>
      </c>
      <c r="BT232" s="111" t="n">
        <v>0</v>
      </c>
      <c r="BU232" s="112" t="n">
        <v>0</v>
      </c>
      <c r="BV232" s="112" t="n">
        <v>0</v>
      </c>
      <c r="BW232" s="112" t="n">
        <v>0</v>
      </c>
      <c r="BX232" s="113" t="n">
        <v>0</v>
      </c>
      <c r="BZ232" s="110" t="n">
        <v>42948</v>
      </c>
      <c r="CA232" s="116" t="n">
        <v>42.6809997558594</v>
      </c>
      <c r="CB232" s="116" t="n">
        <v>0</v>
      </c>
      <c r="CC232" s="116" t="n">
        <v>0</v>
      </c>
      <c r="CD232" s="116" t="n">
        <v>0</v>
      </c>
      <c r="CE232" s="117" t="n">
        <v>0</v>
      </c>
    </row>
    <row r="233" customFormat="false" ht="12.75" hidden="false" customHeight="false" outlineLevel="0" collapsed="false">
      <c r="A233" s="0" t="n">
        <f aca="true">IF(ISERROR(MATCH(D233,iRefDt,0)),"",MATCH(D233,iRefDt,0))</f>
        <v>224</v>
      </c>
      <c r="B233" s="92" t="n">
        <f aca="false">MATCH(YEAR(D233),iSpreads)</f>
        <v>17</v>
      </c>
      <c r="C233" s="0" t="n">
        <f aca="false">MONTH(D233)</f>
        <v>9</v>
      </c>
      <c r="D233" s="93" t="n">
        <f aca="false">+EnergyCurve!D233</f>
        <v>42979</v>
      </c>
      <c r="E233" s="94" t="n">
        <f aca="false">VLOOKUP($D233,tblPriorPrice,2)</f>
        <v>36.2249984741211</v>
      </c>
      <c r="F233" s="95" t="n">
        <f aca="false">G233-E233</f>
        <v>1.52587890056566E-006</v>
      </c>
      <c r="G233" s="264" t="n">
        <f aca="false">IF(EnergyCurve!G233&lt;200,0.001*EnergyCurve!G233+1,1.2)*EnergyCurve!G233</f>
        <v>36.225</v>
      </c>
      <c r="H233" s="96" t="n">
        <f aca="false">IF(EnergyCurve!H233&lt;200,0.001*EnergyCurve!H233+1,1.2)*EnergyCurve!H233</f>
        <v>30.9</v>
      </c>
      <c r="I233" s="96" t="n">
        <f aca="false">IF(EnergyCurve!I233&lt;200,0.001*EnergyCurve!I233+1,1.2)*EnergyCurve!I233</f>
        <v>70.356</v>
      </c>
      <c r="J233" s="94" t="n">
        <f aca="false">VLOOKUP($D233,tblPriorPrice,3)</f>
        <v>0</v>
      </c>
      <c r="K233" s="95" t="n">
        <f aca="false">L233-J233</f>
        <v>0</v>
      </c>
      <c r="L233" s="264" t="n">
        <v>0</v>
      </c>
      <c r="M233" s="96" t="n">
        <f aca="false">L233</f>
        <v>0</v>
      </c>
      <c r="N233" s="96" t="n">
        <f aca="false">L233</f>
        <v>0</v>
      </c>
      <c r="O233" s="58" t="n">
        <f aca="true">IF($A233="",0,INDEX(tblPosn,$A233,2))</f>
        <v>0</v>
      </c>
      <c r="P233" s="59" t="n">
        <f aca="true">IF($A233="",0,INDEX(tblPosn,$A233,3))</f>
        <v>0</v>
      </c>
      <c r="Q233" s="59" t="n">
        <f aca="true">IF($A233="",0,INDEX(tblPosn,$A233,4))</f>
        <v>0</v>
      </c>
      <c r="R233" s="59" t="n">
        <f aca="true">IF($A233="",0,INDEX(tblPosn,$A233,5))</f>
        <v>0</v>
      </c>
      <c r="S233" s="59" t="n">
        <f aca="true">IF($A233="",0,INDEX(tblPosn,$A233,6))</f>
        <v>0</v>
      </c>
      <c r="T233" s="98" t="n">
        <f aca="false">O233*F233+P233*K233+R233*AC233+S233*AH233/0.72+Q233*X233</f>
        <v>0</v>
      </c>
      <c r="V233" s="161" t="n">
        <f aca="false">D233</f>
        <v>42979</v>
      </c>
      <c r="W233" s="94" t="n">
        <f aca="false">VLOOKUP($D233,tblPriorPrice,4)</f>
        <v>0</v>
      </c>
      <c r="X233" s="162"/>
      <c r="Y233" s="176" t="n">
        <f aca="false">L233</f>
        <v>0</v>
      </c>
      <c r="Z233" s="177" t="n">
        <f aca="false">Y233</f>
        <v>0</v>
      </c>
      <c r="AA233" s="177" t="n">
        <f aca="false">Y233</f>
        <v>0</v>
      </c>
      <c r="AB233" s="94" t="n">
        <f aca="false">VLOOKUP($D233,tblPriorPrice,5)</f>
        <v>0</v>
      </c>
      <c r="AC233" s="162"/>
      <c r="AD233" s="176" t="n">
        <f aca="false">L233</f>
        <v>0</v>
      </c>
      <c r="AE233" s="96" t="n">
        <f aca="false">AD233</f>
        <v>0</v>
      </c>
      <c r="AF233" s="97" t="n">
        <f aca="false">AD233</f>
        <v>0</v>
      </c>
      <c r="AG233" s="94" t="n">
        <f aca="false">VLOOKUP($D233,tblPriorPrice,6)</f>
        <v>0</v>
      </c>
      <c r="AH233" s="182"/>
      <c r="AI233" s="189" t="n">
        <f aca="false">AG233+AH233</f>
        <v>0</v>
      </c>
      <c r="AJ233" s="96" t="n">
        <f aca="false">AI233</f>
        <v>0</v>
      </c>
      <c r="AK233" s="97" t="n">
        <f aca="false">AI233</f>
        <v>0</v>
      </c>
      <c r="AL233" s="178" t="n">
        <v>67</v>
      </c>
      <c r="AM233" s="165" t="n">
        <v>0.4</v>
      </c>
      <c r="AN233" s="166" t="n">
        <f aca="false">EnergyCurve!AN233*2</f>
        <v>0.34</v>
      </c>
      <c r="AO233" s="166" t="n">
        <f aca="false">EnergyCurve!AO233</f>
        <v>0.153</v>
      </c>
      <c r="AP233" s="166" t="n">
        <f aca="false">AN233*1.25</f>
        <v>0.425</v>
      </c>
      <c r="AQ233" s="166" t="n">
        <f aca="false">EnergyCurve!AQ233*2</f>
        <v>0.34</v>
      </c>
      <c r="AR233" s="166" t="n">
        <f aca="false">EnergyCurve!AR233</f>
        <v>0.136</v>
      </c>
      <c r="AS233" s="166" t="n">
        <f aca="false">EnergyCurve!AS233*1.25</f>
        <v>0.255</v>
      </c>
      <c r="AT233" s="168" t="n">
        <f aca="false">EnergyCurve!AT233*2*2</f>
        <v>7.29020125079811</v>
      </c>
      <c r="AU233" s="169" t="n">
        <f aca="false">EnergyCurve!AU233</f>
        <v>-0.455637578174882</v>
      </c>
      <c r="AV233" s="169" t="n">
        <f aca="false">AT233*1.25</f>
        <v>9.11275156349763</v>
      </c>
      <c r="AW233" s="168" t="n">
        <f aca="false">EnergyCurve!AW233*2*2</f>
        <v>10.116</v>
      </c>
      <c r="AX233" s="169" t="n">
        <f aca="false">EnergyCurve!AX233</f>
        <v>-0.63225</v>
      </c>
      <c r="AY233" s="169" t="n">
        <f aca="false">AW233*1.25</f>
        <v>12.645</v>
      </c>
      <c r="AZ233" s="167" t="n">
        <v>0</v>
      </c>
      <c r="BA233" s="74"/>
      <c r="BQ233" s="108" t="n">
        <v>36907.7428240741</v>
      </c>
      <c r="BR233" s="109" t="n">
        <v>36907.7434490741</v>
      </c>
      <c r="BS233" s="110" t="n">
        <v>43191</v>
      </c>
      <c r="BT233" s="111" t="n">
        <v>0</v>
      </c>
      <c r="BU233" s="112" t="n">
        <v>0</v>
      </c>
      <c r="BV233" s="112" t="n">
        <v>0</v>
      </c>
      <c r="BW233" s="112" t="n">
        <v>0</v>
      </c>
      <c r="BX233" s="113" t="n">
        <v>0</v>
      </c>
      <c r="BZ233" s="110" t="n">
        <v>42979</v>
      </c>
      <c r="CA233" s="116" t="n">
        <v>36.2249984741211</v>
      </c>
      <c r="CB233" s="116" t="n">
        <v>0</v>
      </c>
      <c r="CC233" s="116" t="n">
        <v>0</v>
      </c>
      <c r="CD233" s="116" t="n">
        <v>0</v>
      </c>
      <c r="CE233" s="117" t="n">
        <v>0</v>
      </c>
    </row>
    <row r="234" customFormat="false" ht="12.75" hidden="false" customHeight="false" outlineLevel="0" collapsed="false">
      <c r="A234" s="0" t="n">
        <f aca="true">IF(ISERROR(MATCH(D234,iRefDt,0)),"",MATCH(D234,iRefDt,0))</f>
        <v>225</v>
      </c>
      <c r="B234" s="92" t="n">
        <f aca="false">MATCH(YEAR(D234),iSpreads)</f>
        <v>17</v>
      </c>
      <c r="C234" s="0" t="n">
        <f aca="false">MONTH(D234)</f>
        <v>10</v>
      </c>
      <c r="D234" s="93" t="n">
        <f aca="false">+EnergyCurve!D234</f>
        <v>43009</v>
      </c>
      <c r="E234" s="94" t="n">
        <f aca="false">VLOOKUP($D234,tblPriorPrice,2)</f>
        <v>38.3689994812012</v>
      </c>
      <c r="F234" s="95" t="n">
        <f aca="false">G234-E234</f>
        <v>5.18798827897626E-007</v>
      </c>
      <c r="G234" s="264" t="n">
        <f aca="false">IF(EnergyCurve!G234&lt;200,0.001*EnergyCurve!G234+1,1.2)*EnergyCurve!G234</f>
        <v>38.369</v>
      </c>
      <c r="H234" s="96" t="n">
        <f aca="false">IF(EnergyCurve!H234&lt;200,0.001*EnergyCurve!H234+1,1.2)*EnergyCurve!H234</f>
        <v>33.024</v>
      </c>
      <c r="I234" s="96" t="n">
        <f aca="false">IF(EnergyCurve!I234&lt;200,0.001*EnergyCurve!I234+1,1.2)*EnergyCurve!I234</f>
        <v>72.624</v>
      </c>
      <c r="J234" s="94" t="n">
        <f aca="false">VLOOKUP($D234,tblPriorPrice,3)</f>
        <v>0</v>
      </c>
      <c r="K234" s="95" t="n">
        <f aca="false">L234-J234</f>
        <v>0</v>
      </c>
      <c r="L234" s="264" t="n">
        <v>0</v>
      </c>
      <c r="M234" s="96" t="n">
        <f aca="false">L234</f>
        <v>0</v>
      </c>
      <c r="N234" s="96" t="n">
        <f aca="false">L234</f>
        <v>0</v>
      </c>
      <c r="O234" s="58" t="n">
        <f aca="true">IF($A234="",0,INDEX(tblPosn,$A234,2))</f>
        <v>0</v>
      </c>
      <c r="P234" s="59" t="n">
        <f aca="true">IF($A234="",0,INDEX(tblPosn,$A234,3))</f>
        <v>0</v>
      </c>
      <c r="Q234" s="59" t="n">
        <f aca="true">IF($A234="",0,INDEX(tblPosn,$A234,4))</f>
        <v>0</v>
      </c>
      <c r="R234" s="59" t="n">
        <f aca="true">IF($A234="",0,INDEX(tblPosn,$A234,5))</f>
        <v>0</v>
      </c>
      <c r="S234" s="59" t="n">
        <f aca="true">IF($A234="",0,INDEX(tblPosn,$A234,6))</f>
        <v>0</v>
      </c>
      <c r="T234" s="98" t="n">
        <f aca="false">O234*F234+P234*K234+R234*AC234+S234*AH234/0.72+Q234*X234</f>
        <v>0</v>
      </c>
      <c r="V234" s="161" t="n">
        <f aca="false">D234</f>
        <v>43009</v>
      </c>
      <c r="W234" s="94" t="n">
        <f aca="false">VLOOKUP($D234,tblPriorPrice,4)</f>
        <v>0</v>
      </c>
      <c r="X234" s="162"/>
      <c r="Y234" s="176" t="n">
        <f aca="false">L234</f>
        <v>0</v>
      </c>
      <c r="Z234" s="177" t="n">
        <f aca="false">Y234</f>
        <v>0</v>
      </c>
      <c r="AA234" s="177" t="n">
        <f aca="false">Y234</f>
        <v>0</v>
      </c>
      <c r="AB234" s="94" t="n">
        <f aca="false">VLOOKUP($D234,tblPriorPrice,5)</f>
        <v>0</v>
      </c>
      <c r="AC234" s="162"/>
      <c r="AD234" s="176" t="n">
        <f aca="false">L234</f>
        <v>0</v>
      </c>
      <c r="AE234" s="96" t="n">
        <f aca="false">AD234</f>
        <v>0</v>
      </c>
      <c r="AF234" s="97" t="n">
        <f aca="false">AD234</f>
        <v>0</v>
      </c>
      <c r="AG234" s="94" t="n">
        <f aca="false">VLOOKUP($D234,tblPriorPrice,6)</f>
        <v>0</v>
      </c>
      <c r="AH234" s="182"/>
      <c r="AI234" s="189" t="n">
        <f aca="false">AG234+AH234</f>
        <v>0</v>
      </c>
      <c r="AJ234" s="96" t="n">
        <f aca="false">AI234</f>
        <v>0</v>
      </c>
      <c r="AK234" s="97" t="n">
        <f aca="false">AI234</f>
        <v>0</v>
      </c>
      <c r="AL234" s="178" t="n">
        <v>68</v>
      </c>
      <c r="AM234" s="165" t="n">
        <v>0.4</v>
      </c>
      <c r="AN234" s="166" t="n">
        <f aca="false">EnergyCurve!AN234*2</f>
        <v>0.34</v>
      </c>
      <c r="AO234" s="166" t="n">
        <f aca="false">EnergyCurve!AO234</f>
        <v>0.153</v>
      </c>
      <c r="AP234" s="166" t="n">
        <f aca="false">AN234*1.25</f>
        <v>0.425</v>
      </c>
      <c r="AQ234" s="166" t="n">
        <f aca="false">EnergyCurve!AQ234*2</f>
        <v>0.34</v>
      </c>
      <c r="AR234" s="166" t="n">
        <f aca="false">EnergyCurve!AR234</f>
        <v>0.136</v>
      </c>
      <c r="AS234" s="166" t="n">
        <f aca="false">EnergyCurve!AS234*1.25</f>
        <v>0.255</v>
      </c>
      <c r="AT234" s="168" t="n">
        <f aca="false">EnergyCurve!AT234*2*2</f>
        <v>7.75576329559925</v>
      </c>
      <c r="AU234" s="169" t="n">
        <f aca="false">EnergyCurve!AU234</f>
        <v>-0.484735205974953</v>
      </c>
      <c r="AV234" s="169" t="n">
        <f aca="false">AT234*1.25</f>
        <v>9.69470411949907</v>
      </c>
      <c r="AW234" s="168" t="n">
        <f aca="false">EnergyCurve!AW234*2*2</f>
        <v>9.9276</v>
      </c>
      <c r="AX234" s="169" t="n">
        <f aca="false">EnergyCurve!AX234</f>
        <v>-0.620475</v>
      </c>
      <c r="AY234" s="169" t="n">
        <f aca="false">AW234*1.25</f>
        <v>12.4095</v>
      </c>
      <c r="AZ234" s="167" t="n">
        <v>0</v>
      </c>
      <c r="BA234" s="74"/>
      <c r="BQ234" s="108" t="n">
        <v>36907.7428240741</v>
      </c>
      <c r="BR234" s="109" t="n">
        <v>36907.7434490741</v>
      </c>
      <c r="BS234" s="110" t="n">
        <v>43221</v>
      </c>
      <c r="BT234" s="111" t="n">
        <v>0</v>
      </c>
      <c r="BU234" s="112" t="n">
        <v>0</v>
      </c>
      <c r="BV234" s="112" t="n">
        <v>0</v>
      </c>
      <c r="BW234" s="112" t="n">
        <v>0</v>
      </c>
      <c r="BX234" s="113" t="n">
        <v>0</v>
      </c>
      <c r="BZ234" s="110" t="n">
        <v>43009</v>
      </c>
      <c r="CA234" s="116" t="n">
        <v>38.3689994812012</v>
      </c>
      <c r="CB234" s="116" t="n">
        <v>0</v>
      </c>
      <c r="CC234" s="116" t="n">
        <v>0</v>
      </c>
      <c r="CD234" s="116" t="n">
        <v>0</v>
      </c>
      <c r="CE234" s="117" t="n">
        <v>0</v>
      </c>
    </row>
    <row r="235" customFormat="false" ht="12.75" hidden="false" customHeight="false" outlineLevel="0" collapsed="false">
      <c r="A235" s="0" t="n">
        <f aca="true">IF(ISERROR(MATCH(D235,iRefDt,0)),"",MATCH(D235,iRefDt,0))</f>
        <v>226</v>
      </c>
      <c r="B235" s="92" t="n">
        <f aca="false">MATCH(YEAR(D235),iSpreads)</f>
        <v>17</v>
      </c>
      <c r="C235" s="0" t="n">
        <f aca="false">MONTH(D235)</f>
        <v>11</v>
      </c>
      <c r="D235" s="93" t="n">
        <f aca="false">+EnergyCurve!D235</f>
        <v>43040</v>
      </c>
      <c r="E235" s="94" t="n">
        <f aca="false">VLOOKUP($D235,tblPriorPrice,2)</f>
        <v>31.9610004425049</v>
      </c>
      <c r="F235" s="95" t="n">
        <f aca="false">G235-E235</f>
        <v>-4.42504884290429E-007</v>
      </c>
      <c r="G235" s="264" t="n">
        <f aca="false">IF(EnergyCurve!G235&lt;200,0.001*EnergyCurve!G235+1,1.2)*EnergyCurve!G235</f>
        <v>31.961</v>
      </c>
      <c r="H235" s="96" t="n">
        <f aca="false">IF(EnergyCurve!H235&lt;200,0.001*EnergyCurve!H235+1,1.2)*EnergyCurve!H235</f>
        <v>26.676</v>
      </c>
      <c r="I235" s="96" t="n">
        <f aca="false">IF(EnergyCurve!I235&lt;200,0.001*EnergyCurve!I235+1,1.2)*EnergyCurve!I235</f>
        <v>65.844</v>
      </c>
      <c r="J235" s="94" t="n">
        <f aca="false">VLOOKUP($D235,tblPriorPrice,3)</f>
        <v>0</v>
      </c>
      <c r="K235" s="95" t="n">
        <f aca="false">L235-J235</f>
        <v>0</v>
      </c>
      <c r="L235" s="264" t="n">
        <v>0</v>
      </c>
      <c r="M235" s="96" t="n">
        <f aca="false">L235</f>
        <v>0</v>
      </c>
      <c r="N235" s="96" t="n">
        <f aca="false">L235</f>
        <v>0</v>
      </c>
      <c r="O235" s="58" t="n">
        <f aca="true">IF($A235="",0,INDEX(tblPosn,$A235,2))</f>
        <v>0</v>
      </c>
      <c r="P235" s="59" t="n">
        <f aca="true">IF($A235="",0,INDEX(tblPosn,$A235,3))</f>
        <v>0</v>
      </c>
      <c r="Q235" s="59" t="n">
        <f aca="true">IF($A235="",0,INDEX(tblPosn,$A235,4))</f>
        <v>0</v>
      </c>
      <c r="R235" s="59" t="n">
        <f aca="true">IF($A235="",0,INDEX(tblPosn,$A235,5))</f>
        <v>0</v>
      </c>
      <c r="S235" s="59" t="n">
        <f aca="true">IF($A235="",0,INDEX(tblPosn,$A235,6))</f>
        <v>0</v>
      </c>
      <c r="T235" s="98" t="n">
        <f aca="false">O235*F235+P235*K235+R235*AC235+S235*AH235/0.72+Q235*X235</f>
        <v>0</v>
      </c>
      <c r="V235" s="161" t="n">
        <f aca="false">D235</f>
        <v>43040</v>
      </c>
      <c r="W235" s="94" t="n">
        <f aca="false">VLOOKUP($D235,tblPriorPrice,4)</f>
        <v>0</v>
      </c>
      <c r="X235" s="162"/>
      <c r="Y235" s="176" t="n">
        <f aca="false">L235</f>
        <v>0</v>
      </c>
      <c r="Z235" s="177" t="n">
        <f aca="false">Y235</f>
        <v>0</v>
      </c>
      <c r="AA235" s="177" t="n">
        <f aca="false">Y235</f>
        <v>0</v>
      </c>
      <c r="AB235" s="94" t="n">
        <f aca="false">VLOOKUP($D235,tblPriorPrice,5)</f>
        <v>0</v>
      </c>
      <c r="AC235" s="162"/>
      <c r="AD235" s="176" t="n">
        <f aca="false">L235</f>
        <v>0</v>
      </c>
      <c r="AE235" s="96" t="n">
        <f aca="false">AD235</f>
        <v>0</v>
      </c>
      <c r="AF235" s="97" t="n">
        <f aca="false">AD235</f>
        <v>0</v>
      </c>
      <c r="AG235" s="94" t="n">
        <f aca="false">VLOOKUP($D235,tblPriorPrice,6)</f>
        <v>0</v>
      </c>
      <c r="AH235" s="182"/>
      <c r="AI235" s="189" t="n">
        <f aca="false">AG235+AH235</f>
        <v>0</v>
      </c>
      <c r="AJ235" s="96" t="n">
        <f aca="false">AI235</f>
        <v>0</v>
      </c>
      <c r="AK235" s="97" t="n">
        <f aca="false">AI235</f>
        <v>0</v>
      </c>
      <c r="AL235" s="178" t="n">
        <v>68</v>
      </c>
      <c r="AM235" s="165" t="n">
        <v>0.4</v>
      </c>
      <c r="AN235" s="166" t="n">
        <f aca="false">EnergyCurve!AN235*2</f>
        <v>0.34</v>
      </c>
      <c r="AO235" s="166" t="n">
        <f aca="false">EnergyCurve!AO235</f>
        <v>0.153</v>
      </c>
      <c r="AP235" s="166" t="n">
        <f aca="false">AN235*1.25</f>
        <v>0.425</v>
      </c>
      <c r="AQ235" s="166" t="n">
        <f aca="false">EnergyCurve!AQ235*2</f>
        <v>0.34</v>
      </c>
      <c r="AR235" s="166" t="n">
        <f aca="false">EnergyCurve!AR235</f>
        <v>0.136</v>
      </c>
      <c r="AS235" s="166" t="n">
        <f aca="false">EnergyCurve!AS235*1.25</f>
        <v>0.255</v>
      </c>
      <c r="AT235" s="168" t="n">
        <f aca="false">EnergyCurve!AT235*2*2</f>
        <v>6.56235962744143</v>
      </c>
      <c r="AU235" s="169" t="n">
        <f aca="false">EnergyCurve!AU235</f>
        <v>-0.410147476715089</v>
      </c>
      <c r="AV235" s="169" t="n">
        <f aca="false">AT235*1.25</f>
        <v>8.20294953430178</v>
      </c>
      <c r="AW235" s="168" t="n">
        <f aca="false">EnergyCurve!AW235*2*2</f>
        <v>10.4928</v>
      </c>
      <c r="AX235" s="169" t="n">
        <f aca="false">EnergyCurve!AX235</f>
        <v>-0.6558</v>
      </c>
      <c r="AY235" s="169" t="n">
        <f aca="false">AW235*1.25</f>
        <v>13.116</v>
      </c>
      <c r="AZ235" s="167" t="n">
        <v>0</v>
      </c>
      <c r="BA235" s="74"/>
      <c r="BQ235" s="108" t="n">
        <v>36907.7428240741</v>
      </c>
      <c r="BR235" s="109" t="n">
        <v>36907.7434490741</v>
      </c>
      <c r="BS235" s="110" t="n">
        <v>43252</v>
      </c>
      <c r="BT235" s="111" t="n">
        <v>0</v>
      </c>
      <c r="BU235" s="112" t="n">
        <v>0</v>
      </c>
      <c r="BV235" s="112" t="n">
        <v>0</v>
      </c>
      <c r="BW235" s="112" t="n">
        <v>0</v>
      </c>
      <c r="BX235" s="113" t="n">
        <v>0</v>
      </c>
      <c r="BZ235" s="110" t="n">
        <v>43040</v>
      </c>
      <c r="CA235" s="116" t="n">
        <v>31.9610004425049</v>
      </c>
      <c r="CB235" s="116" t="n">
        <v>0</v>
      </c>
      <c r="CC235" s="116" t="n">
        <v>0</v>
      </c>
      <c r="CD235" s="116" t="n">
        <v>0</v>
      </c>
      <c r="CE235" s="117" t="n">
        <v>0</v>
      </c>
    </row>
    <row r="236" customFormat="false" ht="12.75" hidden="false" customHeight="false" outlineLevel="0" collapsed="false">
      <c r="A236" s="0" t="n">
        <f aca="true">IF(ISERROR(MATCH(D236,iRefDt,0)),"",MATCH(D236,iRefDt,0))</f>
        <v>227</v>
      </c>
      <c r="B236" s="92" t="n">
        <f aca="false">MATCH(YEAR(D236),iSpreads)</f>
        <v>17</v>
      </c>
      <c r="C236" s="0" t="n">
        <f aca="false">MONTH(D236)</f>
        <v>12</v>
      </c>
      <c r="D236" s="93" t="n">
        <f aca="false">+EnergyCurve!D236</f>
        <v>43070</v>
      </c>
      <c r="E236" s="94" t="n">
        <f aca="false">VLOOKUP($D236,tblPriorPrice,2)</f>
        <v>33.0239982604981</v>
      </c>
      <c r="F236" s="95" t="n">
        <f aca="false">G236-E236</f>
        <v>1.73950195403449E-006</v>
      </c>
      <c r="G236" s="264" t="n">
        <f aca="false">IF(EnergyCurve!G236&lt;200,0.001*EnergyCurve!G236+1,1.2)*EnergyCurve!G236</f>
        <v>33.024</v>
      </c>
      <c r="H236" s="96" t="n">
        <f aca="false">IF(EnergyCurve!H236&lt;200,0.001*EnergyCurve!H236+1,1.2)*EnergyCurve!H236</f>
        <v>27.729</v>
      </c>
      <c r="I236" s="96" t="n">
        <f aca="false">IF(EnergyCurve!I236&lt;200,0.001*EnergyCurve!I236+1,1.2)*EnergyCurve!I236</f>
        <v>66.969</v>
      </c>
      <c r="J236" s="94" t="n">
        <f aca="false">VLOOKUP($D236,tblPriorPrice,3)</f>
        <v>0</v>
      </c>
      <c r="K236" s="95" t="n">
        <f aca="false">L236-J236</f>
        <v>0</v>
      </c>
      <c r="L236" s="264" t="n">
        <v>0</v>
      </c>
      <c r="M236" s="96" t="n">
        <f aca="false">L236</f>
        <v>0</v>
      </c>
      <c r="N236" s="96" t="n">
        <f aca="false">L236</f>
        <v>0</v>
      </c>
      <c r="O236" s="58" t="n">
        <f aca="true">IF($A236="",0,INDEX(tblPosn,$A236,2))</f>
        <v>0</v>
      </c>
      <c r="P236" s="59" t="n">
        <f aca="true">IF($A236="",0,INDEX(tblPosn,$A236,3))</f>
        <v>0</v>
      </c>
      <c r="Q236" s="59" t="n">
        <f aca="true">IF($A236="",0,INDEX(tblPosn,$A236,4))</f>
        <v>0</v>
      </c>
      <c r="R236" s="59" t="n">
        <f aca="true">IF($A236="",0,INDEX(tblPosn,$A236,5))</f>
        <v>0</v>
      </c>
      <c r="S236" s="59" t="n">
        <f aca="true">IF($A236="",0,INDEX(tblPosn,$A236,6))</f>
        <v>0</v>
      </c>
      <c r="T236" s="98" t="n">
        <f aca="false">O236*F236+P236*K236+R236*AC236+S236*AH236/0.72+Q236*X236</f>
        <v>0</v>
      </c>
      <c r="V236" s="161" t="n">
        <f aca="false">D236</f>
        <v>43070</v>
      </c>
      <c r="W236" s="94" t="n">
        <f aca="false">VLOOKUP($D236,tblPriorPrice,4)</f>
        <v>0</v>
      </c>
      <c r="X236" s="162"/>
      <c r="Y236" s="176" t="n">
        <f aca="false">L236</f>
        <v>0</v>
      </c>
      <c r="Z236" s="177" t="n">
        <f aca="false">Y236</f>
        <v>0</v>
      </c>
      <c r="AA236" s="177" t="n">
        <f aca="false">Y236</f>
        <v>0</v>
      </c>
      <c r="AB236" s="94" t="n">
        <f aca="false">VLOOKUP($D236,tblPriorPrice,5)</f>
        <v>0</v>
      </c>
      <c r="AC236" s="162"/>
      <c r="AD236" s="176" t="n">
        <f aca="false">L236</f>
        <v>0</v>
      </c>
      <c r="AE236" s="96" t="n">
        <f aca="false">AD236</f>
        <v>0</v>
      </c>
      <c r="AF236" s="97" t="n">
        <f aca="false">AD236</f>
        <v>0</v>
      </c>
      <c r="AG236" s="94" t="n">
        <f aca="false">VLOOKUP($D236,tblPriorPrice,6)</f>
        <v>0</v>
      </c>
      <c r="AH236" s="182"/>
      <c r="AI236" s="189" t="n">
        <f aca="false">AG236+AH236</f>
        <v>0</v>
      </c>
      <c r="AJ236" s="96" t="n">
        <f aca="false">AI236</f>
        <v>0</v>
      </c>
      <c r="AK236" s="97" t="n">
        <f aca="false">AI236</f>
        <v>0</v>
      </c>
      <c r="AL236" s="178" t="n">
        <v>68</v>
      </c>
      <c r="AM236" s="165" t="n">
        <v>0.4</v>
      </c>
      <c r="AN236" s="166" t="n">
        <f aca="false">EnergyCurve!AN236*2</f>
        <v>0.34</v>
      </c>
      <c r="AO236" s="166" t="n">
        <f aca="false">EnergyCurve!AO236</f>
        <v>0.153</v>
      </c>
      <c r="AP236" s="166" t="n">
        <f aca="false">AN236*1.25</f>
        <v>0.425</v>
      </c>
      <c r="AQ236" s="166" t="n">
        <f aca="false">EnergyCurve!AQ236*2</f>
        <v>0.34</v>
      </c>
      <c r="AR236" s="166" t="n">
        <f aca="false">EnergyCurve!AR236</f>
        <v>0.136</v>
      </c>
      <c r="AS236" s="166" t="n">
        <f aca="false">EnergyCurve!AS236*1.25</f>
        <v>0.255</v>
      </c>
      <c r="AT236" s="168" t="n">
        <f aca="false">EnergyCurve!AT236*2*2</f>
        <v>6.71448638739126</v>
      </c>
      <c r="AU236" s="169" t="n">
        <f aca="false">EnergyCurve!AU236</f>
        <v>-0.419655399211954</v>
      </c>
      <c r="AV236" s="169" t="n">
        <f aca="false">AT236*1.25</f>
        <v>8.39310798423907</v>
      </c>
      <c r="AW236" s="168" t="n">
        <f aca="false">EnergyCurve!AW236*2*2</f>
        <v>10.6812</v>
      </c>
      <c r="AX236" s="169" t="n">
        <f aca="false">EnergyCurve!AX236</f>
        <v>-0.667575</v>
      </c>
      <c r="AY236" s="169" t="n">
        <f aca="false">AW236*1.25</f>
        <v>13.3515</v>
      </c>
      <c r="AZ236" s="167" t="n">
        <v>0</v>
      </c>
      <c r="BA236" s="74"/>
      <c r="BQ236" s="108" t="n">
        <v>36907.7428240741</v>
      </c>
      <c r="BR236" s="109" t="n">
        <v>36907.7434490741</v>
      </c>
      <c r="BS236" s="110" t="n">
        <v>43282</v>
      </c>
      <c r="BT236" s="111" t="n">
        <v>0</v>
      </c>
      <c r="BU236" s="112" t="n">
        <v>0</v>
      </c>
      <c r="BV236" s="112" t="n">
        <v>0</v>
      </c>
      <c r="BW236" s="112" t="n">
        <v>0</v>
      </c>
      <c r="BX236" s="113" t="n">
        <v>0</v>
      </c>
      <c r="BZ236" s="110" t="n">
        <v>43070</v>
      </c>
      <c r="CA236" s="116" t="n">
        <v>33.0239982604981</v>
      </c>
      <c r="CB236" s="116" t="n">
        <v>0</v>
      </c>
      <c r="CC236" s="116" t="n">
        <v>0</v>
      </c>
      <c r="CD236" s="116" t="n">
        <v>0</v>
      </c>
      <c r="CE236" s="117" t="n">
        <v>0</v>
      </c>
    </row>
    <row r="237" customFormat="false" ht="12.75" hidden="false" customHeight="false" outlineLevel="0" collapsed="false">
      <c r="A237" s="0" t="n">
        <f aca="true">IF(ISERROR(MATCH(D237,iRefDt,0)),"",MATCH(D237,iRefDt,0))</f>
        <v>228</v>
      </c>
      <c r="B237" s="92" t="n">
        <f aca="false">MATCH(YEAR(D237),iSpreads)</f>
        <v>18</v>
      </c>
      <c r="C237" s="0" t="n">
        <f aca="false">MONTH(D237)</f>
        <v>1</v>
      </c>
      <c r="D237" s="93" t="n">
        <f aca="false">+EnergyCurve!D237</f>
        <v>43101</v>
      </c>
      <c r="E237" s="94" t="n">
        <f aca="false">VLOOKUP($D237,tblPriorPrice,2)</f>
        <v>34.0890007019043</v>
      </c>
      <c r="F237" s="95" t="n">
        <f aca="false">G237-E237</f>
        <v>-7.01904298239242E-007</v>
      </c>
      <c r="G237" s="264" t="n">
        <f aca="false">IF(EnergyCurve!G237&lt;200,0.001*EnergyCurve!G237+1,1.2)*EnergyCurve!G237</f>
        <v>34.089</v>
      </c>
      <c r="H237" s="96" t="n">
        <f aca="false">IF(EnergyCurve!H237&lt;200,0.001*EnergyCurve!H237+1,1.2)*EnergyCurve!H237</f>
        <v>28.784</v>
      </c>
      <c r="I237" s="96" t="n">
        <f aca="false">IF(EnergyCurve!I237&lt;200,0.001*EnergyCurve!I237+1,1.2)*EnergyCurve!I237</f>
        <v>69.225</v>
      </c>
      <c r="J237" s="94" t="n">
        <f aca="false">VLOOKUP($D237,tblPriorPrice,3)</f>
        <v>0</v>
      </c>
      <c r="K237" s="95" t="n">
        <f aca="false">L237-J237</f>
        <v>0</v>
      </c>
      <c r="L237" s="264" t="n">
        <v>0</v>
      </c>
      <c r="M237" s="96" t="n">
        <f aca="false">L237</f>
        <v>0</v>
      </c>
      <c r="N237" s="96" t="n">
        <f aca="false">L237</f>
        <v>0</v>
      </c>
      <c r="O237" s="58" t="n">
        <f aca="true">IF($A237="",0,INDEX(tblPosn,$A237,2))</f>
        <v>0</v>
      </c>
      <c r="P237" s="59" t="n">
        <f aca="true">IF($A237="",0,INDEX(tblPosn,$A237,3))</f>
        <v>0</v>
      </c>
      <c r="Q237" s="59" t="n">
        <f aca="true">IF($A237="",0,INDEX(tblPosn,$A237,4))</f>
        <v>0</v>
      </c>
      <c r="R237" s="59" t="n">
        <f aca="true">IF($A237="",0,INDEX(tblPosn,$A237,5))</f>
        <v>0</v>
      </c>
      <c r="S237" s="59" t="n">
        <f aca="true">IF($A237="",0,INDEX(tblPosn,$A237,6))</f>
        <v>0</v>
      </c>
      <c r="T237" s="98" t="n">
        <f aca="false">O237*F237+P237*K237+R237*AC237+S237*AH237/0.72+Q237*X237</f>
        <v>0</v>
      </c>
      <c r="V237" s="161" t="n">
        <f aca="false">D237</f>
        <v>43101</v>
      </c>
      <c r="W237" s="94" t="n">
        <f aca="false">VLOOKUP($D237,tblPriorPrice,4)</f>
        <v>0</v>
      </c>
      <c r="X237" s="162"/>
      <c r="Y237" s="176" t="n">
        <f aca="false">L237</f>
        <v>0</v>
      </c>
      <c r="Z237" s="177" t="n">
        <f aca="false">Y237</f>
        <v>0</v>
      </c>
      <c r="AA237" s="177" t="n">
        <f aca="false">Y237</f>
        <v>0</v>
      </c>
      <c r="AB237" s="94" t="n">
        <f aca="false">VLOOKUP($D237,tblPriorPrice,5)</f>
        <v>0</v>
      </c>
      <c r="AC237" s="162"/>
      <c r="AD237" s="176" t="n">
        <f aca="false">L237</f>
        <v>0</v>
      </c>
      <c r="AE237" s="96" t="n">
        <f aca="false">AD237</f>
        <v>0</v>
      </c>
      <c r="AF237" s="97" t="n">
        <f aca="false">AD237</f>
        <v>0</v>
      </c>
      <c r="AG237" s="94" t="n">
        <f aca="false">VLOOKUP($D237,tblPriorPrice,6)</f>
        <v>0</v>
      </c>
      <c r="AH237" s="182"/>
      <c r="AI237" s="189" t="n">
        <f aca="false">AG237+AH237</f>
        <v>0</v>
      </c>
      <c r="AJ237" s="96" t="n">
        <f aca="false">AI237</f>
        <v>0</v>
      </c>
      <c r="AK237" s="97" t="n">
        <f aca="false">AI237</f>
        <v>0</v>
      </c>
      <c r="AL237" s="178" t="n">
        <v>69</v>
      </c>
      <c r="AM237" s="165" t="n">
        <v>0.4</v>
      </c>
      <c r="AN237" s="166" t="n">
        <f aca="false">EnergyCurve!AN237*2</f>
        <v>0.34</v>
      </c>
      <c r="AO237" s="166" t="n">
        <f aca="false">EnergyCurve!AO237</f>
        <v>0.153</v>
      </c>
      <c r="AP237" s="166" t="n">
        <f aca="false">AN237*1.25</f>
        <v>0.425</v>
      </c>
      <c r="AQ237" s="166" t="n">
        <f aca="false">EnergyCurve!AQ237*2</f>
        <v>0.34</v>
      </c>
      <c r="AR237" s="166" t="n">
        <f aca="false">EnergyCurve!AR237</f>
        <v>0.136</v>
      </c>
      <c r="AS237" s="166" t="n">
        <f aca="false">EnergyCurve!AS237*1.25</f>
        <v>0.255</v>
      </c>
      <c r="AT237" s="168" t="n">
        <f aca="false">EnergyCurve!AT237*2*2</f>
        <v>6.88781730529552</v>
      </c>
      <c r="AU237" s="169" t="n">
        <f aca="false">EnergyCurve!AU237</f>
        <v>-0.43048858158097</v>
      </c>
      <c r="AV237" s="169" t="n">
        <f aca="false">AT237*1.25</f>
        <v>8.60977163161941</v>
      </c>
      <c r="AW237" s="168" t="n">
        <f aca="false">EnergyCurve!AW237*2*2</f>
        <v>10.4928</v>
      </c>
      <c r="AX237" s="169" t="n">
        <f aca="false">EnergyCurve!AX237</f>
        <v>-0.6558</v>
      </c>
      <c r="AY237" s="169" t="n">
        <f aca="false">AW237*1.25</f>
        <v>13.116</v>
      </c>
      <c r="AZ237" s="167" t="n">
        <v>0</v>
      </c>
      <c r="BA237" s="74"/>
      <c r="BQ237" s="108" t="n">
        <v>36907.7428240741</v>
      </c>
      <c r="BR237" s="109" t="n">
        <v>36907.7434490741</v>
      </c>
      <c r="BS237" s="110" t="n">
        <v>43313</v>
      </c>
      <c r="BT237" s="111" t="n">
        <v>0</v>
      </c>
      <c r="BU237" s="112" t="n">
        <v>0</v>
      </c>
      <c r="BV237" s="112" t="n">
        <v>0</v>
      </c>
      <c r="BW237" s="112" t="n">
        <v>0</v>
      </c>
      <c r="BX237" s="113" t="n">
        <v>0</v>
      </c>
      <c r="BZ237" s="110" t="n">
        <v>43101</v>
      </c>
      <c r="CA237" s="116" t="n">
        <v>34.0890007019043</v>
      </c>
      <c r="CB237" s="116" t="n">
        <v>0</v>
      </c>
      <c r="CC237" s="116" t="n">
        <v>0</v>
      </c>
      <c r="CD237" s="116" t="n">
        <v>0</v>
      </c>
      <c r="CE237" s="117" t="n">
        <v>0</v>
      </c>
    </row>
    <row r="238" customFormat="false" ht="12.75" hidden="false" customHeight="false" outlineLevel="0" collapsed="false">
      <c r="A238" s="0" t="n">
        <f aca="true">IF(ISERROR(MATCH(D238,iRefDt,0)),"",MATCH(D238,iRefDt,0))</f>
        <v>229</v>
      </c>
      <c r="B238" s="92" t="n">
        <f aca="false">MATCH(YEAR(D238),iSpreads)</f>
        <v>18</v>
      </c>
      <c r="C238" s="0" t="n">
        <f aca="false">MONTH(D238)</f>
        <v>2</v>
      </c>
      <c r="D238" s="93" t="n">
        <f aca="false">+EnergyCurve!D238</f>
        <v>43132</v>
      </c>
      <c r="E238" s="94" t="n">
        <f aca="false">VLOOKUP($D238,tblPriorPrice,2)</f>
        <v>30.8999996185303</v>
      </c>
      <c r="F238" s="95" t="n">
        <f aca="false">G238-E238</f>
        <v>3.81469728694128E-007</v>
      </c>
      <c r="G238" s="264" t="n">
        <f aca="false">IF(EnergyCurve!G238&lt;200,0.001*EnergyCurve!G238+1,1.2)*EnergyCurve!G238</f>
        <v>30.9</v>
      </c>
      <c r="H238" s="96" t="n">
        <f aca="false">IF(EnergyCurve!H238&lt;200,0.001*EnergyCurve!H238+1,1.2)*EnergyCurve!H238</f>
        <v>25.625</v>
      </c>
      <c r="I238" s="96" t="n">
        <f aca="false">IF(EnergyCurve!I238&lt;200,0.001*EnergyCurve!I238+1,1.2)*EnergyCurve!I238</f>
        <v>65.844</v>
      </c>
      <c r="J238" s="94" t="n">
        <f aca="false">VLOOKUP($D238,tblPriorPrice,3)</f>
        <v>0</v>
      </c>
      <c r="K238" s="95" t="n">
        <f aca="false">L238-J238</f>
        <v>0</v>
      </c>
      <c r="L238" s="264" t="n">
        <v>0</v>
      </c>
      <c r="M238" s="96" t="n">
        <f aca="false">L238</f>
        <v>0</v>
      </c>
      <c r="N238" s="96" t="n">
        <f aca="false">L238</f>
        <v>0</v>
      </c>
      <c r="O238" s="58" t="n">
        <f aca="true">IF($A238="",0,INDEX(tblPosn,$A238,2))</f>
        <v>0</v>
      </c>
      <c r="P238" s="59" t="n">
        <f aca="true">IF($A238="",0,INDEX(tblPosn,$A238,3))</f>
        <v>0</v>
      </c>
      <c r="Q238" s="59" t="n">
        <f aca="true">IF($A238="",0,INDEX(tblPosn,$A238,4))</f>
        <v>0</v>
      </c>
      <c r="R238" s="59" t="n">
        <f aca="true">IF($A238="",0,INDEX(tblPosn,$A238,5))</f>
        <v>0</v>
      </c>
      <c r="S238" s="59" t="n">
        <f aca="true">IF($A238="",0,INDEX(tblPosn,$A238,6))</f>
        <v>0</v>
      </c>
      <c r="T238" s="98" t="n">
        <f aca="false">O238*F238+P238*K238+R238*AC238+S238*AH238/0.72+Q238*X238</f>
        <v>0</v>
      </c>
      <c r="V238" s="161" t="n">
        <f aca="false">D238</f>
        <v>43132</v>
      </c>
      <c r="W238" s="94" t="n">
        <f aca="false">VLOOKUP($D238,tblPriorPrice,4)</f>
        <v>0</v>
      </c>
      <c r="X238" s="162"/>
      <c r="Y238" s="176" t="n">
        <f aca="false">L238</f>
        <v>0</v>
      </c>
      <c r="Z238" s="177" t="n">
        <f aca="false">Y238</f>
        <v>0</v>
      </c>
      <c r="AA238" s="177" t="n">
        <f aca="false">Y238</f>
        <v>0</v>
      </c>
      <c r="AB238" s="94" t="n">
        <f aca="false">VLOOKUP($D238,tblPriorPrice,5)</f>
        <v>0</v>
      </c>
      <c r="AC238" s="162"/>
      <c r="AD238" s="176" t="n">
        <f aca="false">L238</f>
        <v>0</v>
      </c>
      <c r="AE238" s="96" t="n">
        <f aca="false">AD238</f>
        <v>0</v>
      </c>
      <c r="AF238" s="97" t="n">
        <f aca="false">AD238</f>
        <v>0</v>
      </c>
      <c r="AG238" s="94" t="n">
        <f aca="false">VLOOKUP($D238,tblPriorPrice,6)</f>
        <v>0</v>
      </c>
      <c r="AH238" s="182"/>
      <c r="AI238" s="189" t="n">
        <f aca="false">AG238+AH238</f>
        <v>0</v>
      </c>
      <c r="AJ238" s="96" t="n">
        <f aca="false">AI238</f>
        <v>0</v>
      </c>
      <c r="AK238" s="97" t="n">
        <f aca="false">AI238</f>
        <v>0</v>
      </c>
      <c r="AL238" s="178" t="n">
        <v>69</v>
      </c>
      <c r="AM238" s="165" t="n">
        <v>0.4</v>
      </c>
      <c r="AN238" s="166" t="n">
        <f aca="false">EnergyCurve!AN238*2</f>
        <v>0.34</v>
      </c>
      <c r="AO238" s="166" t="n">
        <f aca="false">EnergyCurve!AO238</f>
        <v>0.153</v>
      </c>
      <c r="AP238" s="166" t="n">
        <f aca="false">AN238*1.25</f>
        <v>0.425</v>
      </c>
      <c r="AQ238" s="166" t="n">
        <f aca="false">EnergyCurve!AQ238*2</f>
        <v>0.34</v>
      </c>
      <c r="AR238" s="166" t="n">
        <f aca="false">EnergyCurve!AR238</f>
        <v>0.136</v>
      </c>
      <c r="AS238" s="166" t="n">
        <f aca="false">EnergyCurve!AS238*1.25</f>
        <v>0.255</v>
      </c>
      <c r="AT238" s="168" t="n">
        <f aca="false">EnergyCurve!AT238*2*2</f>
        <v>6.43371807382396</v>
      </c>
      <c r="AU238" s="169" t="n">
        <f aca="false">EnergyCurve!AU238</f>
        <v>-0.402107379613998</v>
      </c>
      <c r="AV238" s="169" t="n">
        <f aca="false">AT238*1.25</f>
        <v>8.04214759227995</v>
      </c>
      <c r="AW238" s="168" t="n">
        <f aca="false">EnergyCurve!AW238*2*2</f>
        <v>10.587</v>
      </c>
      <c r="AX238" s="169" t="n">
        <f aca="false">EnergyCurve!AX238</f>
        <v>-0.6616875</v>
      </c>
      <c r="AY238" s="169" t="n">
        <f aca="false">AW238*1.25</f>
        <v>13.23375</v>
      </c>
      <c r="AZ238" s="167" t="n">
        <v>0</v>
      </c>
      <c r="BA238" s="74"/>
      <c r="BQ238" s="108" t="n">
        <v>36907.7428240741</v>
      </c>
      <c r="BR238" s="109" t="n">
        <v>36907.7434490741</v>
      </c>
      <c r="BS238" s="110" t="n">
        <v>43344</v>
      </c>
      <c r="BT238" s="111" t="n">
        <v>0</v>
      </c>
      <c r="BU238" s="112" t="n">
        <v>0</v>
      </c>
      <c r="BV238" s="112" t="n">
        <v>0</v>
      </c>
      <c r="BW238" s="112" t="n">
        <v>0</v>
      </c>
      <c r="BX238" s="113" t="n">
        <v>0</v>
      </c>
      <c r="BZ238" s="110" t="n">
        <v>43132</v>
      </c>
      <c r="CA238" s="116" t="n">
        <v>30.8999996185303</v>
      </c>
      <c r="CB238" s="116" t="n">
        <v>0</v>
      </c>
      <c r="CC238" s="116" t="n">
        <v>0</v>
      </c>
      <c r="CD238" s="116" t="n">
        <v>0</v>
      </c>
      <c r="CE238" s="117" t="n">
        <v>0</v>
      </c>
    </row>
    <row r="239" customFormat="false" ht="12.75" hidden="false" customHeight="false" outlineLevel="0" collapsed="false">
      <c r="A239" s="0" t="n">
        <f aca="true">IF(ISERROR(MATCH(D239,iRefDt,0)),"",MATCH(D239,iRefDt,0))</f>
        <v>230</v>
      </c>
      <c r="B239" s="92" t="n">
        <f aca="false">MATCH(YEAR(D239),iSpreads)</f>
        <v>18</v>
      </c>
      <c r="C239" s="0" t="n">
        <f aca="false">MONTH(D239)</f>
        <v>3</v>
      </c>
      <c r="D239" s="93" t="n">
        <f aca="false">+EnergyCurve!D239</f>
        <v>43160</v>
      </c>
      <c r="E239" s="94" t="n">
        <f aca="false">VLOOKUP($D239,tblPriorPrice,2)</f>
        <v>29.8409996032715</v>
      </c>
      <c r="F239" s="95" t="n">
        <f aca="false">G239-E239</f>
        <v>3.96728513152311E-007</v>
      </c>
      <c r="G239" s="264" t="n">
        <f aca="false">IF(EnergyCurve!G239&lt;200,0.001*EnergyCurve!G239+1,1.2)*EnergyCurve!G239</f>
        <v>29.841</v>
      </c>
      <c r="H239" s="96" t="n">
        <f aca="false">IF(EnergyCurve!H239&lt;200,0.001*EnergyCurve!H239+1,1.2)*EnergyCurve!H239</f>
        <v>24.576</v>
      </c>
      <c r="I239" s="96" t="n">
        <f aca="false">IF(EnergyCurve!I239&lt;200,0.001*EnergyCurve!I239+1,1.2)*EnergyCurve!I239</f>
        <v>64.721</v>
      </c>
      <c r="J239" s="94" t="n">
        <f aca="false">VLOOKUP($D239,tblPriorPrice,3)</f>
        <v>0</v>
      </c>
      <c r="K239" s="95" t="n">
        <f aca="false">L239-J239</f>
        <v>0</v>
      </c>
      <c r="L239" s="264" t="n">
        <v>0</v>
      </c>
      <c r="M239" s="96" t="n">
        <f aca="false">L239</f>
        <v>0</v>
      </c>
      <c r="N239" s="96" t="n">
        <f aca="false">L239</f>
        <v>0</v>
      </c>
      <c r="O239" s="58" t="n">
        <f aca="true">IF($A239="",0,INDEX(tblPosn,$A239,2))</f>
        <v>0</v>
      </c>
      <c r="P239" s="59" t="n">
        <f aca="true">IF($A239="",0,INDEX(tblPosn,$A239,3))</f>
        <v>0</v>
      </c>
      <c r="Q239" s="59" t="n">
        <f aca="true">IF($A239="",0,INDEX(tblPosn,$A239,4))</f>
        <v>0</v>
      </c>
      <c r="R239" s="59" t="n">
        <f aca="true">IF($A239="",0,INDEX(tblPosn,$A239,5))</f>
        <v>0</v>
      </c>
      <c r="S239" s="59" t="n">
        <f aca="true">IF($A239="",0,INDEX(tblPosn,$A239,6))</f>
        <v>0</v>
      </c>
      <c r="T239" s="98" t="n">
        <f aca="false">O239*F239+P239*K239+R239*AC239+S239*AH239/0.72+Q239*X239</f>
        <v>0</v>
      </c>
      <c r="V239" s="161" t="n">
        <f aca="false">D239</f>
        <v>43160</v>
      </c>
      <c r="W239" s="94" t="n">
        <f aca="false">VLOOKUP($D239,tblPriorPrice,4)</f>
        <v>0</v>
      </c>
      <c r="X239" s="162"/>
      <c r="Y239" s="176" t="n">
        <f aca="false">L239</f>
        <v>0</v>
      </c>
      <c r="Z239" s="177" t="n">
        <f aca="false">Y239</f>
        <v>0</v>
      </c>
      <c r="AA239" s="177" t="n">
        <f aca="false">Y239</f>
        <v>0</v>
      </c>
      <c r="AB239" s="94" t="n">
        <f aca="false">VLOOKUP($D239,tblPriorPrice,5)</f>
        <v>0</v>
      </c>
      <c r="AC239" s="162"/>
      <c r="AD239" s="176" t="n">
        <f aca="false">L239</f>
        <v>0</v>
      </c>
      <c r="AE239" s="96" t="n">
        <f aca="false">AD239</f>
        <v>0</v>
      </c>
      <c r="AF239" s="97" t="n">
        <f aca="false">AD239</f>
        <v>0</v>
      </c>
      <c r="AG239" s="94" t="n">
        <f aca="false">VLOOKUP($D239,tblPriorPrice,6)</f>
        <v>0</v>
      </c>
      <c r="AH239" s="182"/>
      <c r="AI239" s="189" t="n">
        <f aca="false">AG239+AH239</f>
        <v>0</v>
      </c>
      <c r="AJ239" s="96" t="n">
        <f aca="false">AI239</f>
        <v>0</v>
      </c>
      <c r="AK239" s="97" t="n">
        <f aca="false">AI239</f>
        <v>0</v>
      </c>
      <c r="AL239" s="178" t="n">
        <v>69</v>
      </c>
      <c r="AM239" s="165" t="n">
        <v>0.4</v>
      </c>
      <c r="AN239" s="166" t="n">
        <f aca="false">EnergyCurve!AN239*2</f>
        <v>0.34</v>
      </c>
      <c r="AO239" s="166" t="n">
        <f aca="false">EnergyCurve!AO239</f>
        <v>0.153</v>
      </c>
      <c r="AP239" s="166" t="n">
        <f aca="false">AN239*1.25</f>
        <v>0.425</v>
      </c>
      <c r="AQ239" s="166" t="n">
        <f aca="false">EnergyCurve!AQ239*2</f>
        <v>0.34</v>
      </c>
      <c r="AR239" s="166" t="n">
        <f aca="false">EnergyCurve!AR239</f>
        <v>0.136</v>
      </c>
      <c r="AS239" s="166" t="n">
        <f aca="false">EnergyCurve!AS239*1.25</f>
        <v>0.255</v>
      </c>
      <c r="AT239" s="168" t="n">
        <f aca="false">EnergyCurve!AT239*2*2</f>
        <v>6.33113623762127</v>
      </c>
      <c r="AU239" s="169" t="n">
        <f aca="false">EnergyCurve!AU239</f>
        <v>-0.395696014851329</v>
      </c>
      <c r="AV239" s="169" t="n">
        <f aca="false">AT239*1.25</f>
        <v>7.91392029702658</v>
      </c>
      <c r="AW239" s="168" t="n">
        <f aca="false">EnergyCurve!AW239*2*2</f>
        <v>10.6812</v>
      </c>
      <c r="AX239" s="169" t="n">
        <f aca="false">EnergyCurve!AX239</f>
        <v>-0.667575</v>
      </c>
      <c r="AY239" s="169" t="n">
        <f aca="false">AW239*1.25</f>
        <v>13.3515</v>
      </c>
      <c r="AZ239" s="167" t="n">
        <v>0</v>
      </c>
      <c r="BA239" s="74"/>
      <c r="BQ239" s="108" t="n">
        <v>36907.7428240741</v>
      </c>
      <c r="BR239" s="109" t="n">
        <v>36907.7434490741</v>
      </c>
      <c r="BS239" s="110" t="n">
        <v>43374</v>
      </c>
      <c r="BT239" s="111" t="n">
        <v>0</v>
      </c>
      <c r="BU239" s="112" t="n">
        <v>0</v>
      </c>
      <c r="BV239" s="112" t="n">
        <v>0</v>
      </c>
      <c r="BW239" s="112" t="n">
        <v>0</v>
      </c>
      <c r="BX239" s="113" t="n">
        <v>0</v>
      </c>
      <c r="BZ239" s="110" t="n">
        <v>43160</v>
      </c>
      <c r="CA239" s="116" t="n">
        <v>29.8409996032715</v>
      </c>
      <c r="CB239" s="116" t="n">
        <v>0</v>
      </c>
      <c r="CC239" s="116" t="n">
        <v>0</v>
      </c>
      <c r="CD239" s="116" t="n">
        <v>0</v>
      </c>
      <c r="CE239" s="117" t="n">
        <v>0</v>
      </c>
    </row>
    <row r="240" customFormat="false" ht="12.75" hidden="false" customHeight="false" outlineLevel="0" collapsed="false">
      <c r="A240" s="0" t="n">
        <f aca="true">IF(ISERROR(MATCH(D240,iRefDt,0)),"",MATCH(D240,iRefDt,0))</f>
        <v>231</v>
      </c>
      <c r="B240" s="92" t="n">
        <f aca="false">MATCH(YEAR(D240),iSpreads)</f>
        <v>18</v>
      </c>
      <c r="C240" s="0" t="n">
        <f aca="false">MONTH(D240)</f>
        <v>4</v>
      </c>
      <c r="D240" s="93" t="n">
        <f aca="false">+EnergyCurve!D240</f>
        <v>43191</v>
      </c>
      <c r="E240" s="94" t="n">
        <f aca="false">VLOOKUP($D240,tblPriorPrice,2)</f>
        <v>29.8409996032715</v>
      </c>
      <c r="F240" s="95" t="n">
        <f aca="false">G240-E240</f>
        <v>3.96728513152311E-007</v>
      </c>
      <c r="G240" s="264" t="n">
        <f aca="false">IF(EnergyCurve!G240&lt;200,0.001*EnergyCurve!G240+1,1.2)*EnergyCurve!G240</f>
        <v>29.841</v>
      </c>
      <c r="H240" s="96" t="n">
        <f aca="false">IF(EnergyCurve!H240&lt;200,0.001*EnergyCurve!H240+1,1.2)*EnergyCurve!H240</f>
        <v>24.576</v>
      </c>
      <c r="I240" s="96" t="n">
        <f aca="false">IF(EnergyCurve!I240&lt;200,0.001*EnergyCurve!I240+1,1.2)*EnergyCurve!I240</f>
        <v>64.721</v>
      </c>
      <c r="J240" s="94" t="n">
        <f aca="false">VLOOKUP($D240,tblPriorPrice,3)</f>
        <v>0</v>
      </c>
      <c r="K240" s="95" t="n">
        <f aca="false">L240-J240</f>
        <v>0</v>
      </c>
      <c r="L240" s="264" t="n">
        <v>0</v>
      </c>
      <c r="M240" s="96" t="n">
        <f aca="false">L240</f>
        <v>0</v>
      </c>
      <c r="N240" s="96" t="n">
        <f aca="false">L240</f>
        <v>0</v>
      </c>
      <c r="O240" s="58" t="n">
        <f aca="true">IF($A240="",0,INDEX(tblPosn,$A240,2))</f>
        <v>0</v>
      </c>
      <c r="P240" s="59" t="n">
        <f aca="true">IF($A240="",0,INDEX(tblPosn,$A240,3))</f>
        <v>0</v>
      </c>
      <c r="Q240" s="59" t="n">
        <f aca="true">IF($A240="",0,INDEX(tblPosn,$A240,4))</f>
        <v>0</v>
      </c>
      <c r="R240" s="59" t="n">
        <f aca="true">IF($A240="",0,INDEX(tblPosn,$A240,5))</f>
        <v>0</v>
      </c>
      <c r="S240" s="59" t="n">
        <f aca="true">IF($A240="",0,INDEX(tblPosn,$A240,6))</f>
        <v>0</v>
      </c>
      <c r="T240" s="98" t="n">
        <f aca="false">O240*F240+P240*K240+R240*AC240+S240*AH240/0.72+Q240*X240</f>
        <v>0</v>
      </c>
      <c r="V240" s="161" t="n">
        <f aca="false">D240</f>
        <v>43191</v>
      </c>
      <c r="W240" s="94" t="n">
        <f aca="false">VLOOKUP($D240,tblPriorPrice,4)</f>
        <v>0</v>
      </c>
      <c r="X240" s="162"/>
      <c r="Y240" s="176" t="n">
        <f aca="false">L240</f>
        <v>0</v>
      </c>
      <c r="Z240" s="177" t="n">
        <f aca="false">Y240</f>
        <v>0</v>
      </c>
      <c r="AA240" s="177" t="n">
        <f aca="false">Y240</f>
        <v>0</v>
      </c>
      <c r="AB240" s="94" t="n">
        <f aca="false">VLOOKUP($D240,tblPriorPrice,5)</f>
        <v>0</v>
      </c>
      <c r="AC240" s="162"/>
      <c r="AD240" s="176" t="n">
        <f aca="false">L240</f>
        <v>0</v>
      </c>
      <c r="AE240" s="96" t="n">
        <f aca="false">AD240</f>
        <v>0</v>
      </c>
      <c r="AF240" s="97" t="n">
        <f aca="false">AD240</f>
        <v>0</v>
      </c>
      <c r="AG240" s="94" t="n">
        <f aca="false">VLOOKUP($D240,tblPriorPrice,6)</f>
        <v>0</v>
      </c>
      <c r="AH240" s="182"/>
      <c r="AI240" s="189" t="n">
        <f aca="false">AG240+AH240</f>
        <v>0</v>
      </c>
      <c r="AJ240" s="96" t="n">
        <f aca="false">AI240</f>
        <v>0</v>
      </c>
      <c r="AK240" s="97" t="n">
        <f aca="false">AI240</f>
        <v>0</v>
      </c>
      <c r="AL240" s="178" t="n">
        <v>70</v>
      </c>
      <c r="AM240" s="165" t="n">
        <v>0.4</v>
      </c>
      <c r="AN240" s="166" t="n">
        <f aca="false">EnergyCurve!AN240*2</f>
        <v>0.34</v>
      </c>
      <c r="AO240" s="166" t="n">
        <f aca="false">EnergyCurve!AO240</f>
        <v>0.153</v>
      </c>
      <c r="AP240" s="166" t="n">
        <f aca="false">AN240*1.25</f>
        <v>0.425</v>
      </c>
      <c r="AQ240" s="166" t="n">
        <f aca="false">EnergyCurve!AQ240*2</f>
        <v>0.34</v>
      </c>
      <c r="AR240" s="166" t="n">
        <f aca="false">EnergyCurve!AR240</f>
        <v>0.136</v>
      </c>
      <c r="AS240" s="166" t="n">
        <f aca="false">EnergyCurve!AS240*1.25</f>
        <v>0.255</v>
      </c>
      <c r="AT240" s="168" t="n">
        <f aca="false">EnergyCurve!AT240*2*2</f>
        <v>6.33113623762127</v>
      </c>
      <c r="AU240" s="169" t="n">
        <f aca="false">EnergyCurve!AU240</f>
        <v>-0.395696014851329</v>
      </c>
      <c r="AV240" s="169" t="n">
        <f aca="false">AT240*1.25</f>
        <v>7.91392029702658</v>
      </c>
      <c r="AW240" s="168" t="n">
        <f aca="false">EnergyCurve!AW240*2*2</f>
        <v>10.6812</v>
      </c>
      <c r="AX240" s="169" t="n">
        <f aca="false">EnergyCurve!AX240</f>
        <v>-0.667575</v>
      </c>
      <c r="AY240" s="169" t="n">
        <f aca="false">AW240*1.25</f>
        <v>13.3515</v>
      </c>
      <c r="AZ240" s="167" t="n">
        <v>0</v>
      </c>
      <c r="BA240" s="74"/>
      <c r="BQ240" s="108" t="n">
        <v>36907.7428240741</v>
      </c>
      <c r="BR240" s="109" t="n">
        <v>36907.7434490741</v>
      </c>
      <c r="BS240" s="110" t="n">
        <v>43405</v>
      </c>
      <c r="BT240" s="111" t="n">
        <v>0</v>
      </c>
      <c r="BU240" s="112" t="n">
        <v>0</v>
      </c>
      <c r="BV240" s="112" t="n">
        <v>0</v>
      </c>
      <c r="BW240" s="112" t="n">
        <v>0</v>
      </c>
      <c r="BX240" s="113" t="n">
        <v>0</v>
      </c>
      <c r="BZ240" s="110" t="n">
        <v>43191</v>
      </c>
      <c r="CA240" s="116" t="n">
        <v>29.8409996032715</v>
      </c>
      <c r="CB240" s="116" t="n">
        <v>0</v>
      </c>
      <c r="CC240" s="116" t="n">
        <v>0</v>
      </c>
      <c r="CD240" s="116" t="n">
        <v>0</v>
      </c>
      <c r="CE240" s="117" t="n">
        <v>0</v>
      </c>
    </row>
    <row r="241" customFormat="false" ht="12.75" hidden="false" customHeight="false" outlineLevel="0" collapsed="false">
      <c r="A241" s="0" t="n">
        <f aca="true">IF(ISERROR(MATCH(D241,iRefDt,0)),"",MATCH(D241,iRefDt,0))</f>
        <v>232</v>
      </c>
      <c r="B241" s="92" t="n">
        <f aca="false">MATCH(YEAR(D241),iSpreads)</f>
        <v>18</v>
      </c>
      <c r="C241" s="0" t="n">
        <f aca="false">MONTH(D241)</f>
        <v>5</v>
      </c>
      <c r="D241" s="93" t="n">
        <f aca="false">+EnergyCurve!D241</f>
        <v>43221</v>
      </c>
      <c r="E241" s="94" t="n">
        <f aca="false">VLOOKUP($D241,tblPriorPrice,2)</f>
        <v>33.0239982604981</v>
      </c>
      <c r="F241" s="95" t="n">
        <f aca="false">G241-E241</f>
        <v>1.73950195403449E-006</v>
      </c>
      <c r="G241" s="264" t="n">
        <f aca="false">IF(EnergyCurve!G241&lt;200,0.001*EnergyCurve!G241+1,1.2)*EnergyCurve!G241</f>
        <v>33.024</v>
      </c>
      <c r="H241" s="96" t="n">
        <f aca="false">IF(EnergyCurve!H241&lt;200,0.001*EnergyCurve!H241+1,1.2)*EnergyCurve!H241</f>
        <v>27.729</v>
      </c>
      <c r="I241" s="96" t="n">
        <f aca="false">IF(EnergyCurve!I241&lt;200,0.001*EnergyCurve!I241+1,1.2)*EnergyCurve!I241</f>
        <v>68.096</v>
      </c>
      <c r="J241" s="94" t="n">
        <f aca="false">VLOOKUP($D241,tblPriorPrice,3)</f>
        <v>0</v>
      </c>
      <c r="K241" s="95" t="n">
        <f aca="false">L241-J241</f>
        <v>0</v>
      </c>
      <c r="L241" s="264" t="n">
        <v>0</v>
      </c>
      <c r="M241" s="96" t="n">
        <f aca="false">L241</f>
        <v>0</v>
      </c>
      <c r="N241" s="96" t="n">
        <f aca="false">L241</f>
        <v>0</v>
      </c>
      <c r="O241" s="58" t="n">
        <f aca="true">IF($A241="",0,INDEX(tblPosn,$A241,2))</f>
        <v>0</v>
      </c>
      <c r="P241" s="59" t="n">
        <f aca="true">IF($A241="",0,INDEX(tblPosn,$A241,3))</f>
        <v>0</v>
      </c>
      <c r="Q241" s="59" t="n">
        <f aca="true">IF($A241="",0,INDEX(tblPosn,$A241,4))</f>
        <v>0</v>
      </c>
      <c r="R241" s="59" t="n">
        <f aca="true">IF($A241="",0,INDEX(tblPosn,$A241,5))</f>
        <v>0</v>
      </c>
      <c r="S241" s="59" t="n">
        <f aca="true">IF($A241="",0,INDEX(tblPosn,$A241,6))</f>
        <v>0</v>
      </c>
      <c r="T241" s="98" t="n">
        <f aca="false">O241*F241+P241*K241+R241*AC241+S241*AH241/0.72+Q241*X241</f>
        <v>0</v>
      </c>
      <c r="V241" s="161" t="n">
        <f aca="false">D241</f>
        <v>43221</v>
      </c>
      <c r="W241" s="94" t="n">
        <f aca="false">VLOOKUP($D241,tblPriorPrice,4)</f>
        <v>0</v>
      </c>
      <c r="X241" s="162"/>
      <c r="Y241" s="176" t="n">
        <f aca="false">L241</f>
        <v>0</v>
      </c>
      <c r="Z241" s="177" t="n">
        <f aca="false">Y241</f>
        <v>0</v>
      </c>
      <c r="AA241" s="177" t="n">
        <f aca="false">Y241</f>
        <v>0</v>
      </c>
      <c r="AB241" s="94" t="n">
        <f aca="false">VLOOKUP($D241,tblPriorPrice,5)</f>
        <v>0</v>
      </c>
      <c r="AC241" s="162"/>
      <c r="AD241" s="176" t="n">
        <f aca="false">L241</f>
        <v>0</v>
      </c>
      <c r="AE241" s="96" t="n">
        <f aca="false">AD241</f>
        <v>0</v>
      </c>
      <c r="AF241" s="97" t="n">
        <f aca="false">AD241</f>
        <v>0</v>
      </c>
      <c r="AG241" s="94" t="n">
        <f aca="false">VLOOKUP($D241,tblPriorPrice,6)</f>
        <v>0</v>
      </c>
      <c r="AH241" s="182"/>
      <c r="AI241" s="189" t="n">
        <f aca="false">AG241+AH241</f>
        <v>0</v>
      </c>
      <c r="AJ241" s="96" t="n">
        <f aca="false">AI241</f>
        <v>0</v>
      </c>
      <c r="AK241" s="97" t="n">
        <f aca="false">AI241</f>
        <v>0</v>
      </c>
      <c r="AL241" s="178" t="n">
        <v>70</v>
      </c>
      <c r="AM241" s="165" t="n">
        <v>0.4</v>
      </c>
      <c r="AN241" s="166" t="n">
        <f aca="false">EnergyCurve!AN241*2</f>
        <v>0.34</v>
      </c>
      <c r="AO241" s="166" t="n">
        <f aca="false">EnergyCurve!AO241</f>
        <v>0.153</v>
      </c>
      <c r="AP241" s="166" t="n">
        <f aca="false">AN241*1.25</f>
        <v>0.425</v>
      </c>
      <c r="AQ241" s="166" t="n">
        <f aca="false">EnergyCurve!AQ241*2</f>
        <v>0.34</v>
      </c>
      <c r="AR241" s="166" t="n">
        <f aca="false">EnergyCurve!AR241</f>
        <v>0.136</v>
      </c>
      <c r="AS241" s="166" t="n">
        <f aca="false">EnergyCurve!AS241*1.25</f>
        <v>0.255</v>
      </c>
      <c r="AT241" s="168" t="n">
        <f aca="false">EnergyCurve!AT241*2*2</f>
        <v>6.71448638739126</v>
      </c>
      <c r="AU241" s="169" t="n">
        <f aca="false">EnergyCurve!AU241</f>
        <v>-0.419655399211954</v>
      </c>
      <c r="AV241" s="169" t="n">
        <f aca="false">AT241*1.25</f>
        <v>8.39310798423907</v>
      </c>
      <c r="AW241" s="168" t="n">
        <f aca="false">EnergyCurve!AW241*2*2</f>
        <v>10.3986</v>
      </c>
      <c r="AX241" s="169" t="n">
        <f aca="false">EnergyCurve!AX241</f>
        <v>-0.6499125</v>
      </c>
      <c r="AY241" s="169" t="n">
        <f aca="false">AW241*1.25</f>
        <v>12.99825</v>
      </c>
      <c r="AZ241" s="167" t="n">
        <v>0</v>
      </c>
      <c r="BA241" s="74"/>
      <c r="BQ241" s="108" t="n">
        <v>36907.7428240741</v>
      </c>
      <c r="BR241" s="109" t="n">
        <v>36907.7434490741</v>
      </c>
      <c r="BS241" s="110" t="n">
        <v>43435</v>
      </c>
      <c r="BT241" s="111" t="n">
        <v>0</v>
      </c>
      <c r="BU241" s="112" t="n">
        <v>0</v>
      </c>
      <c r="BV241" s="112" t="n">
        <v>0</v>
      </c>
      <c r="BW241" s="112" t="n">
        <v>0</v>
      </c>
      <c r="BX241" s="113" t="n">
        <v>0</v>
      </c>
      <c r="BZ241" s="110" t="n">
        <v>43221</v>
      </c>
      <c r="CA241" s="116" t="n">
        <v>33.0239982604981</v>
      </c>
      <c r="CB241" s="116" t="n">
        <v>0</v>
      </c>
      <c r="CC241" s="116" t="n">
        <v>0</v>
      </c>
      <c r="CD241" s="116" t="n">
        <v>0</v>
      </c>
      <c r="CE241" s="117" t="n">
        <v>0</v>
      </c>
    </row>
    <row r="242" customFormat="false" ht="12.75" hidden="false" customHeight="false" outlineLevel="0" collapsed="false">
      <c r="A242" s="0" t="n">
        <f aca="true">IF(ISERROR(MATCH(D242,iRefDt,0)),"",MATCH(D242,iRefDt,0))</f>
        <v>233</v>
      </c>
      <c r="B242" s="92" t="n">
        <f aca="false">MATCH(YEAR(D242),iSpreads)</f>
        <v>18</v>
      </c>
      <c r="C242" s="0" t="n">
        <f aca="false">MONTH(D242)</f>
        <v>6</v>
      </c>
      <c r="D242" s="93" t="n">
        <f aca="false">+EnergyCurve!D242</f>
        <v>43252</v>
      </c>
      <c r="E242" s="94" t="n">
        <f aca="false">VLOOKUP($D242,tblPriorPrice,2)</f>
        <v>40.5209999084473</v>
      </c>
      <c r="F242" s="95" t="n">
        <f aca="false">G242-E242</f>
        <v>9.15527280653805E-008</v>
      </c>
      <c r="G242" s="264" t="n">
        <f aca="false">IF(EnergyCurve!G242&lt;200,0.001*EnergyCurve!G242+1,1.2)*EnergyCurve!G242</f>
        <v>40.521</v>
      </c>
      <c r="H242" s="96" t="n">
        <f aca="false">IF(EnergyCurve!H242&lt;200,0.001*EnergyCurve!H242+1,1.2)*EnergyCurve!H242</f>
        <v>35.156</v>
      </c>
      <c r="I242" s="96" t="n">
        <f aca="false">IF(EnergyCurve!I242&lt;200,0.001*EnergyCurve!I242+1,1.2)*EnergyCurve!I242</f>
        <v>76.041</v>
      </c>
      <c r="J242" s="94" t="n">
        <f aca="false">VLOOKUP($D242,tblPriorPrice,3)</f>
        <v>0</v>
      </c>
      <c r="K242" s="95" t="n">
        <f aca="false">L242-J242</f>
        <v>0</v>
      </c>
      <c r="L242" s="264" t="n">
        <v>0</v>
      </c>
      <c r="M242" s="96" t="n">
        <f aca="false">L242</f>
        <v>0</v>
      </c>
      <c r="N242" s="96" t="n">
        <f aca="false">L242</f>
        <v>0</v>
      </c>
      <c r="O242" s="58" t="n">
        <f aca="true">IF($A242="",0,INDEX(tblPosn,$A242,2))</f>
        <v>0</v>
      </c>
      <c r="P242" s="59" t="n">
        <f aca="true">IF($A242="",0,INDEX(tblPosn,$A242,3))</f>
        <v>0</v>
      </c>
      <c r="Q242" s="59" t="n">
        <f aca="true">IF($A242="",0,INDEX(tblPosn,$A242,4))</f>
        <v>0</v>
      </c>
      <c r="R242" s="59" t="n">
        <f aca="true">IF($A242="",0,INDEX(tblPosn,$A242,5))</f>
        <v>0</v>
      </c>
      <c r="S242" s="59" t="n">
        <f aca="true">IF($A242="",0,INDEX(tblPosn,$A242,6))</f>
        <v>0</v>
      </c>
      <c r="T242" s="98" t="n">
        <f aca="false">O242*F242+P242*K242+R242*AC242+S242*AH242/0.72+Q242*X242</f>
        <v>0</v>
      </c>
      <c r="V242" s="161" t="n">
        <f aca="false">D242</f>
        <v>43252</v>
      </c>
      <c r="W242" s="94" t="n">
        <f aca="false">VLOOKUP($D242,tblPriorPrice,4)</f>
        <v>0</v>
      </c>
      <c r="X242" s="162"/>
      <c r="Y242" s="176" t="n">
        <f aca="false">L242</f>
        <v>0</v>
      </c>
      <c r="Z242" s="177" t="n">
        <f aca="false">Y242</f>
        <v>0</v>
      </c>
      <c r="AA242" s="177" t="n">
        <f aca="false">Y242</f>
        <v>0</v>
      </c>
      <c r="AB242" s="94" t="n">
        <f aca="false">VLOOKUP($D242,tblPriorPrice,5)</f>
        <v>0</v>
      </c>
      <c r="AC242" s="162"/>
      <c r="AD242" s="176" t="n">
        <f aca="false">L242</f>
        <v>0</v>
      </c>
      <c r="AE242" s="96" t="n">
        <f aca="false">AD242</f>
        <v>0</v>
      </c>
      <c r="AF242" s="97" t="n">
        <f aca="false">AD242</f>
        <v>0</v>
      </c>
      <c r="AG242" s="94" t="n">
        <f aca="false">VLOOKUP($D242,tblPriorPrice,6)</f>
        <v>0</v>
      </c>
      <c r="AH242" s="182"/>
      <c r="AI242" s="189" t="n">
        <f aca="false">AG242+AH242</f>
        <v>0</v>
      </c>
      <c r="AJ242" s="96" t="n">
        <f aca="false">AI242</f>
        <v>0</v>
      </c>
      <c r="AK242" s="97" t="n">
        <f aca="false">AI242</f>
        <v>0</v>
      </c>
      <c r="AL242" s="178" t="n">
        <v>70</v>
      </c>
      <c r="AM242" s="165" t="n">
        <v>0.4</v>
      </c>
      <c r="AN242" s="166" t="n">
        <f aca="false">EnergyCurve!AN242*2</f>
        <v>0.34</v>
      </c>
      <c r="AO242" s="166" t="n">
        <f aca="false">EnergyCurve!AO242</f>
        <v>0.153</v>
      </c>
      <c r="AP242" s="166" t="n">
        <f aca="false">AN242*1.25</f>
        <v>0.425</v>
      </c>
      <c r="AQ242" s="166" t="n">
        <f aca="false">EnergyCurve!AQ242*2</f>
        <v>0.34</v>
      </c>
      <c r="AR242" s="166" t="n">
        <f aca="false">EnergyCurve!AR242</f>
        <v>0.136</v>
      </c>
      <c r="AS242" s="166" t="n">
        <f aca="false">EnergyCurve!AS242*1.25</f>
        <v>0.255</v>
      </c>
      <c r="AT242" s="168" t="n">
        <f aca="false">EnergyCurve!AT242*2*2</f>
        <v>8.27346121695085</v>
      </c>
      <c r="AU242" s="169" t="n">
        <f aca="false">EnergyCurve!AU242</f>
        <v>-0.517091326059428</v>
      </c>
      <c r="AV242" s="169" t="n">
        <f aca="false">AT242*1.25</f>
        <v>10.3418265211886</v>
      </c>
      <c r="AW242" s="168" t="n">
        <f aca="false">EnergyCurve!AW242*2*2</f>
        <v>9.7392</v>
      </c>
      <c r="AX242" s="169" t="n">
        <f aca="false">EnergyCurve!AX242</f>
        <v>-0.6087</v>
      </c>
      <c r="AY242" s="169" t="n">
        <f aca="false">AW242*1.25</f>
        <v>12.174</v>
      </c>
      <c r="AZ242" s="167" t="n">
        <v>0</v>
      </c>
      <c r="BA242" s="74"/>
      <c r="BQ242" s="108" t="n">
        <v>36907.7428240741</v>
      </c>
      <c r="BR242" s="109" t="n">
        <v>36907.7434490741</v>
      </c>
      <c r="BS242" s="110" t="n">
        <v>43466</v>
      </c>
      <c r="BT242" s="111" t="n">
        <v>0</v>
      </c>
      <c r="BU242" s="112" t="n">
        <v>0</v>
      </c>
      <c r="BV242" s="112" t="n">
        <v>0</v>
      </c>
      <c r="BW242" s="112" t="n">
        <v>0</v>
      </c>
      <c r="BX242" s="113" t="n">
        <v>0</v>
      </c>
      <c r="BZ242" s="110" t="n">
        <v>43252</v>
      </c>
      <c r="CA242" s="116" t="n">
        <v>40.5209999084473</v>
      </c>
      <c r="CB242" s="116" t="n">
        <v>0</v>
      </c>
      <c r="CC242" s="116" t="n">
        <v>0</v>
      </c>
      <c r="CD242" s="116" t="n">
        <v>0</v>
      </c>
      <c r="CE242" s="117" t="n">
        <v>0</v>
      </c>
    </row>
    <row r="243" customFormat="false" ht="12.75" hidden="false" customHeight="false" outlineLevel="0" collapsed="false">
      <c r="A243" s="0" t="n">
        <f aca="true">IF(ISERROR(MATCH(D243,iRefDt,0)),"",MATCH(D243,iRefDt,0))</f>
        <v>234</v>
      </c>
      <c r="B243" s="92" t="n">
        <f aca="false">MATCH(YEAR(D243),iSpreads)</f>
        <v>18</v>
      </c>
      <c r="C243" s="0" t="n">
        <f aca="false">MONTH(D243)</f>
        <v>7</v>
      </c>
      <c r="D243" s="93" t="n">
        <f aca="false">+EnergyCurve!D243</f>
        <v>43282</v>
      </c>
      <c r="E243" s="94" t="n">
        <f aca="false">VLOOKUP($D243,tblPriorPrice,2)</f>
        <v>40.5209999084473</v>
      </c>
      <c r="F243" s="95" t="n">
        <f aca="false">G243-E243</f>
        <v>9.15527280653805E-008</v>
      </c>
      <c r="G243" s="264" t="n">
        <f aca="false">IF(EnergyCurve!G243&lt;200,0.001*EnergyCurve!G243+1,1.2)*EnergyCurve!G243</f>
        <v>40.521</v>
      </c>
      <c r="H243" s="96" t="n">
        <f aca="false">IF(EnergyCurve!H243&lt;200,0.001*EnergyCurve!H243+1,1.2)*EnergyCurve!H243</f>
        <v>35.156</v>
      </c>
      <c r="I243" s="96" t="n">
        <f aca="false">IF(EnergyCurve!I243&lt;200,0.001*EnergyCurve!I243+1,1.2)*EnergyCurve!I243</f>
        <v>76.041</v>
      </c>
      <c r="J243" s="94" t="n">
        <f aca="false">VLOOKUP($D243,tblPriorPrice,3)</f>
        <v>0</v>
      </c>
      <c r="K243" s="95" t="n">
        <f aca="false">L243-J243</f>
        <v>0</v>
      </c>
      <c r="L243" s="264" t="n">
        <v>0</v>
      </c>
      <c r="M243" s="96" t="n">
        <f aca="false">L243</f>
        <v>0</v>
      </c>
      <c r="N243" s="96" t="n">
        <f aca="false">L243</f>
        <v>0</v>
      </c>
      <c r="O243" s="58" t="n">
        <f aca="true">IF($A243="",0,INDEX(tblPosn,$A243,2))</f>
        <v>0</v>
      </c>
      <c r="P243" s="59" t="n">
        <f aca="true">IF($A243="",0,INDEX(tblPosn,$A243,3))</f>
        <v>0</v>
      </c>
      <c r="Q243" s="59" t="n">
        <f aca="true">IF($A243="",0,INDEX(tblPosn,$A243,4))</f>
        <v>0</v>
      </c>
      <c r="R243" s="59" t="n">
        <f aca="true">IF($A243="",0,INDEX(tblPosn,$A243,5))</f>
        <v>0</v>
      </c>
      <c r="S243" s="59" t="n">
        <f aca="true">IF($A243="",0,INDEX(tblPosn,$A243,6))</f>
        <v>0</v>
      </c>
      <c r="T243" s="98" t="n">
        <f aca="false">O243*F243+P243*K243+R243*AC243+S243*AH243/0.72+Q243*X243</f>
        <v>0</v>
      </c>
      <c r="V243" s="161" t="n">
        <f aca="false">D243</f>
        <v>43282</v>
      </c>
      <c r="W243" s="94" t="n">
        <f aca="false">VLOOKUP($D243,tblPriorPrice,4)</f>
        <v>0</v>
      </c>
      <c r="X243" s="162"/>
      <c r="Y243" s="176" t="n">
        <f aca="false">L243</f>
        <v>0</v>
      </c>
      <c r="Z243" s="177" t="n">
        <f aca="false">Y243</f>
        <v>0</v>
      </c>
      <c r="AA243" s="177" t="n">
        <f aca="false">Y243</f>
        <v>0</v>
      </c>
      <c r="AB243" s="94" t="n">
        <f aca="false">VLOOKUP($D243,tblPriorPrice,5)</f>
        <v>0</v>
      </c>
      <c r="AC243" s="162"/>
      <c r="AD243" s="176" t="n">
        <f aca="false">L243</f>
        <v>0</v>
      </c>
      <c r="AE243" s="96" t="n">
        <f aca="false">AD243</f>
        <v>0</v>
      </c>
      <c r="AF243" s="97" t="n">
        <f aca="false">AD243</f>
        <v>0</v>
      </c>
      <c r="AG243" s="94" t="n">
        <f aca="false">VLOOKUP($D243,tblPriorPrice,6)</f>
        <v>0</v>
      </c>
      <c r="AH243" s="182"/>
      <c r="AI243" s="189" t="n">
        <f aca="false">AG243+AH243</f>
        <v>0</v>
      </c>
      <c r="AJ243" s="96" t="n">
        <f aca="false">AI243</f>
        <v>0</v>
      </c>
      <c r="AK243" s="97" t="n">
        <f aca="false">AI243</f>
        <v>0</v>
      </c>
      <c r="AL243" s="178" t="n">
        <v>71</v>
      </c>
      <c r="AM243" s="165" t="n">
        <v>0.4</v>
      </c>
      <c r="AN243" s="166" t="n">
        <f aca="false">EnergyCurve!AN243*2</f>
        <v>0.34</v>
      </c>
      <c r="AO243" s="166" t="n">
        <f aca="false">EnergyCurve!AO243</f>
        <v>0.153</v>
      </c>
      <c r="AP243" s="166" t="n">
        <f aca="false">AN243*1.25</f>
        <v>0.425</v>
      </c>
      <c r="AQ243" s="166" t="n">
        <f aca="false">EnergyCurve!AQ243*2</f>
        <v>0.34</v>
      </c>
      <c r="AR243" s="166" t="n">
        <f aca="false">EnergyCurve!AR243</f>
        <v>0.136</v>
      </c>
      <c r="AS243" s="166" t="n">
        <f aca="false">EnergyCurve!AS243*1.25</f>
        <v>0.255</v>
      </c>
      <c r="AT243" s="168" t="n">
        <f aca="false">EnergyCurve!AT243*2*2</f>
        <v>8.27346121695085</v>
      </c>
      <c r="AU243" s="169" t="n">
        <f aca="false">EnergyCurve!AU243</f>
        <v>-0.517091326059428</v>
      </c>
      <c r="AV243" s="169" t="n">
        <f aca="false">AT243*1.25</f>
        <v>10.3418265211886</v>
      </c>
      <c r="AW243" s="168" t="n">
        <f aca="false">EnergyCurve!AW243*2*2</f>
        <v>9.7392</v>
      </c>
      <c r="AX243" s="169" t="n">
        <f aca="false">EnergyCurve!AX243</f>
        <v>-0.6087</v>
      </c>
      <c r="AY243" s="169" t="n">
        <f aca="false">AW243*1.25</f>
        <v>12.174</v>
      </c>
      <c r="AZ243" s="167" t="n">
        <v>0</v>
      </c>
      <c r="BA243" s="74"/>
      <c r="BQ243" s="108" t="n">
        <v>36907.7428240741</v>
      </c>
      <c r="BR243" s="109" t="n">
        <v>36907.7434490741</v>
      </c>
      <c r="BS243" s="110" t="n">
        <v>43497</v>
      </c>
      <c r="BT243" s="111" t="n">
        <v>0</v>
      </c>
      <c r="BU243" s="112" t="n">
        <v>0</v>
      </c>
      <c r="BV243" s="112" t="n">
        <v>0</v>
      </c>
      <c r="BW243" s="112" t="n">
        <v>0</v>
      </c>
      <c r="BX243" s="113" t="n">
        <v>0</v>
      </c>
      <c r="BZ243" s="110" t="n">
        <v>43282</v>
      </c>
      <c r="CA243" s="116" t="n">
        <v>40.5209999084473</v>
      </c>
      <c r="CB243" s="116" t="n">
        <v>0</v>
      </c>
      <c r="CC243" s="116" t="n">
        <v>0</v>
      </c>
      <c r="CD243" s="116" t="n">
        <v>0</v>
      </c>
      <c r="CE243" s="117" t="n">
        <v>0</v>
      </c>
    </row>
    <row r="244" customFormat="false" ht="12.75" hidden="false" customHeight="false" outlineLevel="0" collapsed="false">
      <c r="A244" s="0" t="n">
        <f aca="true">IF(ISERROR(MATCH(D244,iRefDt,0)),"",MATCH(D244,iRefDt,0))</f>
        <v>235</v>
      </c>
      <c r="B244" s="92" t="n">
        <f aca="false">MATCH(YEAR(D244),iSpreads)</f>
        <v>18</v>
      </c>
      <c r="C244" s="0" t="n">
        <f aca="false">MONTH(D244)</f>
        <v>8</v>
      </c>
      <c r="D244" s="93" t="n">
        <f aca="false">+EnergyCurve!D244</f>
        <v>43313</v>
      </c>
      <c r="E244" s="94" t="n">
        <f aca="false">VLOOKUP($D244,tblPriorPrice,2)</f>
        <v>42.6809997558594</v>
      </c>
      <c r="F244" s="95" t="n">
        <f aca="false">G244-E244</f>
        <v>2.44140622385203E-007</v>
      </c>
      <c r="G244" s="264" t="n">
        <f aca="false">IF(EnergyCurve!G244&lt;200,0.001*EnergyCurve!G244+1,1.2)*EnergyCurve!G244</f>
        <v>42.681</v>
      </c>
      <c r="H244" s="96" t="n">
        <f aca="false">IF(EnergyCurve!H244&lt;200,0.001*EnergyCurve!H244+1,1.2)*EnergyCurve!H244</f>
        <v>37.296</v>
      </c>
      <c r="I244" s="96" t="n">
        <f aca="false">IF(EnergyCurve!I244&lt;200,0.001*EnergyCurve!I244+1,1.2)*EnergyCurve!I244</f>
        <v>78.329</v>
      </c>
      <c r="J244" s="94" t="n">
        <f aca="false">VLOOKUP($D244,tblPriorPrice,3)</f>
        <v>0</v>
      </c>
      <c r="K244" s="95" t="n">
        <f aca="false">L244-J244</f>
        <v>0</v>
      </c>
      <c r="L244" s="264" t="n">
        <v>0</v>
      </c>
      <c r="M244" s="96" t="n">
        <f aca="false">L244</f>
        <v>0</v>
      </c>
      <c r="N244" s="96" t="n">
        <f aca="false">L244</f>
        <v>0</v>
      </c>
      <c r="O244" s="58" t="n">
        <f aca="true">IF($A244="",0,INDEX(tblPosn,$A244,2))</f>
        <v>0</v>
      </c>
      <c r="P244" s="59" t="n">
        <f aca="true">IF($A244="",0,INDEX(tblPosn,$A244,3))</f>
        <v>0</v>
      </c>
      <c r="Q244" s="59" t="n">
        <f aca="true">IF($A244="",0,INDEX(tblPosn,$A244,4))</f>
        <v>0</v>
      </c>
      <c r="R244" s="59" t="n">
        <f aca="true">IF($A244="",0,INDEX(tblPosn,$A244,5))</f>
        <v>0</v>
      </c>
      <c r="S244" s="59" t="n">
        <f aca="true">IF($A244="",0,INDEX(tblPosn,$A244,6))</f>
        <v>0</v>
      </c>
      <c r="T244" s="98" t="n">
        <f aca="false">O244*F244+P244*K244+R244*AC244+S244*AH244/0.72+Q244*X244</f>
        <v>0</v>
      </c>
      <c r="V244" s="161" t="n">
        <f aca="false">D244</f>
        <v>43313</v>
      </c>
      <c r="W244" s="94" t="n">
        <f aca="false">VLOOKUP($D244,tblPriorPrice,4)</f>
        <v>0</v>
      </c>
      <c r="X244" s="162"/>
      <c r="Y244" s="176" t="n">
        <f aca="false">L244</f>
        <v>0</v>
      </c>
      <c r="Z244" s="177" t="n">
        <f aca="false">Y244</f>
        <v>0</v>
      </c>
      <c r="AA244" s="177" t="n">
        <f aca="false">Y244</f>
        <v>0</v>
      </c>
      <c r="AB244" s="94" t="n">
        <f aca="false">VLOOKUP($D244,tblPriorPrice,5)</f>
        <v>0</v>
      </c>
      <c r="AC244" s="162"/>
      <c r="AD244" s="176" t="n">
        <f aca="false">L244</f>
        <v>0</v>
      </c>
      <c r="AE244" s="96" t="n">
        <f aca="false">AD244</f>
        <v>0</v>
      </c>
      <c r="AF244" s="97" t="n">
        <f aca="false">AD244</f>
        <v>0</v>
      </c>
      <c r="AG244" s="94" t="n">
        <f aca="false">VLOOKUP($D244,tblPriorPrice,6)</f>
        <v>0</v>
      </c>
      <c r="AH244" s="182"/>
      <c r="AI244" s="189" t="n">
        <f aca="false">AG244+AH244</f>
        <v>0</v>
      </c>
      <c r="AJ244" s="96" t="n">
        <f aca="false">AI244</f>
        <v>0</v>
      </c>
      <c r="AK244" s="97" t="n">
        <f aca="false">AI244</f>
        <v>0</v>
      </c>
      <c r="AL244" s="178" t="n">
        <v>71</v>
      </c>
      <c r="AM244" s="165" t="n">
        <v>0.4</v>
      </c>
      <c r="AN244" s="166" t="n">
        <f aca="false">EnergyCurve!AN244*2</f>
        <v>0.34</v>
      </c>
      <c r="AO244" s="166" t="n">
        <f aca="false">EnergyCurve!AO244</f>
        <v>0.153</v>
      </c>
      <c r="AP244" s="166" t="n">
        <f aca="false">AN244*1.25</f>
        <v>0.425</v>
      </c>
      <c r="AQ244" s="166" t="n">
        <f aca="false">EnergyCurve!AQ244*2</f>
        <v>0.34</v>
      </c>
      <c r="AR244" s="166" t="n">
        <f aca="false">EnergyCurve!AR244</f>
        <v>0.136</v>
      </c>
      <c r="AS244" s="166" t="n">
        <f aca="false">EnergyCurve!AS244*1.25</f>
        <v>0.255</v>
      </c>
      <c r="AT244" s="168" t="n">
        <f aca="false">EnergyCurve!AT244*2*2</f>
        <v>8.83433884019377</v>
      </c>
      <c r="AU244" s="169" t="n">
        <f aca="false">EnergyCurve!AU244</f>
        <v>-0.552146177512111</v>
      </c>
      <c r="AV244" s="169" t="n">
        <f aca="false">AT244*1.25</f>
        <v>11.0429235502422</v>
      </c>
      <c r="AW244" s="168" t="n">
        <f aca="false">EnergyCurve!AW244*2*2</f>
        <v>9.5508</v>
      </c>
      <c r="AX244" s="169" t="n">
        <f aca="false">EnergyCurve!AX244</f>
        <v>-0.596925</v>
      </c>
      <c r="AY244" s="169" t="n">
        <f aca="false">AW244*1.25</f>
        <v>11.9385</v>
      </c>
      <c r="AZ244" s="167" t="n">
        <v>0</v>
      </c>
      <c r="BA244" s="74"/>
      <c r="BQ244" s="108" t="n">
        <v>36907.7428240741</v>
      </c>
      <c r="BR244" s="109" t="n">
        <v>36907.7434490741</v>
      </c>
      <c r="BS244" s="110" t="n">
        <v>43525</v>
      </c>
      <c r="BT244" s="111" t="n">
        <v>0</v>
      </c>
      <c r="BU244" s="112" t="n">
        <v>0</v>
      </c>
      <c r="BV244" s="112" t="n">
        <v>0</v>
      </c>
      <c r="BW244" s="112" t="n">
        <v>0</v>
      </c>
      <c r="BX244" s="113" t="n">
        <v>0</v>
      </c>
      <c r="BZ244" s="110" t="n">
        <v>43313</v>
      </c>
      <c r="CA244" s="116" t="n">
        <v>42.6809997558594</v>
      </c>
      <c r="CB244" s="116" t="n">
        <v>0</v>
      </c>
      <c r="CC244" s="116" t="n">
        <v>0</v>
      </c>
      <c r="CD244" s="116" t="n">
        <v>0</v>
      </c>
      <c r="CE244" s="117" t="n">
        <v>0</v>
      </c>
    </row>
    <row r="245" customFormat="false" ht="12.75" hidden="false" customHeight="false" outlineLevel="0" collapsed="false">
      <c r="A245" s="0" t="n">
        <f aca="true">IF(ISERROR(MATCH(D245,iRefDt,0)),"",MATCH(D245,iRefDt,0))</f>
        <v>236</v>
      </c>
      <c r="B245" s="92" t="n">
        <f aca="false">MATCH(YEAR(D245),iSpreads)</f>
        <v>18</v>
      </c>
      <c r="C245" s="0" t="n">
        <f aca="false">MONTH(D245)</f>
        <v>9</v>
      </c>
      <c r="D245" s="93" t="n">
        <f aca="false">+EnergyCurve!D245</f>
        <v>43344</v>
      </c>
      <c r="E245" s="94" t="n">
        <f aca="false">VLOOKUP($D245,tblPriorPrice,2)</f>
        <v>36.2249984741211</v>
      </c>
      <c r="F245" s="95" t="n">
        <f aca="false">G245-E245</f>
        <v>1.52587890056566E-006</v>
      </c>
      <c r="G245" s="264" t="n">
        <f aca="false">IF(EnergyCurve!G245&lt;200,0.001*EnergyCurve!G245+1,1.2)*EnergyCurve!G245</f>
        <v>36.225</v>
      </c>
      <c r="H245" s="96" t="n">
        <f aca="false">IF(EnergyCurve!H245&lt;200,0.001*EnergyCurve!H245+1,1.2)*EnergyCurve!H245</f>
        <v>30.9</v>
      </c>
      <c r="I245" s="96" t="n">
        <f aca="false">IF(EnergyCurve!I245&lt;200,0.001*EnergyCurve!I245+1,1.2)*EnergyCurve!I245</f>
        <v>71.489</v>
      </c>
      <c r="J245" s="94" t="n">
        <f aca="false">VLOOKUP($D245,tblPriorPrice,3)</f>
        <v>0</v>
      </c>
      <c r="K245" s="95" t="n">
        <f aca="false">L245-J245</f>
        <v>0</v>
      </c>
      <c r="L245" s="264" t="n">
        <v>0</v>
      </c>
      <c r="M245" s="96" t="n">
        <f aca="false">L245</f>
        <v>0</v>
      </c>
      <c r="N245" s="96" t="n">
        <f aca="false">L245</f>
        <v>0</v>
      </c>
      <c r="O245" s="58" t="n">
        <f aca="true">IF($A245="",0,INDEX(tblPosn,$A245,2))</f>
        <v>0</v>
      </c>
      <c r="P245" s="59" t="n">
        <f aca="true">IF($A245="",0,INDEX(tblPosn,$A245,3))</f>
        <v>0</v>
      </c>
      <c r="Q245" s="59" t="n">
        <f aca="true">IF($A245="",0,INDEX(tblPosn,$A245,4))</f>
        <v>0</v>
      </c>
      <c r="R245" s="59" t="n">
        <f aca="true">IF($A245="",0,INDEX(tblPosn,$A245,5))</f>
        <v>0</v>
      </c>
      <c r="S245" s="59" t="n">
        <f aca="true">IF($A245="",0,INDEX(tblPosn,$A245,6))</f>
        <v>0</v>
      </c>
      <c r="T245" s="98" t="n">
        <f aca="false">O245*F245+P245*K245+R245*AC245+S245*AH245/0.72+Q245*X245</f>
        <v>0</v>
      </c>
      <c r="V245" s="161" t="n">
        <f aca="false">D245</f>
        <v>43344</v>
      </c>
      <c r="W245" s="94" t="n">
        <f aca="false">VLOOKUP($D245,tblPriorPrice,4)</f>
        <v>0</v>
      </c>
      <c r="X245" s="162"/>
      <c r="Y245" s="176" t="n">
        <f aca="false">L245</f>
        <v>0</v>
      </c>
      <c r="Z245" s="177" t="n">
        <f aca="false">Y245</f>
        <v>0</v>
      </c>
      <c r="AA245" s="177" t="n">
        <f aca="false">Y245</f>
        <v>0</v>
      </c>
      <c r="AB245" s="94" t="n">
        <f aca="false">VLOOKUP($D245,tblPriorPrice,5)</f>
        <v>0</v>
      </c>
      <c r="AC245" s="162"/>
      <c r="AD245" s="176" t="n">
        <f aca="false">L245</f>
        <v>0</v>
      </c>
      <c r="AE245" s="96" t="n">
        <f aca="false">AD245</f>
        <v>0</v>
      </c>
      <c r="AF245" s="97" t="n">
        <f aca="false">AD245</f>
        <v>0</v>
      </c>
      <c r="AG245" s="94" t="n">
        <f aca="false">VLOOKUP($D245,tblPriorPrice,6)</f>
        <v>0</v>
      </c>
      <c r="AH245" s="182"/>
      <c r="AI245" s="189" t="n">
        <f aca="false">AG245+AH245</f>
        <v>0</v>
      </c>
      <c r="AJ245" s="96" t="n">
        <f aca="false">AI245</f>
        <v>0</v>
      </c>
      <c r="AK245" s="97" t="n">
        <f aca="false">AI245</f>
        <v>0</v>
      </c>
      <c r="AL245" s="178" t="n">
        <v>71</v>
      </c>
      <c r="AM245" s="165" t="n">
        <v>0.4</v>
      </c>
      <c r="AN245" s="166" t="n">
        <f aca="false">EnergyCurve!AN245*2</f>
        <v>0.34</v>
      </c>
      <c r="AO245" s="166" t="n">
        <f aca="false">EnergyCurve!AO245</f>
        <v>0.153</v>
      </c>
      <c r="AP245" s="166" t="n">
        <f aca="false">AN245*1.25</f>
        <v>0.425</v>
      </c>
      <c r="AQ245" s="166" t="n">
        <f aca="false">EnergyCurve!AQ245*2</f>
        <v>0.34</v>
      </c>
      <c r="AR245" s="166" t="n">
        <f aca="false">EnergyCurve!AR245</f>
        <v>0.136</v>
      </c>
      <c r="AS245" s="166" t="n">
        <f aca="false">EnergyCurve!AS245*1.25</f>
        <v>0.255</v>
      </c>
      <c r="AT245" s="168" t="n">
        <f aca="false">EnergyCurve!AT245*2*2</f>
        <v>7.29020125079811</v>
      </c>
      <c r="AU245" s="169" t="n">
        <f aca="false">EnergyCurve!AU245</f>
        <v>-0.455637578174882</v>
      </c>
      <c r="AV245" s="169" t="n">
        <f aca="false">AT245*1.25</f>
        <v>9.11275156349763</v>
      </c>
      <c r="AW245" s="168" t="n">
        <f aca="false">EnergyCurve!AW245*2*2</f>
        <v>10.116</v>
      </c>
      <c r="AX245" s="169" t="n">
        <f aca="false">EnergyCurve!AX245</f>
        <v>-0.63225</v>
      </c>
      <c r="AY245" s="169" t="n">
        <f aca="false">AW245*1.25</f>
        <v>12.645</v>
      </c>
      <c r="AZ245" s="167" t="n">
        <v>0</v>
      </c>
      <c r="BA245" s="74"/>
      <c r="BQ245" s="108" t="n">
        <v>36907.7428240741</v>
      </c>
      <c r="BR245" s="109" t="n">
        <v>36907.7434490741</v>
      </c>
      <c r="BS245" s="110" t="n">
        <v>43556</v>
      </c>
      <c r="BT245" s="111" t="n">
        <v>0</v>
      </c>
      <c r="BU245" s="112" t="n">
        <v>0</v>
      </c>
      <c r="BV245" s="112" t="n">
        <v>0</v>
      </c>
      <c r="BW245" s="112" t="n">
        <v>0</v>
      </c>
      <c r="BX245" s="113" t="n">
        <v>0</v>
      </c>
      <c r="BZ245" s="110" t="n">
        <v>43344</v>
      </c>
      <c r="CA245" s="116" t="n">
        <v>36.2249984741211</v>
      </c>
      <c r="CB245" s="116" t="n">
        <v>0</v>
      </c>
      <c r="CC245" s="116" t="n">
        <v>0</v>
      </c>
      <c r="CD245" s="116" t="n">
        <v>0</v>
      </c>
      <c r="CE245" s="117" t="n">
        <v>0</v>
      </c>
    </row>
    <row r="246" customFormat="false" ht="12.75" hidden="false" customHeight="false" outlineLevel="0" collapsed="false">
      <c r="A246" s="0" t="n">
        <f aca="true">IF(ISERROR(MATCH(D246,iRefDt,0)),"",MATCH(D246,iRefDt,0))</f>
        <v>237</v>
      </c>
      <c r="B246" s="92" t="n">
        <f aca="false">MATCH(YEAR(D246),iSpreads)</f>
        <v>18</v>
      </c>
      <c r="C246" s="0" t="n">
        <f aca="false">MONTH(D246)</f>
        <v>10</v>
      </c>
      <c r="D246" s="93" t="n">
        <f aca="false">+EnergyCurve!D246</f>
        <v>43374</v>
      </c>
      <c r="E246" s="94" t="n">
        <f aca="false">VLOOKUP($D246,tblPriorPrice,2)</f>
        <v>38.3689994812012</v>
      </c>
      <c r="F246" s="95" t="n">
        <f aca="false">G246-E246</f>
        <v>5.18798827897626E-007</v>
      </c>
      <c r="G246" s="264" t="n">
        <f aca="false">IF(EnergyCurve!G246&lt;200,0.001*EnergyCurve!G246+1,1.2)*EnergyCurve!G246</f>
        <v>38.369</v>
      </c>
      <c r="H246" s="96" t="n">
        <f aca="false">IF(EnergyCurve!H246&lt;200,0.001*EnergyCurve!H246+1,1.2)*EnergyCurve!H246</f>
        <v>33.024</v>
      </c>
      <c r="I246" s="96" t="n">
        <f aca="false">IF(EnergyCurve!I246&lt;200,0.001*EnergyCurve!I246+1,1.2)*EnergyCurve!I246</f>
        <v>73.761</v>
      </c>
      <c r="J246" s="94" t="n">
        <f aca="false">VLOOKUP($D246,tblPriorPrice,3)</f>
        <v>0</v>
      </c>
      <c r="K246" s="95" t="n">
        <f aca="false">L246-J246</f>
        <v>0</v>
      </c>
      <c r="L246" s="264" t="n">
        <v>0</v>
      </c>
      <c r="M246" s="96" t="n">
        <f aca="false">L246</f>
        <v>0</v>
      </c>
      <c r="N246" s="96" t="n">
        <f aca="false">L246</f>
        <v>0</v>
      </c>
      <c r="O246" s="58" t="n">
        <f aca="true">IF($A246="",0,INDEX(tblPosn,$A246,2))</f>
        <v>0</v>
      </c>
      <c r="P246" s="59" t="n">
        <f aca="true">IF($A246="",0,INDEX(tblPosn,$A246,3))</f>
        <v>0</v>
      </c>
      <c r="Q246" s="59" t="n">
        <f aca="true">IF($A246="",0,INDEX(tblPosn,$A246,4))</f>
        <v>0</v>
      </c>
      <c r="R246" s="59" t="n">
        <f aca="true">IF($A246="",0,INDEX(tblPosn,$A246,5))</f>
        <v>0</v>
      </c>
      <c r="S246" s="59" t="n">
        <f aca="true">IF($A246="",0,INDEX(tblPosn,$A246,6))</f>
        <v>0</v>
      </c>
      <c r="T246" s="98" t="n">
        <f aca="false">O246*F246+P246*K246+R246*AC246+S246*AH246/0.72+Q246*X246</f>
        <v>0</v>
      </c>
      <c r="V246" s="161" t="n">
        <f aca="false">D246</f>
        <v>43374</v>
      </c>
      <c r="W246" s="94" t="n">
        <f aca="false">VLOOKUP($D246,tblPriorPrice,4)</f>
        <v>0</v>
      </c>
      <c r="X246" s="162"/>
      <c r="Y246" s="176" t="n">
        <f aca="false">L246</f>
        <v>0</v>
      </c>
      <c r="Z246" s="177" t="n">
        <f aca="false">Y246</f>
        <v>0</v>
      </c>
      <c r="AA246" s="177" t="n">
        <f aca="false">Y246</f>
        <v>0</v>
      </c>
      <c r="AB246" s="94" t="n">
        <f aca="false">VLOOKUP($D246,tblPriorPrice,5)</f>
        <v>0</v>
      </c>
      <c r="AC246" s="162"/>
      <c r="AD246" s="176" t="n">
        <f aca="false">L246</f>
        <v>0</v>
      </c>
      <c r="AE246" s="96" t="n">
        <f aca="false">AD246</f>
        <v>0</v>
      </c>
      <c r="AF246" s="97" t="n">
        <f aca="false">AD246</f>
        <v>0</v>
      </c>
      <c r="AG246" s="94" t="n">
        <f aca="false">VLOOKUP($D246,tblPriorPrice,6)</f>
        <v>0</v>
      </c>
      <c r="AH246" s="182"/>
      <c r="AI246" s="189" t="n">
        <f aca="false">AG246+AH246</f>
        <v>0</v>
      </c>
      <c r="AJ246" s="96" t="n">
        <f aca="false">AI246</f>
        <v>0</v>
      </c>
      <c r="AK246" s="97" t="n">
        <f aca="false">AI246</f>
        <v>0</v>
      </c>
      <c r="AL246" s="178" t="n">
        <v>72</v>
      </c>
      <c r="AM246" s="165" t="n">
        <v>0.4</v>
      </c>
      <c r="AN246" s="166" t="n">
        <f aca="false">EnergyCurve!AN246*2</f>
        <v>0.34</v>
      </c>
      <c r="AO246" s="166" t="n">
        <f aca="false">EnergyCurve!AO246</f>
        <v>0.153</v>
      </c>
      <c r="AP246" s="166" t="n">
        <f aca="false">AN246*1.25</f>
        <v>0.425</v>
      </c>
      <c r="AQ246" s="166" t="n">
        <f aca="false">EnergyCurve!AQ246*2</f>
        <v>0.34</v>
      </c>
      <c r="AR246" s="166" t="n">
        <f aca="false">EnergyCurve!AR246</f>
        <v>0.136</v>
      </c>
      <c r="AS246" s="166" t="n">
        <f aca="false">EnergyCurve!AS246*1.25</f>
        <v>0.255</v>
      </c>
      <c r="AT246" s="168" t="n">
        <f aca="false">EnergyCurve!AT246*2*2</f>
        <v>7.75576329559925</v>
      </c>
      <c r="AU246" s="169" t="n">
        <f aca="false">EnergyCurve!AU246</f>
        <v>-0.484735205974953</v>
      </c>
      <c r="AV246" s="169" t="n">
        <f aca="false">AT246*1.25</f>
        <v>9.69470411949907</v>
      </c>
      <c r="AW246" s="168" t="n">
        <f aca="false">EnergyCurve!AW246*2*2</f>
        <v>9.9276</v>
      </c>
      <c r="AX246" s="169" t="n">
        <f aca="false">EnergyCurve!AX246</f>
        <v>-0.620475</v>
      </c>
      <c r="AY246" s="169" t="n">
        <f aca="false">AW246*1.25</f>
        <v>12.4095</v>
      </c>
      <c r="AZ246" s="167" t="n">
        <v>0</v>
      </c>
      <c r="BA246" s="74"/>
      <c r="BQ246" s="108" t="n">
        <v>36907.7428240741</v>
      </c>
      <c r="BR246" s="109" t="n">
        <v>36907.7434490741</v>
      </c>
      <c r="BS246" s="110" t="n">
        <v>43586</v>
      </c>
      <c r="BT246" s="111" t="n">
        <v>0</v>
      </c>
      <c r="BU246" s="112" t="n">
        <v>0</v>
      </c>
      <c r="BV246" s="112" t="n">
        <v>0</v>
      </c>
      <c r="BW246" s="112" t="n">
        <v>0</v>
      </c>
      <c r="BX246" s="113" t="n">
        <v>0</v>
      </c>
      <c r="BZ246" s="110" t="n">
        <v>43374</v>
      </c>
      <c r="CA246" s="116" t="n">
        <v>38.3689994812012</v>
      </c>
      <c r="CB246" s="116" t="n">
        <v>0</v>
      </c>
      <c r="CC246" s="116" t="n">
        <v>0</v>
      </c>
      <c r="CD246" s="116" t="n">
        <v>0</v>
      </c>
      <c r="CE246" s="117" t="n">
        <v>0</v>
      </c>
    </row>
    <row r="247" customFormat="false" ht="12.75" hidden="false" customHeight="false" outlineLevel="0" collapsed="false">
      <c r="A247" s="0" t="n">
        <f aca="true">IF(ISERROR(MATCH(D247,iRefDt,0)),"",MATCH(D247,iRefDt,0))</f>
        <v>238</v>
      </c>
      <c r="B247" s="92" t="n">
        <f aca="false">MATCH(YEAR(D247),iSpreads)</f>
        <v>18</v>
      </c>
      <c r="C247" s="0" t="n">
        <f aca="false">MONTH(D247)</f>
        <v>11</v>
      </c>
      <c r="D247" s="93" t="n">
        <f aca="false">+EnergyCurve!D247</f>
        <v>43405</v>
      </c>
      <c r="E247" s="94" t="n">
        <f aca="false">VLOOKUP($D247,tblPriorPrice,2)</f>
        <v>31.9610004425049</v>
      </c>
      <c r="F247" s="95" t="n">
        <f aca="false">G247-E247</f>
        <v>-4.42504884290429E-007</v>
      </c>
      <c r="G247" s="264" t="n">
        <f aca="false">IF(EnergyCurve!G247&lt;200,0.001*EnergyCurve!G247+1,1.2)*EnergyCurve!G247</f>
        <v>31.961</v>
      </c>
      <c r="H247" s="96" t="n">
        <f aca="false">IF(EnergyCurve!H247&lt;200,0.001*EnergyCurve!H247+1,1.2)*EnergyCurve!H247</f>
        <v>26.676</v>
      </c>
      <c r="I247" s="96" t="n">
        <f aca="false">IF(EnergyCurve!I247&lt;200,0.001*EnergyCurve!I247+1,1.2)*EnergyCurve!I247</f>
        <v>66.969</v>
      </c>
      <c r="J247" s="94" t="n">
        <f aca="false">VLOOKUP($D247,tblPriorPrice,3)</f>
        <v>0</v>
      </c>
      <c r="K247" s="95" t="n">
        <f aca="false">L247-J247</f>
        <v>0</v>
      </c>
      <c r="L247" s="264" t="n">
        <v>0</v>
      </c>
      <c r="M247" s="96" t="n">
        <f aca="false">L247</f>
        <v>0</v>
      </c>
      <c r="N247" s="96" t="n">
        <f aca="false">L247</f>
        <v>0</v>
      </c>
      <c r="O247" s="58" t="n">
        <f aca="true">IF($A247="",0,INDEX(tblPosn,$A247,2))</f>
        <v>0</v>
      </c>
      <c r="P247" s="59" t="n">
        <f aca="true">IF($A247="",0,INDEX(tblPosn,$A247,3))</f>
        <v>0</v>
      </c>
      <c r="Q247" s="59" t="n">
        <f aca="true">IF($A247="",0,INDEX(tblPosn,$A247,4))</f>
        <v>0</v>
      </c>
      <c r="R247" s="59" t="n">
        <f aca="true">IF($A247="",0,INDEX(tblPosn,$A247,5))</f>
        <v>0</v>
      </c>
      <c r="S247" s="59" t="n">
        <f aca="true">IF($A247="",0,INDEX(tblPosn,$A247,6))</f>
        <v>0</v>
      </c>
      <c r="T247" s="98" t="n">
        <f aca="false">O247*F247+P247*K247+R247*AC247+S247*AH247/0.72+Q247*X247</f>
        <v>0</v>
      </c>
      <c r="V247" s="161" t="n">
        <f aca="false">D247</f>
        <v>43405</v>
      </c>
      <c r="W247" s="94" t="n">
        <f aca="false">VLOOKUP($D247,tblPriorPrice,4)</f>
        <v>0</v>
      </c>
      <c r="X247" s="162"/>
      <c r="Y247" s="176" t="n">
        <f aca="false">L247</f>
        <v>0</v>
      </c>
      <c r="Z247" s="177" t="n">
        <f aca="false">Y247</f>
        <v>0</v>
      </c>
      <c r="AA247" s="177" t="n">
        <f aca="false">Y247</f>
        <v>0</v>
      </c>
      <c r="AB247" s="94" t="n">
        <f aca="false">VLOOKUP($D247,tblPriorPrice,5)</f>
        <v>0</v>
      </c>
      <c r="AC247" s="162"/>
      <c r="AD247" s="176" t="n">
        <f aca="false">L247</f>
        <v>0</v>
      </c>
      <c r="AE247" s="96" t="n">
        <f aca="false">AD247</f>
        <v>0</v>
      </c>
      <c r="AF247" s="97" t="n">
        <f aca="false">AD247</f>
        <v>0</v>
      </c>
      <c r="AG247" s="94" t="n">
        <f aca="false">VLOOKUP($D247,tblPriorPrice,6)</f>
        <v>0</v>
      </c>
      <c r="AH247" s="182"/>
      <c r="AI247" s="189" t="n">
        <f aca="false">AG247+AH247</f>
        <v>0</v>
      </c>
      <c r="AJ247" s="96" t="n">
        <f aca="false">AI247</f>
        <v>0</v>
      </c>
      <c r="AK247" s="97" t="n">
        <f aca="false">AI247</f>
        <v>0</v>
      </c>
      <c r="AL247" s="178" t="n">
        <v>72</v>
      </c>
      <c r="AM247" s="165" t="n">
        <v>0.4</v>
      </c>
      <c r="AN247" s="166" t="n">
        <f aca="false">EnergyCurve!AN247*2</f>
        <v>0.34</v>
      </c>
      <c r="AO247" s="166" t="n">
        <f aca="false">EnergyCurve!AO247</f>
        <v>0.153</v>
      </c>
      <c r="AP247" s="166" t="n">
        <f aca="false">AN247*1.25</f>
        <v>0.425</v>
      </c>
      <c r="AQ247" s="166" t="n">
        <f aca="false">EnergyCurve!AQ247*2</f>
        <v>0.34</v>
      </c>
      <c r="AR247" s="166" t="n">
        <f aca="false">EnergyCurve!AR247</f>
        <v>0.136</v>
      </c>
      <c r="AS247" s="166" t="n">
        <f aca="false">EnergyCurve!AS247*1.25</f>
        <v>0.255</v>
      </c>
      <c r="AT247" s="168" t="n">
        <f aca="false">EnergyCurve!AT247*2*2</f>
        <v>6.56235962744143</v>
      </c>
      <c r="AU247" s="169" t="n">
        <f aca="false">EnergyCurve!AU247</f>
        <v>-0.410147476715089</v>
      </c>
      <c r="AV247" s="169" t="n">
        <f aca="false">AT247*1.25</f>
        <v>8.20294953430178</v>
      </c>
      <c r="AW247" s="168" t="n">
        <f aca="false">EnergyCurve!AW247*2*2</f>
        <v>10.4928</v>
      </c>
      <c r="AX247" s="169" t="n">
        <f aca="false">EnergyCurve!AX247</f>
        <v>-0.6558</v>
      </c>
      <c r="AY247" s="169" t="n">
        <f aca="false">AW247*1.25</f>
        <v>13.116</v>
      </c>
      <c r="AZ247" s="167" t="n">
        <v>0</v>
      </c>
      <c r="BA247" s="74"/>
      <c r="BQ247" s="108" t="n">
        <v>36907.7428240741</v>
      </c>
      <c r="BR247" s="109" t="n">
        <v>36907.7434490741</v>
      </c>
      <c r="BS247" s="110" t="n">
        <v>43617</v>
      </c>
      <c r="BT247" s="111" t="n">
        <v>0</v>
      </c>
      <c r="BU247" s="112" t="n">
        <v>0</v>
      </c>
      <c r="BV247" s="112" t="n">
        <v>0</v>
      </c>
      <c r="BW247" s="112" t="n">
        <v>0</v>
      </c>
      <c r="BX247" s="113" t="n">
        <v>0</v>
      </c>
      <c r="BZ247" s="110" t="n">
        <v>43405</v>
      </c>
      <c r="CA247" s="116" t="n">
        <v>31.9610004425049</v>
      </c>
      <c r="CB247" s="116" t="n">
        <v>0</v>
      </c>
      <c r="CC247" s="116" t="n">
        <v>0</v>
      </c>
      <c r="CD247" s="116" t="n">
        <v>0</v>
      </c>
      <c r="CE247" s="117" t="n">
        <v>0</v>
      </c>
    </row>
    <row r="248" customFormat="false" ht="12.75" hidden="false" customHeight="false" outlineLevel="0" collapsed="false">
      <c r="A248" s="0" t="n">
        <f aca="true">IF(ISERROR(MATCH(D248,iRefDt,0)),"",MATCH(D248,iRefDt,0))</f>
        <v>239</v>
      </c>
      <c r="B248" s="92" t="n">
        <f aca="false">MATCH(YEAR(D248),iSpreads)</f>
        <v>18</v>
      </c>
      <c r="C248" s="0" t="n">
        <f aca="false">MONTH(D248)</f>
        <v>12</v>
      </c>
      <c r="D248" s="93" t="n">
        <f aca="false">+EnergyCurve!D248</f>
        <v>43435</v>
      </c>
      <c r="E248" s="94" t="n">
        <f aca="false">VLOOKUP($D248,tblPriorPrice,2)</f>
        <v>33.0239982604981</v>
      </c>
      <c r="F248" s="95" t="n">
        <f aca="false">G248-E248</f>
        <v>1.73950195403449E-006</v>
      </c>
      <c r="G248" s="264" t="n">
        <f aca="false">IF(EnergyCurve!G248&lt;200,0.001*EnergyCurve!G248+1,1.2)*EnergyCurve!G248</f>
        <v>33.024</v>
      </c>
      <c r="H248" s="96" t="n">
        <f aca="false">IF(EnergyCurve!H248&lt;200,0.001*EnergyCurve!H248+1,1.2)*EnergyCurve!H248</f>
        <v>27.729</v>
      </c>
      <c r="I248" s="96" t="n">
        <f aca="false">IF(EnergyCurve!I248&lt;200,0.001*EnergyCurve!I248+1,1.2)*EnergyCurve!I248</f>
        <v>68.096</v>
      </c>
      <c r="J248" s="94" t="n">
        <f aca="false">VLOOKUP($D248,tblPriorPrice,3)</f>
        <v>0</v>
      </c>
      <c r="K248" s="95" t="n">
        <f aca="false">L248-J248</f>
        <v>0</v>
      </c>
      <c r="L248" s="264" t="n">
        <v>0</v>
      </c>
      <c r="M248" s="96" t="n">
        <f aca="false">L248</f>
        <v>0</v>
      </c>
      <c r="N248" s="96" t="n">
        <f aca="false">L248</f>
        <v>0</v>
      </c>
      <c r="O248" s="58" t="n">
        <f aca="true">IF($A248="",0,INDEX(tblPosn,$A248,2))</f>
        <v>0</v>
      </c>
      <c r="P248" s="59" t="n">
        <f aca="true">IF($A248="",0,INDEX(tblPosn,$A248,3))</f>
        <v>0</v>
      </c>
      <c r="Q248" s="59" t="n">
        <f aca="true">IF($A248="",0,INDEX(tblPosn,$A248,4))</f>
        <v>0</v>
      </c>
      <c r="R248" s="59" t="n">
        <f aca="true">IF($A248="",0,INDEX(tblPosn,$A248,5))</f>
        <v>0</v>
      </c>
      <c r="S248" s="59" t="n">
        <f aca="true">IF($A248="",0,INDEX(tblPosn,$A248,6))</f>
        <v>0</v>
      </c>
      <c r="T248" s="98" t="n">
        <f aca="false">O248*F248+P248*K248+R248*AC248+S248*AH248/0.72+Q248*X248</f>
        <v>0</v>
      </c>
      <c r="V248" s="161" t="n">
        <f aca="false">D248</f>
        <v>43435</v>
      </c>
      <c r="W248" s="94" t="n">
        <f aca="false">VLOOKUP($D248,tblPriorPrice,4)</f>
        <v>0</v>
      </c>
      <c r="X248" s="162"/>
      <c r="Y248" s="176" t="n">
        <f aca="false">L248</f>
        <v>0</v>
      </c>
      <c r="Z248" s="177" t="n">
        <f aca="false">Y248</f>
        <v>0</v>
      </c>
      <c r="AA248" s="177" t="n">
        <f aca="false">Y248</f>
        <v>0</v>
      </c>
      <c r="AB248" s="94" t="n">
        <f aca="false">VLOOKUP($D248,tblPriorPrice,5)</f>
        <v>0</v>
      </c>
      <c r="AC248" s="162"/>
      <c r="AD248" s="176" t="n">
        <f aca="false">L248</f>
        <v>0</v>
      </c>
      <c r="AE248" s="96" t="n">
        <f aca="false">AD248</f>
        <v>0</v>
      </c>
      <c r="AF248" s="97" t="n">
        <f aca="false">AD248</f>
        <v>0</v>
      </c>
      <c r="AG248" s="94" t="n">
        <f aca="false">VLOOKUP($D248,tblPriorPrice,6)</f>
        <v>0</v>
      </c>
      <c r="AH248" s="182"/>
      <c r="AI248" s="189" t="n">
        <f aca="false">AG248+AH248</f>
        <v>0</v>
      </c>
      <c r="AJ248" s="96" t="n">
        <f aca="false">AI248</f>
        <v>0</v>
      </c>
      <c r="AK248" s="97" t="n">
        <f aca="false">AI248</f>
        <v>0</v>
      </c>
      <c r="AL248" s="178" t="n">
        <v>72</v>
      </c>
      <c r="AM248" s="165" t="n">
        <v>0.4</v>
      </c>
      <c r="AN248" s="166" t="n">
        <f aca="false">EnergyCurve!AN248*2</f>
        <v>0.34</v>
      </c>
      <c r="AO248" s="166" t="n">
        <f aca="false">EnergyCurve!AO248</f>
        <v>0.153</v>
      </c>
      <c r="AP248" s="166" t="n">
        <f aca="false">AN248*1.25</f>
        <v>0.425</v>
      </c>
      <c r="AQ248" s="166" t="n">
        <f aca="false">EnergyCurve!AQ248*2</f>
        <v>0.34</v>
      </c>
      <c r="AR248" s="166" t="n">
        <f aca="false">EnergyCurve!AR248</f>
        <v>0.136</v>
      </c>
      <c r="AS248" s="166" t="n">
        <f aca="false">EnergyCurve!AS248*1.25</f>
        <v>0.255</v>
      </c>
      <c r="AT248" s="168" t="n">
        <f aca="false">EnergyCurve!AT248*2*2</f>
        <v>6.71448638739126</v>
      </c>
      <c r="AU248" s="169" t="n">
        <f aca="false">EnergyCurve!AU248</f>
        <v>-0.419655399211954</v>
      </c>
      <c r="AV248" s="169" t="n">
        <f aca="false">AT248*1.25</f>
        <v>8.39310798423907</v>
      </c>
      <c r="AW248" s="168" t="n">
        <f aca="false">EnergyCurve!AW248*2*2</f>
        <v>10.6812</v>
      </c>
      <c r="AX248" s="169" t="n">
        <f aca="false">EnergyCurve!AX248</f>
        <v>-0.667575</v>
      </c>
      <c r="AY248" s="169" t="n">
        <f aca="false">AW248*1.25</f>
        <v>13.3515</v>
      </c>
      <c r="AZ248" s="167" t="n">
        <v>0</v>
      </c>
      <c r="BA248" s="74"/>
      <c r="BQ248" s="108" t="n">
        <v>36907.7428240741</v>
      </c>
      <c r="BR248" s="109" t="n">
        <v>36907.7434490741</v>
      </c>
      <c r="BS248" s="110" t="n">
        <v>43647</v>
      </c>
      <c r="BT248" s="111" t="n">
        <v>0</v>
      </c>
      <c r="BU248" s="112" t="n">
        <v>0</v>
      </c>
      <c r="BV248" s="112" t="n">
        <v>0</v>
      </c>
      <c r="BW248" s="112" t="n">
        <v>0</v>
      </c>
      <c r="BX248" s="113" t="n">
        <v>0</v>
      </c>
      <c r="BZ248" s="110" t="n">
        <v>43435</v>
      </c>
      <c r="CA248" s="116" t="n">
        <v>33.0239982604981</v>
      </c>
      <c r="CB248" s="116" t="n">
        <v>0</v>
      </c>
      <c r="CC248" s="116" t="n">
        <v>0</v>
      </c>
      <c r="CD248" s="116" t="n">
        <v>0</v>
      </c>
      <c r="CE248" s="117" t="n">
        <v>0</v>
      </c>
    </row>
    <row r="249" customFormat="false" ht="12.75" hidden="false" customHeight="false" outlineLevel="0" collapsed="false">
      <c r="A249" s="0" t="n">
        <f aca="true">IF(ISERROR(MATCH(D249,iRefDt,0)),"",MATCH(D249,iRefDt,0))</f>
        <v>240</v>
      </c>
      <c r="B249" s="92" t="n">
        <f aca="false">MATCH(YEAR(D249),iSpreads)</f>
        <v>19</v>
      </c>
      <c r="C249" s="0" t="n">
        <f aca="false">MONTH(D249)</f>
        <v>1</v>
      </c>
      <c r="D249" s="93" t="n">
        <f aca="false">+EnergyCurve!D249</f>
        <v>43466</v>
      </c>
      <c r="E249" s="94" t="n">
        <f aca="false">VLOOKUP($D249,tblPriorPrice,2)</f>
        <v>34.0890007019043</v>
      </c>
      <c r="F249" s="95" t="n">
        <f aca="false">G249-E249</f>
        <v>-7.01904298239242E-007</v>
      </c>
      <c r="G249" s="264" t="n">
        <f aca="false">IF(EnergyCurve!G249&lt;200,0.001*EnergyCurve!G249+1,1.2)*EnergyCurve!G249</f>
        <v>34.089</v>
      </c>
      <c r="H249" s="96" t="n">
        <f aca="false">IF(EnergyCurve!H249&lt;200,0.001*EnergyCurve!H249+1,1.2)*EnergyCurve!H249</f>
        <v>28.784</v>
      </c>
      <c r="I249" s="96" t="n">
        <f aca="false">IF(EnergyCurve!I249&lt;200,0.001*EnergyCurve!I249+1,1.2)*EnergyCurve!I249</f>
        <v>70.356</v>
      </c>
      <c r="J249" s="94" t="n">
        <f aca="false">VLOOKUP($D249,tblPriorPrice,3)</f>
        <v>0</v>
      </c>
      <c r="K249" s="95" t="n">
        <f aca="false">L249-J249</f>
        <v>0</v>
      </c>
      <c r="L249" s="264" t="n">
        <v>0</v>
      </c>
      <c r="M249" s="96" t="n">
        <f aca="false">L249</f>
        <v>0</v>
      </c>
      <c r="N249" s="96" t="n">
        <f aca="false">L249</f>
        <v>0</v>
      </c>
      <c r="O249" s="58" t="n">
        <f aca="true">IF($A249="",0,INDEX(tblPosn,$A249,2))</f>
        <v>0</v>
      </c>
      <c r="P249" s="59" t="n">
        <f aca="true">IF($A249="",0,INDEX(tblPosn,$A249,3))</f>
        <v>0</v>
      </c>
      <c r="Q249" s="59" t="n">
        <f aca="true">IF($A249="",0,INDEX(tblPosn,$A249,4))</f>
        <v>0</v>
      </c>
      <c r="R249" s="59" t="n">
        <f aca="true">IF($A249="",0,INDEX(tblPosn,$A249,5))</f>
        <v>0</v>
      </c>
      <c r="S249" s="59" t="n">
        <f aca="true">IF($A249="",0,INDEX(tblPosn,$A249,6))</f>
        <v>0</v>
      </c>
      <c r="T249" s="98" t="n">
        <f aca="false">O249*F249+P249*K249+R249*AC249+S249*AH249/0.72+Q249*X249</f>
        <v>0</v>
      </c>
      <c r="V249" s="161" t="n">
        <f aca="false">D249</f>
        <v>43466</v>
      </c>
      <c r="W249" s="94" t="n">
        <f aca="false">VLOOKUP($D249,tblPriorPrice,4)</f>
        <v>0</v>
      </c>
      <c r="X249" s="162"/>
      <c r="Y249" s="176" t="n">
        <f aca="false">L249</f>
        <v>0</v>
      </c>
      <c r="Z249" s="177" t="n">
        <f aca="false">Y249</f>
        <v>0</v>
      </c>
      <c r="AA249" s="177" t="n">
        <f aca="false">Y249</f>
        <v>0</v>
      </c>
      <c r="AB249" s="94" t="n">
        <f aca="false">VLOOKUP($D249,tblPriorPrice,5)</f>
        <v>0</v>
      </c>
      <c r="AC249" s="162"/>
      <c r="AD249" s="176" t="n">
        <f aca="false">L249</f>
        <v>0</v>
      </c>
      <c r="AE249" s="96" t="n">
        <f aca="false">AD249</f>
        <v>0</v>
      </c>
      <c r="AF249" s="97" t="n">
        <f aca="false">AD249</f>
        <v>0</v>
      </c>
      <c r="AG249" s="94" t="n">
        <f aca="false">VLOOKUP($D249,tblPriorPrice,6)</f>
        <v>0</v>
      </c>
      <c r="AH249" s="182"/>
      <c r="AI249" s="189" t="n">
        <f aca="false">AG249+AH249</f>
        <v>0</v>
      </c>
      <c r="AJ249" s="96" t="n">
        <f aca="false">AI249</f>
        <v>0</v>
      </c>
      <c r="AK249" s="97" t="n">
        <f aca="false">AI249</f>
        <v>0</v>
      </c>
      <c r="AL249" s="178" t="n">
        <v>73</v>
      </c>
      <c r="AM249" s="165" t="n">
        <v>0.4</v>
      </c>
      <c r="AN249" s="166" t="n">
        <f aca="false">EnergyCurve!AN249*2</f>
        <v>0.34</v>
      </c>
      <c r="AO249" s="166" t="n">
        <f aca="false">EnergyCurve!AO249</f>
        <v>0.153</v>
      </c>
      <c r="AP249" s="166" t="n">
        <f aca="false">AN249*1.25</f>
        <v>0.425</v>
      </c>
      <c r="AQ249" s="166" t="n">
        <f aca="false">EnergyCurve!AQ249*2</f>
        <v>0.34</v>
      </c>
      <c r="AR249" s="166" t="n">
        <f aca="false">EnergyCurve!AR249</f>
        <v>0.136</v>
      </c>
      <c r="AS249" s="166" t="n">
        <f aca="false">EnergyCurve!AS249*1.25</f>
        <v>0.255</v>
      </c>
      <c r="AT249" s="168" t="n">
        <f aca="false">EnergyCurve!AT249*2*2</f>
        <v>6.88781730529552</v>
      </c>
      <c r="AU249" s="169" t="n">
        <f aca="false">EnergyCurve!AU249</f>
        <v>-0.43048858158097</v>
      </c>
      <c r="AV249" s="169" t="n">
        <f aca="false">AT249*1.25</f>
        <v>8.60977163161941</v>
      </c>
      <c r="AW249" s="168" t="n">
        <f aca="false">EnergyCurve!AW249*2*2</f>
        <v>10.4928</v>
      </c>
      <c r="AX249" s="169" t="n">
        <f aca="false">EnergyCurve!AX249</f>
        <v>-0.6558</v>
      </c>
      <c r="AY249" s="169" t="n">
        <f aca="false">AW249*1.25</f>
        <v>13.116</v>
      </c>
      <c r="AZ249" s="167" t="n">
        <v>0</v>
      </c>
      <c r="BA249" s="74"/>
      <c r="BQ249" s="108" t="n">
        <v>36907.7428240741</v>
      </c>
      <c r="BR249" s="109" t="n">
        <v>36907.7434490741</v>
      </c>
      <c r="BS249" s="110" t="n">
        <v>43678</v>
      </c>
      <c r="BT249" s="111" t="n">
        <v>0</v>
      </c>
      <c r="BU249" s="112" t="n">
        <v>0</v>
      </c>
      <c r="BV249" s="112" t="n">
        <v>0</v>
      </c>
      <c r="BW249" s="112" t="n">
        <v>0</v>
      </c>
      <c r="BX249" s="113" t="n">
        <v>0</v>
      </c>
      <c r="BZ249" s="110" t="n">
        <v>43466</v>
      </c>
      <c r="CA249" s="116" t="n">
        <v>34.0890007019043</v>
      </c>
      <c r="CB249" s="116" t="n">
        <v>0</v>
      </c>
      <c r="CC249" s="116" t="n">
        <v>0</v>
      </c>
      <c r="CD249" s="116" t="n">
        <v>0</v>
      </c>
      <c r="CE249" s="117" t="n">
        <v>0</v>
      </c>
    </row>
    <row r="250" customFormat="false" ht="12.75" hidden="false" customHeight="false" outlineLevel="0" collapsed="false">
      <c r="A250" s="0" t="n">
        <f aca="true">IF(ISERROR(MATCH(D250,iRefDt,0)),"",MATCH(D250,iRefDt,0))</f>
        <v>241</v>
      </c>
      <c r="B250" s="92" t="n">
        <f aca="false">MATCH(YEAR(D250),iSpreads)</f>
        <v>19</v>
      </c>
      <c r="C250" s="0" t="n">
        <f aca="false">MONTH(D250)</f>
        <v>2</v>
      </c>
      <c r="D250" s="93" t="n">
        <f aca="false">+EnergyCurve!D250</f>
        <v>43497</v>
      </c>
      <c r="E250" s="94" t="n">
        <f aca="false">VLOOKUP($D250,tblPriorPrice,2)</f>
        <v>30.8999996185303</v>
      </c>
      <c r="F250" s="95" t="n">
        <f aca="false">G250-E250</f>
        <v>3.81469728694128E-007</v>
      </c>
      <c r="G250" s="264" t="n">
        <f aca="false">IF(EnergyCurve!G250&lt;200,0.001*EnergyCurve!G250+1,1.2)*EnergyCurve!G250</f>
        <v>30.9</v>
      </c>
      <c r="H250" s="96" t="n">
        <f aca="false">IF(EnergyCurve!H250&lt;200,0.001*EnergyCurve!H250+1,1.2)*EnergyCurve!H250</f>
        <v>25.625</v>
      </c>
      <c r="I250" s="96" t="n">
        <f aca="false">IF(EnergyCurve!I250&lt;200,0.001*EnergyCurve!I250+1,1.2)*EnergyCurve!I250</f>
        <v>66.969</v>
      </c>
      <c r="J250" s="94" t="n">
        <f aca="false">VLOOKUP($D250,tblPriorPrice,3)</f>
        <v>0</v>
      </c>
      <c r="K250" s="95" t="n">
        <f aca="false">L250-J250</f>
        <v>0</v>
      </c>
      <c r="L250" s="264" t="n">
        <v>0</v>
      </c>
      <c r="M250" s="96" t="n">
        <f aca="false">L250</f>
        <v>0</v>
      </c>
      <c r="N250" s="96" t="n">
        <f aca="false">L250</f>
        <v>0</v>
      </c>
      <c r="O250" s="58" t="n">
        <f aca="true">IF($A250="",0,INDEX(tblPosn,$A250,2))</f>
        <v>0</v>
      </c>
      <c r="P250" s="59" t="n">
        <f aca="true">IF($A250="",0,INDEX(tblPosn,$A250,3))</f>
        <v>0</v>
      </c>
      <c r="Q250" s="59" t="n">
        <f aca="true">IF($A250="",0,INDEX(tblPosn,$A250,4))</f>
        <v>0</v>
      </c>
      <c r="R250" s="59" t="n">
        <f aca="true">IF($A250="",0,INDEX(tblPosn,$A250,5))</f>
        <v>0</v>
      </c>
      <c r="S250" s="59" t="n">
        <f aca="true">IF($A250="",0,INDEX(tblPosn,$A250,6))</f>
        <v>0</v>
      </c>
      <c r="T250" s="98" t="n">
        <f aca="false">O250*F250+P250*K250+R250*AC250+S250*AH250/0.72+Q250*X250</f>
        <v>0</v>
      </c>
      <c r="V250" s="161" t="n">
        <f aca="false">D250</f>
        <v>43497</v>
      </c>
      <c r="W250" s="94" t="n">
        <f aca="false">VLOOKUP($D250,tblPriorPrice,4)</f>
        <v>0</v>
      </c>
      <c r="X250" s="162"/>
      <c r="Y250" s="176" t="n">
        <f aca="false">L250</f>
        <v>0</v>
      </c>
      <c r="Z250" s="177" t="n">
        <f aca="false">Y250</f>
        <v>0</v>
      </c>
      <c r="AA250" s="177" t="n">
        <f aca="false">Y250</f>
        <v>0</v>
      </c>
      <c r="AB250" s="94" t="n">
        <f aca="false">VLOOKUP($D250,tblPriorPrice,5)</f>
        <v>0</v>
      </c>
      <c r="AC250" s="162"/>
      <c r="AD250" s="176" t="n">
        <f aca="false">L250</f>
        <v>0</v>
      </c>
      <c r="AE250" s="96" t="n">
        <f aca="false">AD250</f>
        <v>0</v>
      </c>
      <c r="AF250" s="97" t="n">
        <f aca="false">AD250</f>
        <v>0</v>
      </c>
      <c r="AG250" s="94" t="n">
        <f aca="false">VLOOKUP($D250,tblPriorPrice,6)</f>
        <v>0</v>
      </c>
      <c r="AH250" s="182"/>
      <c r="AI250" s="189" t="n">
        <f aca="false">AG250+AH250</f>
        <v>0</v>
      </c>
      <c r="AJ250" s="96" t="n">
        <f aca="false">AI250</f>
        <v>0</v>
      </c>
      <c r="AK250" s="97" t="n">
        <f aca="false">AI250</f>
        <v>0</v>
      </c>
      <c r="AL250" s="178" t="n">
        <v>73</v>
      </c>
      <c r="AM250" s="165" t="n">
        <v>0.4</v>
      </c>
      <c r="AN250" s="166" t="n">
        <f aca="false">EnergyCurve!AN250*2</f>
        <v>0.34</v>
      </c>
      <c r="AO250" s="166" t="n">
        <f aca="false">EnergyCurve!AO250</f>
        <v>0.153</v>
      </c>
      <c r="AP250" s="166" t="n">
        <f aca="false">AN250*1.25</f>
        <v>0.425</v>
      </c>
      <c r="AQ250" s="166" t="n">
        <f aca="false">EnergyCurve!AQ250*2</f>
        <v>0.34</v>
      </c>
      <c r="AR250" s="166" t="n">
        <f aca="false">EnergyCurve!AR250</f>
        <v>0.136</v>
      </c>
      <c r="AS250" s="166" t="n">
        <f aca="false">EnergyCurve!AS250*1.25</f>
        <v>0.255</v>
      </c>
      <c r="AT250" s="168" t="n">
        <f aca="false">EnergyCurve!AT250*2*2</f>
        <v>6.43371807382396</v>
      </c>
      <c r="AU250" s="169" t="n">
        <f aca="false">EnergyCurve!AU250</f>
        <v>-0.402107379613998</v>
      </c>
      <c r="AV250" s="169" t="n">
        <f aca="false">AT250*1.25</f>
        <v>8.04214759227995</v>
      </c>
      <c r="AW250" s="168" t="n">
        <f aca="false">EnergyCurve!AW250*2*2</f>
        <v>10.587</v>
      </c>
      <c r="AX250" s="169" t="n">
        <f aca="false">EnergyCurve!AX250</f>
        <v>-0.6616875</v>
      </c>
      <c r="AY250" s="169" t="n">
        <f aca="false">AW250*1.25</f>
        <v>13.23375</v>
      </c>
      <c r="AZ250" s="167" t="n">
        <v>0</v>
      </c>
      <c r="BA250" s="74"/>
      <c r="BQ250" s="108" t="n">
        <v>36907.7428240741</v>
      </c>
      <c r="BR250" s="109" t="n">
        <v>36907.7434606482</v>
      </c>
      <c r="BS250" s="110" t="n">
        <v>43709</v>
      </c>
      <c r="BT250" s="111" t="n">
        <v>0</v>
      </c>
      <c r="BU250" s="112" t="n">
        <v>0</v>
      </c>
      <c r="BV250" s="112" t="n">
        <v>0</v>
      </c>
      <c r="BW250" s="112" t="n">
        <v>0</v>
      </c>
      <c r="BX250" s="113" t="n">
        <v>0</v>
      </c>
      <c r="BZ250" s="110" t="n">
        <v>43497</v>
      </c>
      <c r="CA250" s="116" t="n">
        <v>30.8999996185303</v>
      </c>
      <c r="CB250" s="116" t="n">
        <v>0</v>
      </c>
      <c r="CC250" s="116" t="n">
        <v>0</v>
      </c>
      <c r="CD250" s="116" t="n">
        <v>0</v>
      </c>
      <c r="CE250" s="117" t="n">
        <v>0</v>
      </c>
    </row>
    <row r="251" customFormat="false" ht="12.75" hidden="false" customHeight="false" outlineLevel="0" collapsed="false">
      <c r="A251" s="0" t="n">
        <f aca="true">IF(ISERROR(MATCH(D251,iRefDt,0)),"",MATCH(D251,iRefDt,0))</f>
        <v>242</v>
      </c>
      <c r="B251" s="92" t="n">
        <f aca="false">MATCH(YEAR(D251),iSpreads)</f>
        <v>19</v>
      </c>
      <c r="C251" s="0" t="n">
        <f aca="false">MONTH(D251)</f>
        <v>3</v>
      </c>
      <c r="D251" s="93" t="n">
        <f aca="false">+EnergyCurve!D251</f>
        <v>43525</v>
      </c>
      <c r="E251" s="94" t="n">
        <f aca="false">VLOOKUP($D251,tblPriorPrice,2)</f>
        <v>29.8409996032715</v>
      </c>
      <c r="F251" s="95" t="n">
        <f aca="false">G251-E251</f>
        <v>3.96728513152311E-007</v>
      </c>
      <c r="G251" s="264" t="n">
        <f aca="false">IF(EnergyCurve!G251&lt;200,0.001*EnergyCurve!G251+1,1.2)*EnergyCurve!G251</f>
        <v>29.841</v>
      </c>
      <c r="H251" s="96" t="n">
        <f aca="false">IF(EnergyCurve!H251&lt;200,0.001*EnergyCurve!H251+1,1.2)*EnergyCurve!H251</f>
        <v>24.576</v>
      </c>
      <c r="I251" s="96" t="n">
        <f aca="false">IF(EnergyCurve!I251&lt;200,0.001*EnergyCurve!I251+1,1.2)*EnergyCurve!I251</f>
        <v>65.844</v>
      </c>
      <c r="J251" s="94" t="n">
        <f aca="false">VLOOKUP($D251,tblPriorPrice,3)</f>
        <v>0</v>
      </c>
      <c r="K251" s="95" t="n">
        <f aca="false">L251-J251</f>
        <v>0</v>
      </c>
      <c r="L251" s="264" t="n">
        <v>0</v>
      </c>
      <c r="M251" s="96" t="n">
        <f aca="false">L251</f>
        <v>0</v>
      </c>
      <c r="N251" s="96" t="n">
        <f aca="false">L251</f>
        <v>0</v>
      </c>
      <c r="O251" s="58" t="n">
        <f aca="true">IF($A251="",0,INDEX(tblPosn,$A251,2))</f>
        <v>0</v>
      </c>
      <c r="P251" s="59" t="n">
        <f aca="true">IF($A251="",0,INDEX(tblPosn,$A251,3))</f>
        <v>0</v>
      </c>
      <c r="Q251" s="59" t="n">
        <f aca="true">IF($A251="",0,INDEX(tblPosn,$A251,4))</f>
        <v>0</v>
      </c>
      <c r="R251" s="59" t="n">
        <f aca="true">IF($A251="",0,INDEX(tblPosn,$A251,5))</f>
        <v>0</v>
      </c>
      <c r="S251" s="59" t="n">
        <f aca="true">IF($A251="",0,INDEX(tblPosn,$A251,6))</f>
        <v>0</v>
      </c>
      <c r="T251" s="98" t="n">
        <f aca="false">O251*F251+P251*K251+R251*AC251+S251*AH251/0.72+Q251*X251</f>
        <v>0</v>
      </c>
      <c r="V251" s="161" t="n">
        <f aca="false">D251</f>
        <v>43525</v>
      </c>
      <c r="W251" s="94" t="n">
        <f aca="false">VLOOKUP($D251,tblPriorPrice,4)</f>
        <v>0</v>
      </c>
      <c r="X251" s="162"/>
      <c r="Y251" s="176" t="n">
        <f aca="false">L251</f>
        <v>0</v>
      </c>
      <c r="Z251" s="177" t="n">
        <f aca="false">Y251</f>
        <v>0</v>
      </c>
      <c r="AA251" s="177" t="n">
        <f aca="false">Y251</f>
        <v>0</v>
      </c>
      <c r="AB251" s="94" t="n">
        <f aca="false">VLOOKUP($D251,tblPriorPrice,5)</f>
        <v>0</v>
      </c>
      <c r="AC251" s="162"/>
      <c r="AD251" s="176" t="n">
        <f aca="false">L251</f>
        <v>0</v>
      </c>
      <c r="AE251" s="96" t="n">
        <f aca="false">AD251</f>
        <v>0</v>
      </c>
      <c r="AF251" s="97" t="n">
        <f aca="false">AD251</f>
        <v>0</v>
      </c>
      <c r="AG251" s="94" t="n">
        <f aca="false">VLOOKUP($D251,tblPriorPrice,6)</f>
        <v>0</v>
      </c>
      <c r="AH251" s="182"/>
      <c r="AI251" s="189" t="n">
        <f aca="false">AG251+AH251</f>
        <v>0</v>
      </c>
      <c r="AJ251" s="96" t="n">
        <f aca="false">AI251</f>
        <v>0</v>
      </c>
      <c r="AK251" s="97" t="n">
        <f aca="false">AI251</f>
        <v>0</v>
      </c>
      <c r="AL251" s="178" t="n">
        <v>73</v>
      </c>
      <c r="AM251" s="165" t="n">
        <v>0.4</v>
      </c>
      <c r="AN251" s="166" t="n">
        <f aca="false">EnergyCurve!AN251*2</f>
        <v>0.34</v>
      </c>
      <c r="AO251" s="166" t="n">
        <f aca="false">EnergyCurve!AO251</f>
        <v>0.153</v>
      </c>
      <c r="AP251" s="166" t="n">
        <f aca="false">AN251*1.25</f>
        <v>0.425</v>
      </c>
      <c r="AQ251" s="166" t="n">
        <f aca="false">EnergyCurve!AQ251*2</f>
        <v>0.34</v>
      </c>
      <c r="AR251" s="166" t="n">
        <f aca="false">EnergyCurve!AR251</f>
        <v>0.136</v>
      </c>
      <c r="AS251" s="166" t="n">
        <f aca="false">EnergyCurve!AS251*1.25</f>
        <v>0.255</v>
      </c>
      <c r="AT251" s="168" t="n">
        <f aca="false">EnergyCurve!AT251*2*2</f>
        <v>6.33113623762127</v>
      </c>
      <c r="AU251" s="169" t="n">
        <f aca="false">EnergyCurve!AU251</f>
        <v>-0.395696014851329</v>
      </c>
      <c r="AV251" s="169" t="n">
        <f aca="false">AT251*1.25</f>
        <v>7.91392029702658</v>
      </c>
      <c r="AW251" s="168" t="n">
        <f aca="false">EnergyCurve!AW251*2*2</f>
        <v>10.6812</v>
      </c>
      <c r="AX251" s="169" t="n">
        <f aca="false">EnergyCurve!AX251</f>
        <v>-0.667575</v>
      </c>
      <c r="AY251" s="169" t="n">
        <f aca="false">AW251*1.25</f>
        <v>13.3515</v>
      </c>
      <c r="AZ251" s="167" t="n">
        <v>0</v>
      </c>
      <c r="BA251" s="74"/>
      <c r="BQ251" s="108" t="n">
        <v>36907.7428240741</v>
      </c>
      <c r="BR251" s="109" t="n">
        <v>36907.7434606482</v>
      </c>
      <c r="BS251" s="110" t="n">
        <v>43739</v>
      </c>
      <c r="BT251" s="111" t="n">
        <v>0</v>
      </c>
      <c r="BU251" s="112" t="n">
        <v>0</v>
      </c>
      <c r="BV251" s="112" t="n">
        <v>0</v>
      </c>
      <c r="BW251" s="112" t="n">
        <v>0</v>
      </c>
      <c r="BX251" s="113" t="n">
        <v>0</v>
      </c>
      <c r="BZ251" s="110" t="n">
        <v>43525</v>
      </c>
      <c r="CA251" s="116" t="n">
        <v>29.8409996032715</v>
      </c>
      <c r="CB251" s="116" t="n">
        <v>0</v>
      </c>
      <c r="CC251" s="116" t="n">
        <v>0</v>
      </c>
      <c r="CD251" s="116" t="n">
        <v>0</v>
      </c>
      <c r="CE251" s="117" t="n">
        <v>0</v>
      </c>
    </row>
    <row r="252" customFormat="false" ht="12.75" hidden="false" customHeight="false" outlineLevel="0" collapsed="false">
      <c r="A252" s="0" t="n">
        <f aca="true">IF(ISERROR(MATCH(D252,iRefDt,0)),"",MATCH(D252,iRefDt,0))</f>
        <v>243</v>
      </c>
      <c r="B252" s="92" t="n">
        <f aca="false">MATCH(YEAR(D252),iSpreads)</f>
        <v>19</v>
      </c>
      <c r="C252" s="0" t="n">
        <f aca="false">MONTH(D252)</f>
        <v>4</v>
      </c>
      <c r="D252" s="93" t="n">
        <f aca="false">+EnergyCurve!D252</f>
        <v>43556</v>
      </c>
      <c r="E252" s="94" t="n">
        <f aca="false">VLOOKUP($D252,tblPriorPrice,2)</f>
        <v>29.8409996032715</v>
      </c>
      <c r="F252" s="95" t="n">
        <f aca="false">G252-E252</f>
        <v>3.96728513152311E-007</v>
      </c>
      <c r="G252" s="264" t="n">
        <f aca="false">IF(EnergyCurve!G252&lt;200,0.001*EnergyCurve!G252+1,1.2)*EnergyCurve!G252</f>
        <v>29.841</v>
      </c>
      <c r="H252" s="96" t="n">
        <f aca="false">IF(EnergyCurve!H252&lt;200,0.001*EnergyCurve!H252+1,1.2)*EnergyCurve!H252</f>
        <v>24.576</v>
      </c>
      <c r="I252" s="96" t="n">
        <f aca="false">IF(EnergyCurve!I252&lt;200,0.001*EnergyCurve!I252+1,1.2)*EnergyCurve!I252</f>
        <v>65.844</v>
      </c>
      <c r="J252" s="94" t="n">
        <f aca="false">VLOOKUP($D252,tblPriorPrice,3)</f>
        <v>0</v>
      </c>
      <c r="K252" s="95" t="n">
        <f aca="false">L252-J252</f>
        <v>0</v>
      </c>
      <c r="L252" s="264" t="n">
        <v>0</v>
      </c>
      <c r="M252" s="96" t="n">
        <f aca="false">L252</f>
        <v>0</v>
      </c>
      <c r="N252" s="96" t="n">
        <f aca="false">L252</f>
        <v>0</v>
      </c>
      <c r="O252" s="58" t="n">
        <f aca="true">IF($A252="",0,INDEX(tblPosn,$A252,2))</f>
        <v>0</v>
      </c>
      <c r="P252" s="59" t="n">
        <f aca="true">IF($A252="",0,INDEX(tblPosn,$A252,3))</f>
        <v>0</v>
      </c>
      <c r="Q252" s="59" t="n">
        <f aca="true">IF($A252="",0,INDEX(tblPosn,$A252,4))</f>
        <v>0</v>
      </c>
      <c r="R252" s="59" t="n">
        <f aca="true">IF($A252="",0,INDEX(tblPosn,$A252,5))</f>
        <v>0</v>
      </c>
      <c r="S252" s="59" t="n">
        <f aca="true">IF($A252="",0,INDEX(tblPosn,$A252,6))</f>
        <v>0</v>
      </c>
      <c r="T252" s="98" t="n">
        <f aca="false">O252*F252+P252*K252+R252*AC252+S252*AH252/0.72+Q252*X252</f>
        <v>0</v>
      </c>
      <c r="V252" s="161" t="n">
        <f aca="false">D252</f>
        <v>43556</v>
      </c>
      <c r="W252" s="94" t="n">
        <f aca="false">VLOOKUP($D252,tblPriorPrice,4)</f>
        <v>0</v>
      </c>
      <c r="X252" s="162"/>
      <c r="Y252" s="176" t="n">
        <f aca="false">L252</f>
        <v>0</v>
      </c>
      <c r="Z252" s="177" t="n">
        <f aca="false">Y252</f>
        <v>0</v>
      </c>
      <c r="AA252" s="177" t="n">
        <f aca="false">Y252</f>
        <v>0</v>
      </c>
      <c r="AB252" s="94" t="n">
        <f aca="false">VLOOKUP($D252,tblPriorPrice,5)</f>
        <v>0</v>
      </c>
      <c r="AC252" s="162"/>
      <c r="AD252" s="176" t="n">
        <f aca="false">L252</f>
        <v>0</v>
      </c>
      <c r="AE252" s="96" t="n">
        <f aca="false">AD252</f>
        <v>0</v>
      </c>
      <c r="AF252" s="97" t="n">
        <f aca="false">AD252</f>
        <v>0</v>
      </c>
      <c r="AG252" s="94" t="n">
        <f aca="false">VLOOKUP($D252,tblPriorPrice,6)</f>
        <v>0</v>
      </c>
      <c r="AH252" s="182"/>
      <c r="AI252" s="189" t="n">
        <f aca="false">AG252+AH252</f>
        <v>0</v>
      </c>
      <c r="AJ252" s="96" t="n">
        <f aca="false">AI252</f>
        <v>0</v>
      </c>
      <c r="AK252" s="97" t="n">
        <f aca="false">AI252</f>
        <v>0</v>
      </c>
      <c r="AL252" s="178" t="n">
        <v>74</v>
      </c>
      <c r="AM252" s="165" t="n">
        <v>0.4</v>
      </c>
      <c r="AN252" s="166" t="n">
        <f aca="false">EnergyCurve!AN252*2</f>
        <v>0.34</v>
      </c>
      <c r="AO252" s="166" t="n">
        <f aca="false">EnergyCurve!AO252</f>
        <v>0.153</v>
      </c>
      <c r="AP252" s="166" t="n">
        <f aca="false">AN252*1.25</f>
        <v>0.425</v>
      </c>
      <c r="AQ252" s="166" t="n">
        <f aca="false">EnergyCurve!AQ252*2</f>
        <v>0.34</v>
      </c>
      <c r="AR252" s="166" t="n">
        <f aca="false">EnergyCurve!AR252</f>
        <v>0.136</v>
      </c>
      <c r="AS252" s="166" t="n">
        <f aca="false">EnergyCurve!AS252*1.25</f>
        <v>0.255</v>
      </c>
      <c r="AT252" s="168" t="n">
        <f aca="false">EnergyCurve!AT252*2*2</f>
        <v>6.33113623762127</v>
      </c>
      <c r="AU252" s="169" t="n">
        <f aca="false">EnergyCurve!AU252</f>
        <v>-0.395696014851329</v>
      </c>
      <c r="AV252" s="169" t="n">
        <f aca="false">AT252*1.25</f>
        <v>7.91392029702658</v>
      </c>
      <c r="AW252" s="168" t="n">
        <f aca="false">EnergyCurve!AW252*2*2</f>
        <v>10.6812</v>
      </c>
      <c r="AX252" s="169" t="n">
        <f aca="false">EnergyCurve!AX252</f>
        <v>-0.667575</v>
      </c>
      <c r="AY252" s="169" t="n">
        <f aca="false">AW252*1.25</f>
        <v>13.3515</v>
      </c>
      <c r="AZ252" s="167" t="n">
        <v>0</v>
      </c>
      <c r="BA252" s="74"/>
      <c r="BQ252" s="108" t="n">
        <v>36907.7428240741</v>
      </c>
      <c r="BR252" s="109" t="n">
        <v>36907.7434606482</v>
      </c>
      <c r="BS252" s="110" t="n">
        <v>43770</v>
      </c>
      <c r="BT252" s="111" t="n">
        <v>0</v>
      </c>
      <c r="BU252" s="112" t="n">
        <v>0</v>
      </c>
      <c r="BV252" s="112" t="n">
        <v>0</v>
      </c>
      <c r="BW252" s="112" t="n">
        <v>0</v>
      </c>
      <c r="BX252" s="113" t="n">
        <v>0</v>
      </c>
      <c r="BZ252" s="110" t="n">
        <v>43556</v>
      </c>
      <c r="CA252" s="116" t="n">
        <v>29.8409996032715</v>
      </c>
      <c r="CB252" s="116" t="n">
        <v>0</v>
      </c>
      <c r="CC252" s="116" t="n">
        <v>0</v>
      </c>
      <c r="CD252" s="116" t="n">
        <v>0</v>
      </c>
      <c r="CE252" s="117" t="n">
        <v>0</v>
      </c>
    </row>
    <row r="253" customFormat="false" ht="12.75" hidden="false" customHeight="false" outlineLevel="0" collapsed="false">
      <c r="A253" s="0" t="n">
        <f aca="true">IF(ISERROR(MATCH(D253,iRefDt,0)),"",MATCH(D253,iRefDt,0))</f>
        <v>244</v>
      </c>
      <c r="B253" s="92" t="n">
        <f aca="false">MATCH(YEAR(D253),iSpreads)</f>
        <v>19</v>
      </c>
      <c r="C253" s="0" t="n">
        <f aca="false">MONTH(D253)</f>
        <v>5</v>
      </c>
      <c r="D253" s="93" t="n">
        <f aca="false">+EnergyCurve!D253</f>
        <v>43586</v>
      </c>
      <c r="E253" s="94" t="n">
        <f aca="false">VLOOKUP($D253,tblPriorPrice,2)</f>
        <v>33.0239982604981</v>
      </c>
      <c r="F253" s="95" t="n">
        <f aca="false">G253-E253</f>
        <v>1.73950195403449E-006</v>
      </c>
      <c r="G253" s="264" t="n">
        <f aca="false">IF(EnergyCurve!G253&lt;200,0.001*EnergyCurve!G253+1,1.2)*EnergyCurve!G253</f>
        <v>33.024</v>
      </c>
      <c r="H253" s="96" t="n">
        <f aca="false">IF(EnergyCurve!H253&lt;200,0.001*EnergyCurve!H253+1,1.2)*EnergyCurve!H253</f>
        <v>27.729</v>
      </c>
      <c r="I253" s="96" t="n">
        <f aca="false">IF(EnergyCurve!I253&lt;200,0.001*EnergyCurve!I253+1,1.2)*EnergyCurve!I253</f>
        <v>69.225</v>
      </c>
      <c r="J253" s="94" t="n">
        <f aca="false">VLOOKUP($D253,tblPriorPrice,3)</f>
        <v>0</v>
      </c>
      <c r="K253" s="95" t="n">
        <f aca="false">L253-J253</f>
        <v>0</v>
      </c>
      <c r="L253" s="264" t="n">
        <v>0</v>
      </c>
      <c r="M253" s="96" t="n">
        <f aca="false">L253</f>
        <v>0</v>
      </c>
      <c r="N253" s="96" t="n">
        <f aca="false">L253</f>
        <v>0</v>
      </c>
      <c r="O253" s="58" t="n">
        <f aca="true">IF($A253="",0,INDEX(tblPosn,$A253,2))</f>
        <v>0</v>
      </c>
      <c r="P253" s="59" t="n">
        <f aca="true">IF($A253="",0,INDEX(tblPosn,$A253,3))</f>
        <v>0</v>
      </c>
      <c r="Q253" s="59" t="n">
        <f aca="true">IF($A253="",0,INDEX(tblPosn,$A253,4))</f>
        <v>0</v>
      </c>
      <c r="R253" s="59" t="n">
        <f aca="true">IF($A253="",0,INDEX(tblPosn,$A253,5))</f>
        <v>0</v>
      </c>
      <c r="S253" s="59" t="n">
        <f aca="true">IF($A253="",0,INDEX(tblPosn,$A253,6))</f>
        <v>0</v>
      </c>
      <c r="T253" s="98" t="n">
        <f aca="false">O253*F253+P253*K253+R253*AC253+S253*AH253/0.72+Q253*X253</f>
        <v>0</v>
      </c>
      <c r="V253" s="161" t="n">
        <f aca="false">D253</f>
        <v>43586</v>
      </c>
      <c r="W253" s="94" t="n">
        <f aca="false">VLOOKUP($D253,tblPriorPrice,4)</f>
        <v>0</v>
      </c>
      <c r="X253" s="162"/>
      <c r="Y253" s="176" t="n">
        <f aca="false">L253</f>
        <v>0</v>
      </c>
      <c r="Z253" s="177" t="n">
        <f aca="false">Y253</f>
        <v>0</v>
      </c>
      <c r="AA253" s="177" t="n">
        <f aca="false">Y253</f>
        <v>0</v>
      </c>
      <c r="AB253" s="94" t="n">
        <f aca="false">VLOOKUP($D253,tblPriorPrice,5)</f>
        <v>0</v>
      </c>
      <c r="AC253" s="162"/>
      <c r="AD253" s="176" t="n">
        <f aca="false">L253</f>
        <v>0</v>
      </c>
      <c r="AE253" s="96" t="n">
        <f aca="false">AD253</f>
        <v>0</v>
      </c>
      <c r="AF253" s="97" t="n">
        <f aca="false">AD253</f>
        <v>0</v>
      </c>
      <c r="AG253" s="94" t="n">
        <f aca="false">VLOOKUP($D253,tblPriorPrice,6)</f>
        <v>0</v>
      </c>
      <c r="AH253" s="182"/>
      <c r="AI253" s="189" t="n">
        <f aca="false">AG253+AH253</f>
        <v>0</v>
      </c>
      <c r="AJ253" s="96" t="n">
        <f aca="false">AI253</f>
        <v>0</v>
      </c>
      <c r="AK253" s="97" t="n">
        <f aca="false">AI253</f>
        <v>0</v>
      </c>
      <c r="AL253" s="178" t="n">
        <v>74</v>
      </c>
      <c r="AM253" s="165" t="n">
        <v>0.4</v>
      </c>
      <c r="AN253" s="166" t="n">
        <f aca="false">EnergyCurve!AN253*2</f>
        <v>0.34</v>
      </c>
      <c r="AO253" s="166" t="n">
        <f aca="false">EnergyCurve!AO253</f>
        <v>0.153</v>
      </c>
      <c r="AP253" s="166" t="n">
        <f aca="false">AN253*1.25</f>
        <v>0.425</v>
      </c>
      <c r="AQ253" s="166" t="n">
        <f aca="false">EnergyCurve!AQ253*2</f>
        <v>0.34</v>
      </c>
      <c r="AR253" s="166" t="n">
        <f aca="false">EnergyCurve!AR253</f>
        <v>0.136</v>
      </c>
      <c r="AS253" s="166" t="n">
        <f aca="false">EnergyCurve!AS253*1.25</f>
        <v>0.255</v>
      </c>
      <c r="AT253" s="168" t="n">
        <f aca="false">EnergyCurve!AT253*2*2</f>
        <v>6.71448638739126</v>
      </c>
      <c r="AU253" s="169" t="n">
        <f aca="false">EnergyCurve!AU253</f>
        <v>-0.419655399211954</v>
      </c>
      <c r="AV253" s="169" t="n">
        <f aca="false">AT253*1.25</f>
        <v>8.39310798423907</v>
      </c>
      <c r="AW253" s="168" t="n">
        <f aca="false">EnergyCurve!AW253*2*2</f>
        <v>10.3986</v>
      </c>
      <c r="AX253" s="169" t="n">
        <f aca="false">EnergyCurve!AX253</f>
        <v>-0.6499125</v>
      </c>
      <c r="AY253" s="169" t="n">
        <f aca="false">AW253*1.25</f>
        <v>12.99825</v>
      </c>
      <c r="AZ253" s="167" t="n">
        <v>0</v>
      </c>
      <c r="BA253" s="74"/>
      <c r="BQ253" s="108" t="n">
        <v>36907.7428240741</v>
      </c>
      <c r="BR253" s="109" t="n">
        <v>36907.7434606482</v>
      </c>
      <c r="BS253" s="110" t="n">
        <v>43800</v>
      </c>
      <c r="BT253" s="111" t="n">
        <v>0</v>
      </c>
      <c r="BU253" s="112" t="n">
        <v>0</v>
      </c>
      <c r="BV253" s="112" t="n">
        <v>0</v>
      </c>
      <c r="BW253" s="112" t="n">
        <v>0</v>
      </c>
      <c r="BX253" s="113" t="n">
        <v>0</v>
      </c>
      <c r="BZ253" s="110" t="n">
        <v>43586</v>
      </c>
      <c r="CA253" s="116" t="n">
        <v>33.0239982604981</v>
      </c>
      <c r="CB253" s="116" t="n">
        <v>0</v>
      </c>
      <c r="CC253" s="116" t="n">
        <v>0</v>
      </c>
      <c r="CD253" s="116" t="n">
        <v>0</v>
      </c>
      <c r="CE253" s="117" t="n">
        <v>0</v>
      </c>
    </row>
    <row r="254" customFormat="false" ht="12.75" hidden="false" customHeight="false" outlineLevel="0" collapsed="false">
      <c r="A254" s="0" t="n">
        <f aca="true">IF(ISERROR(MATCH(D254,iRefDt,0)),"",MATCH(D254,iRefDt,0))</f>
        <v>245</v>
      </c>
      <c r="B254" s="92" t="n">
        <f aca="false">MATCH(YEAR(D254),iSpreads)</f>
        <v>19</v>
      </c>
      <c r="C254" s="0" t="n">
        <f aca="false">MONTH(D254)</f>
        <v>6</v>
      </c>
      <c r="D254" s="93" t="n">
        <f aca="false">+EnergyCurve!D254</f>
        <v>43617</v>
      </c>
      <c r="E254" s="94" t="n">
        <f aca="false">VLOOKUP($D254,tblPriorPrice,2)</f>
        <v>40.5209999084473</v>
      </c>
      <c r="F254" s="95" t="n">
        <f aca="false">G254-E254</f>
        <v>9.15527280653805E-008</v>
      </c>
      <c r="G254" s="264" t="n">
        <f aca="false">IF(EnergyCurve!G254&lt;200,0.001*EnergyCurve!G254+1,1.2)*EnergyCurve!G254</f>
        <v>40.521</v>
      </c>
      <c r="H254" s="96" t="n">
        <f aca="false">IF(EnergyCurve!H254&lt;200,0.001*EnergyCurve!H254+1,1.2)*EnergyCurve!H254</f>
        <v>35.156</v>
      </c>
      <c r="I254" s="96" t="n">
        <f aca="false">IF(EnergyCurve!I254&lt;200,0.001*EnergyCurve!I254+1,1.2)*EnergyCurve!I254</f>
        <v>77.184</v>
      </c>
      <c r="J254" s="94" t="n">
        <f aca="false">VLOOKUP($D254,tblPriorPrice,3)</f>
        <v>0</v>
      </c>
      <c r="K254" s="95" t="n">
        <f aca="false">L254-J254</f>
        <v>0</v>
      </c>
      <c r="L254" s="264" t="n">
        <v>0</v>
      </c>
      <c r="M254" s="96" t="n">
        <f aca="false">L254</f>
        <v>0</v>
      </c>
      <c r="N254" s="96" t="n">
        <f aca="false">L254</f>
        <v>0</v>
      </c>
      <c r="O254" s="58" t="n">
        <f aca="true">IF($A254="",0,INDEX(tblPosn,$A254,2))</f>
        <v>0</v>
      </c>
      <c r="P254" s="59" t="n">
        <f aca="true">IF($A254="",0,INDEX(tblPosn,$A254,3))</f>
        <v>0</v>
      </c>
      <c r="Q254" s="59" t="n">
        <f aca="true">IF($A254="",0,INDEX(tblPosn,$A254,4))</f>
        <v>0</v>
      </c>
      <c r="R254" s="59" t="n">
        <f aca="true">IF($A254="",0,INDEX(tblPosn,$A254,5))</f>
        <v>0</v>
      </c>
      <c r="S254" s="59" t="n">
        <f aca="true">IF($A254="",0,INDEX(tblPosn,$A254,6))</f>
        <v>0</v>
      </c>
      <c r="T254" s="98" t="n">
        <f aca="false">O254*F254+P254*K254+R254*AC254+S254*AH254/0.72+Q254*X254</f>
        <v>0</v>
      </c>
      <c r="V254" s="161" t="n">
        <f aca="false">D254</f>
        <v>43617</v>
      </c>
      <c r="W254" s="94" t="n">
        <f aca="false">VLOOKUP($D254,tblPriorPrice,4)</f>
        <v>0</v>
      </c>
      <c r="X254" s="162"/>
      <c r="Y254" s="176" t="n">
        <f aca="false">L254</f>
        <v>0</v>
      </c>
      <c r="Z254" s="177" t="n">
        <f aca="false">Y254</f>
        <v>0</v>
      </c>
      <c r="AA254" s="177" t="n">
        <f aca="false">Y254</f>
        <v>0</v>
      </c>
      <c r="AB254" s="94" t="n">
        <f aca="false">VLOOKUP($D254,tblPriorPrice,5)</f>
        <v>0</v>
      </c>
      <c r="AC254" s="162"/>
      <c r="AD254" s="176" t="n">
        <f aca="false">L254</f>
        <v>0</v>
      </c>
      <c r="AE254" s="96" t="n">
        <f aca="false">AD254</f>
        <v>0</v>
      </c>
      <c r="AF254" s="97" t="n">
        <f aca="false">AD254</f>
        <v>0</v>
      </c>
      <c r="AG254" s="94" t="n">
        <f aca="false">VLOOKUP($D254,tblPriorPrice,6)</f>
        <v>0</v>
      </c>
      <c r="AH254" s="182"/>
      <c r="AI254" s="189" t="n">
        <f aca="false">AG254+AH254</f>
        <v>0</v>
      </c>
      <c r="AJ254" s="96" t="n">
        <f aca="false">AI254</f>
        <v>0</v>
      </c>
      <c r="AK254" s="97" t="n">
        <f aca="false">AI254</f>
        <v>0</v>
      </c>
      <c r="AL254" s="178" t="n">
        <v>74</v>
      </c>
      <c r="AM254" s="165" t="n">
        <v>0.4</v>
      </c>
      <c r="AN254" s="166" t="n">
        <f aca="false">EnergyCurve!AN254*2</f>
        <v>0.34</v>
      </c>
      <c r="AO254" s="166" t="n">
        <f aca="false">EnergyCurve!AO254</f>
        <v>0.153</v>
      </c>
      <c r="AP254" s="166" t="n">
        <f aca="false">AN254*1.25</f>
        <v>0.425</v>
      </c>
      <c r="AQ254" s="166" t="n">
        <f aca="false">EnergyCurve!AQ254*2</f>
        <v>0.34</v>
      </c>
      <c r="AR254" s="166" t="n">
        <f aca="false">EnergyCurve!AR254</f>
        <v>0.136</v>
      </c>
      <c r="AS254" s="166" t="n">
        <f aca="false">EnergyCurve!AS254*1.25</f>
        <v>0.255</v>
      </c>
      <c r="AT254" s="168" t="n">
        <f aca="false">EnergyCurve!AT254*2*2</f>
        <v>8.27346121695085</v>
      </c>
      <c r="AU254" s="169" t="n">
        <f aca="false">EnergyCurve!AU254</f>
        <v>-0.517091326059428</v>
      </c>
      <c r="AV254" s="169" t="n">
        <f aca="false">AT254*1.25</f>
        <v>10.3418265211886</v>
      </c>
      <c r="AW254" s="168" t="n">
        <f aca="false">EnergyCurve!AW254*2*2</f>
        <v>9.7392</v>
      </c>
      <c r="AX254" s="169" t="n">
        <f aca="false">EnergyCurve!AX254</f>
        <v>-0.6087</v>
      </c>
      <c r="AY254" s="169" t="n">
        <f aca="false">AW254*1.25</f>
        <v>12.174</v>
      </c>
      <c r="AZ254" s="167" t="n">
        <v>0</v>
      </c>
      <c r="BA254" s="74"/>
      <c r="BQ254" s="108" t="n">
        <v>36907.7428240741</v>
      </c>
      <c r="BR254" s="109" t="n">
        <v>36907.7434606482</v>
      </c>
      <c r="BS254" s="110" t="n">
        <v>43831</v>
      </c>
      <c r="BT254" s="111" t="n">
        <v>0</v>
      </c>
      <c r="BU254" s="112" t="n">
        <v>0</v>
      </c>
      <c r="BV254" s="112" t="n">
        <v>0</v>
      </c>
      <c r="BW254" s="112" t="n">
        <v>0</v>
      </c>
      <c r="BX254" s="113" t="n">
        <v>0</v>
      </c>
      <c r="BZ254" s="110" t="n">
        <v>43617</v>
      </c>
      <c r="CA254" s="116" t="n">
        <v>40.5209999084473</v>
      </c>
      <c r="CB254" s="116" t="n">
        <v>0</v>
      </c>
      <c r="CC254" s="116" t="n">
        <v>0</v>
      </c>
      <c r="CD254" s="116" t="n">
        <v>0</v>
      </c>
      <c r="CE254" s="117" t="n">
        <v>0</v>
      </c>
    </row>
    <row r="255" customFormat="false" ht="12.75" hidden="false" customHeight="false" outlineLevel="0" collapsed="false">
      <c r="A255" s="0" t="n">
        <f aca="true">IF(ISERROR(MATCH(D255,iRefDt,0)),"",MATCH(D255,iRefDt,0))</f>
        <v>246</v>
      </c>
      <c r="B255" s="92" t="n">
        <f aca="false">MATCH(YEAR(D255),iSpreads)</f>
        <v>19</v>
      </c>
      <c r="C255" s="0" t="n">
        <f aca="false">MONTH(D255)</f>
        <v>7</v>
      </c>
      <c r="D255" s="93" t="n">
        <f aca="false">+EnergyCurve!D255</f>
        <v>43647</v>
      </c>
      <c r="E255" s="94" t="n">
        <f aca="false">VLOOKUP($D255,tblPriorPrice,2)</f>
        <v>40.5209999084473</v>
      </c>
      <c r="F255" s="95" t="n">
        <f aca="false">G255-E255</f>
        <v>9.15527280653805E-008</v>
      </c>
      <c r="G255" s="264" t="n">
        <f aca="false">IF(EnergyCurve!G255&lt;200,0.001*EnergyCurve!G255+1,1.2)*EnergyCurve!G255</f>
        <v>40.521</v>
      </c>
      <c r="H255" s="96" t="n">
        <f aca="false">IF(EnergyCurve!H255&lt;200,0.001*EnergyCurve!H255+1,1.2)*EnergyCurve!H255</f>
        <v>35.156</v>
      </c>
      <c r="I255" s="96" t="n">
        <f aca="false">IF(EnergyCurve!I255&lt;200,0.001*EnergyCurve!I255+1,1.2)*EnergyCurve!I255</f>
        <v>77.184</v>
      </c>
      <c r="J255" s="94" t="n">
        <f aca="false">VLOOKUP($D255,tblPriorPrice,3)</f>
        <v>0</v>
      </c>
      <c r="K255" s="95" t="n">
        <f aca="false">L255-J255</f>
        <v>0</v>
      </c>
      <c r="L255" s="264" t="n">
        <v>0</v>
      </c>
      <c r="M255" s="96" t="n">
        <f aca="false">L255</f>
        <v>0</v>
      </c>
      <c r="N255" s="96" t="n">
        <f aca="false">L255</f>
        <v>0</v>
      </c>
      <c r="O255" s="58" t="n">
        <f aca="true">IF($A255="",0,INDEX(tblPosn,$A255,2))</f>
        <v>0</v>
      </c>
      <c r="P255" s="59" t="n">
        <f aca="true">IF($A255="",0,INDEX(tblPosn,$A255,3))</f>
        <v>0</v>
      </c>
      <c r="Q255" s="59" t="n">
        <f aca="true">IF($A255="",0,INDEX(tblPosn,$A255,4))</f>
        <v>0</v>
      </c>
      <c r="R255" s="59" t="n">
        <f aca="true">IF($A255="",0,INDEX(tblPosn,$A255,5))</f>
        <v>0</v>
      </c>
      <c r="S255" s="59" t="n">
        <f aca="true">IF($A255="",0,INDEX(tblPosn,$A255,6))</f>
        <v>0</v>
      </c>
      <c r="T255" s="98" t="n">
        <f aca="false">O255*F255+P255*K255+R255*AC255+S255*AH255/0.72+Q255*X255</f>
        <v>0</v>
      </c>
      <c r="V255" s="161" t="n">
        <f aca="false">D255</f>
        <v>43647</v>
      </c>
      <c r="W255" s="94" t="n">
        <f aca="false">VLOOKUP($D255,tblPriorPrice,4)</f>
        <v>0</v>
      </c>
      <c r="X255" s="162"/>
      <c r="Y255" s="176" t="n">
        <f aca="false">L255</f>
        <v>0</v>
      </c>
      <c r="Z255" s="177" t="n">
        <f aca="false">Y255</f>
        <v>0</v>
      </c>
      <c r="AA255" s="177" t="n">
        <f aca="false">Y255</f>
        <v>0</v>
      </c>
      <c r="AB255" s="94" t="n">
        <f aca="false">VLOOKUP($D255,tblPriorPrice,5)</f>
        <v>0</v>
      </c>
      <c r="AC255" s="162"/>
      <c r="AD255" s="176" t="n">
        <f aca="false">L255</f>
        <v>0</v>
      </c>
      <c r="AE255" s="96" t="n">
        <f aca="false">AD255</f>
        <v>0</v>
      </c>
      <c r="AF255" s="97" t="n">
        <f aca="false">AD255</f>
        <v>0</v>
      </c>
      <c r="AG255" s="94" t="n">
        <f aca="false">VLOOKUP($D255,tblPriorPrice,6)</f>
        <v>0</v>
      </c>
      <c r="AH255" s="182"/>
      <c r="AI255" s="189" t="n">
        <f aca="false">AG255+AH255</f>
        <v>0</v>
      </c>
      <c r="AJ255" s="96" t="n">
        <f aca="false">AI255</f>
        <v>0</v>
      </c>
      <c r="AK255" s="97" t="n">
        <f aca="false">AI255</f>
        <v>0</v>
      </c>
      <c r="AL255" s="178" t="n">
        <v>74</v>
      </c>
      <c r="AM255" s="165" t="n">
        <v>0.4</v>
      </c>
      <c r="AN255" s="166" t="n">
        <f aca="false">EnergyCurve!AN255*2</f>
        <v>0.34</v>
      </c>
      <c r="AO255" s="166" t="n">
        <f aca="false">EnergyCurve!AO255</f>
        <v>0.153</v>
      </c>
      <c r="AP255" s="166" t="n">
        <f aca="false">AN255*1.25</f>
        <v>0.425</v>
      </c>
      <c r="AQ255" s="166" t="n">
        <f aca="false">EnergyCurve!AQ255*2</f>
        <v>0.34</v>
      </c>
      <c r="AR255" s="166" t="n">
        <f aca="false">EnergyCurve!AR255</f>
        <v>0.136</v>
      </c>
      <c r="AS255" s="166" t="n">
        <f aca="false">EnergyCurve!AS255*1.25</f>
        <v>0.255</v>
      </c>
      <c r="AT255" s="168" t="n">
        <f aca="false">EnergyCurve!AT255*2*2</f>
        <v>8.27346121695085</v>
      </c>
      <c r="AU255" s="169" t="n">
        <f aca="false">EnergyCurve!AU255</f>
        <v>-0.517091326059428</v>
      </c>
      <c r="AV255" s="169" t="n">
        <f aca="false">AT255*1.25</f>
        <v>10.3418265211886</v>
      </c>
      <c r="AW255" s="168" t="n">
        <f aca="false">EnergyCurve!AW255*2*2</f>
        <v>9.7392</v>
      </c>
      <c r="AX255" s="169" t="n">
        <f aca="false">EnergyCurve!AX255</f>
        <v>-0.6087</v>
      </c>
      <c r="AY255" s="169" t="n">
        <f aca="false">AW255*1.25</f>
        <v>12.174</v>
      </c>
      <c r="AZ255" s="167" t="n">
        <v>0</v>
      </c>
      <c r="BA255" s="74"/>
      <c r="BQ255" s="108" t="n">
        <v>36907.7428240741</v>
      </c>
      <c r="BR255" s="109" t="n">
        <v>36907.7434606482</v>
      </c>
      <c r="BS255" s="110" t="n">
        <v>43862</v>
      </c>
      <c r="BT255" s="111" t="n">
        <v>0</v>
      </c>
      <c r="BU255" s="112" t="n">
        <v>0</v>
      </c>
      <c r="BV255" s="112" t="n">
        <v>0</v>
      </c>
      <c r="BW255" s="112" t="n">
        <v>0</v>
      </c>
      <c r="BX255" s="113" t="n">
        <v>0</v>
      </c>
      <c r="BZ255" s="110" t="n">
        <v>43647</v>
      </c>
      <c r="CA255" s="116" t="n">
        <v>40.5209999084473</v>
      </c>
      <c r="CB255" s="116" t="n">
        <v>0</v>
      </c>
      <c r="CC255" s="116" t="n">
        <v>0</v>
      </c>
      <c r="CD255" s="116" t="n">
        <v>0</v>
      </c>
      <c r="CE255" s="117" t="n">
        <v>0</v>
      </c>
    </row>
    <row r="256" customFormat="false" ht="12.75" hidden="false" customHeight="false" outlineLevel="0" collapsed="false">
      <c r="B256" s="92" t="n">
        <f aca="false">MATCH(YEAR(D256),iSpreads)</f>
        <v>19</v>
      </c>
      <c r="C256" s="0" t="n">
        <f aca="false">MONTH(D256)</f>
        <v>8</v>
      </c>
      <c r="D256" s="93" t="n">
        <f aca="false">+EnergyCurve!D256</f>
        <v>43678</v>
      </c>
      <c r="E256" s="94" t="n">
        <f aca="false">VLOOKUP($D256,tblPriorPrice,2)</f>
        <v>42.6809997558594</v>
      </c>
      <c r="F256" s="95" t="n">
        <f aca="false">G256-E256</f>
        <v>2.44140622385203E-007</v>
      </c>
      <c r="G256" s="264" t="n">
        <f aca="false">IF(EnergyCurve!G256&lt;200,0.001*EnergyCurve!G256+1,1.2)*EnergyCurve!G256</f>
        <v>42.681</v>
      </c>
      <c r="H256" s="96" t="n">
        <f aca="false">IF(EnergyCurve!H256&lt;200,0.001*EnergyCurve!H256+1,1.2)*EnergyCurve!H256</f>
        <v>37.296</v>
      </c>
      <c r="I256" s="96" t="n">
        <f aca="false">IF(EnergyCurve!I256&lt;200,0.001*EnergyCurve!I256+1,1.2)*EnergyCurve!I256</f>
        <v>79.476</v>
      </c>
      <c r="J256" s="94" t="n">
        <f aca="false">VLOOKUP($D256,tblPriorPrice,3)</f>
        <v>0</v>
      </c>
      <c r="K256" s="95" t="n">
        <f aca="false">L256-J256</f>
        <v>0</v>
      </c>
      <c r="L256" s="264" t="n">
        <v>0</v>
      </c>
      <c r="M256" s="96" t="n">
        <f aca="false">L256</f>
        <v>0</v>
      </c>
      <c r="N256" s="96" t="n">
        <f aca="false">L256</f>
        <v>0</v>
      </c>
      <c r="V256" s="161" t="n">
        <f aca="false">D256</f>
        <v>43678</v>
      </c>
      <c r="W256" s="94" t="n">
        <f aca="false">VLOOKUP($D256,tblPriorPrice,4)</f>
        <v>0</v>
      </c>
      <c r="X256" s="162"/>
      <c r="Y256" s="176" t="n">
        <f aca="false">L256</f>
        <v>0</v>
      </c>
      <c r="Z256" s="177" t="n">
        <f aca="false">Y256</f>
        <v>0</v>
      </c>
      <c r="AA256" s="177" t="n">
        <f aca="false">Y256</f>
        <v>0</v>
      </c>
      <c r="AB256" s="94" t="n">
        <f aca="false">VLOOKUP($D256,tblPriorPrice,5)</f>
        <v>0</v>
      </c>
      <c r="AC256" s="162"/>
      <c r="AD256" s="176" t="n">
        <f aca="false">L256</f>
        <v>0</v>
      </c>
      <c r="AE256" s="96" t="n">
        <f aca="false">AD256</f>
        <v>0</v>
      </c>
      <c r="AF256" s="97" t="n">
        <f aca="false">AD256</f>
        <v>0</v>
      </c>
      <c r="AG256" s="94" t="n">
        <f aca="false">VLOOKUP($D256,tblPriorPrice,6)</f>
        <v>0</v>
      </c>
      <c r="AH256" s="182"/>
      <c r="AI256" s="189" t="n">
        <f aca="false">AG256+AH256</f>
        <v>0</v>
      </c>
      <c r="AJ256" s="96" t="n">
        <f aca="false">AI256</f>
        <v>0</v>
      </c>
      <c r="AK256" s="97" t="n">
        <f aca="false">AI256</f>
        <v>0</v>
      </c>
      <c r="AL256" s="178" t="n">
        <v>74</v>
      </c>
      <c r="AM256" s="165" t="n">
        <v>0.4</v>
      </c>
      <c r="AN256" s="166" t="n">
        <f aca="false">EnergyCurve!AN256*2</f>
        <v>0.34</v>
      </c>
      <c r="AO256" s="166" t="n">
        <f aca="false">EnergyCurve!AO256</f>
        <v>0.153</v>
      </c>
      <c r="AP256" s="166" t="n">
        <f aca="false">AN256*1.25</f>
        <v>0.425</v>
      </c>
      <c r="AQ256" s="166" t="n">
        <f aca="false">EnergyCurve!AQ256*2</f>
        <v>0.34</v>
      </c>
      <c r="AR256" s="166" t="n">
        <f aca="false">EnergyCurve!AR256</f>
        <v>0.136</v>
      </c>
      <c r="AS256" s="166" t="n">
        <f aca="false">EnergyCurve!AS256*1.25</f>
        <v>0.255</v>
      </c>
      <c r="AT256" s="168" t="n">
        <f aca="false">EnergyCurve!AT256*2*2</f>
        <v>8.83433884019377</v>
      </c>
      <c r="AU256" s="169" t="n">
        <f aca="false">EnergyCurve!AU256</f>
        <v>-0.552146177512111</v>
      </c>
      <c r="AV256" s="169" t="n">
        <f aca="false">AT256*1.25</f>
        <v>11.0429235502422</v>
      </c>
      <c r="AW256" s="168" t="n">
        <f aca="false">EnergyCurve!AW256*2*2</f>
        <v>9.5508</v>
      </c>
      <c r="AX256" s="169" t="n">
        <f aca="false">EnergyCurve!AX256</f>
        <v>-0.596925</v>
      </c>
      <c r="AY256" s="169" t="n">
        <f aca="false">AW256*1.25</f>
        <v>11.9385</v>
      </c>
      <c r="AZ256" s="167" t="n">
        <v>0</v>
      </c>
      <c r="BQ256" s="109" t="n">
        <v>36907.7428240741</v>
      </c>
      <c r="BR256" s="109" t="n">
        <v>36907.7434606482</v>
      </c>
      <c r="BS256" s="266" t="n">
        <v>43891</v>
      </c>
      <c r="BT256" s="63" t="n">
        <v>0</v>
      </c>
      <c r="BU256" s="63" t="n">
        <v>0</v>
      </c>
      <c r="BV256" s="63" t="n">
        <v>0</v>
      </c>
      <c r="BW256" s="63" t="n">
        <v>0</v>
      </c>
      <c r="BX256" s="63" t="n">
        <v>0</v>
      </c>
      <c r="BZ256" s="43" t="n">
        <v>43678</v>
      </c>
      <c r="CA256" s="0" t="n">
        <v>42.6809997558594</v>
      </c>
      <c r="CB256" s="116" t="n">
        <v>0</v>
      </c>
      <c r="CC256" s="116" t="n">
        <v>0</v>
      </c>
      <c r="CD256" s="116" t="n">
        <v>0</v>
      </c>
      <c r="CE256" s="117" t="n">
        <v>0</v>
      </c>
    </row>
    <row r="257" customFormat="false" ht="12.75" hidden="false" customHeight="false" outlineLevel="0" collapsed="false">
      <c r="B257" s="92" t="n">
        <f aca="false">MATCH(YEAR(D257),iSpreads)</f>
        <v>19</v>
      </c>
      <c r="C257" s="0" t="n">
        <f aca="false">MONTH(D257)</f>
        <v>9</v>
      </c>
      <c r="D257" s="93" t="n">
        <f aca="false">+EnergyCurve!D257</f>
        <v>43709</v>
      </c>
      <c r="E257" s="94" t="n">
        <f aca="false">VLOOKUP($D257,tblPriorPrice,2)</f>
        <v>36.2249984741211</v>
      </c>
      <c r="F257" s="95" t="n">
        <f aca="false">G257-E257</f>
        <v>1.52587890056566E-006</v>
      </c>
      <c r="G257" s="264" t="n">
        <f aca="false">IF(EnergyCurve!G257&lt;200,0.001*EnergyCurve!G257+1,1.2)*EnergyCurve!G257</f>
        <v>36.225</v>
      </c>
      <c r="H257" s="96" t="n">
        <f aca="false">IF(EnergyCurve!H257&lt;200,0.001*EnergyCurve!H257+1,1.2)*EnergyCurve!H257</f>
        <v>30.9</v>
      </c>
      <c r="I257" s="96" t="n">
        <f aca="false">IF(EnergyCurve!I257&lt;200,0.001*EnergyCurve!I257+1,1.2)*EnergyCurve!I257</f>
        <v>72.624</v>
      </c>
      <c r="J257" s="94" t="n">
        <f aca="false">VLOOKUP($D257,tblPriorPrice,3)</f>
        <v>0</v>
      </c>
      <c r="K257" s="95" t="n">
        <f aca="false">L257-J257</f>
        <v>0</v>
      </c>
      <c r="L257" s="264" t="n">
        <v>0</v>
      </c>
      <c r="M257" s="96" t="n">
        <f aca="false">L257</f>
        <v>0</v>
      </c>
      <c r="N257" s="96" t="n">
        <f aca="false">L257</f>
        <v>0</v>
      </c>
      <c r="V257" s="161" t="n">
        <f aca="false">D257</f>
        <v>43709</v>
      </c>
      <c r="W257" s="94" t="n">
        <f aca="false">VLOOKUP($D257,tblPriorPrice,4)</f>
        <v>0</v>
      </c>
      <c r="X257" s="162"/>
      <c r="Y257" s="176" t="n">
        <f aca="false">L257</f>
        <v>0</v>
      </c>
      <c r="Z257" s="177" t="n">
        <f aca="false">Y257</f>
        <v>0</v>
      </c>
      <c r="AA257" s="177" t="n">
        <f aca="false">Y257</f>
        <v>0</v>
      </c>
      <c r="AB257" s="94" t="n">
        <f aca="false">VLOOKUP($D257,tblPriorPrice,5)</f>
        <v>0</v>
      </c>
      <c r="AC257" s="162"/>
      <c r="AD257" s="176" t="n">
        <f aca="false">L257</f>
        <v>0</v>
      </c>
      <c r="AE257" s="96" t="n">
        <f aca="false">AD257</f>
        <v>0</v>
      </c>
      <c r="AF257" s="97" t="n">
        <f aca="false">AD257</f>
        <v>0</v>
      </c>
      <c r="AG257" s="94" t="n">
        <f aca="false">VLOOKUP($D257,tblPriorPrice,6)</f>
        <v>0</v>
      </c>
      <c r="AH257" s="182"/>
      <c r="AI257" s="189" t="n">
        <f aca="false">AG257+AH257</f>
        <v>0</v>
      </c>
      <c r="AJ257" s="96" t="n">
        <f aca="false">AI257</f>
        <v>0</v>
      </c>
      <c r="AK257" s="97" t="n">
        <f aca="false">AI257</f>
        <v>0</v>
      </c>
      <c r="AL257" s="178" t="n">
        <v>74</v>
      </c>
      <c r="AM257" s="165" t="n">
        <v>0.4</v>
      </c>
      <c r="AN257" s="166" t="n">
        <f aca="false">EnergyCurve!AN257*2</f>
        <v>0.34</v>
      </c>
      <c r="AO257" s="166" t="n">
        <f aca="false">EnergyCurve!AO257</f>
        <v>0.153</v>
      </c>
      <c r="AP257" s="166" t="n">
        <f aca="false">AN257*1.25</f>
        <v>0.425</v>
      </c>
      <c r="AQ257" s="166" t="n">
        <f aca="false">EnergyCurve!AQ257*2</f>
        <v>0.34</v>
      </c>
      <c r="AR257" s="166" t="n">
        <f aca="false">EnergyCurve!AR257</f>
        <v>0.136</v>
      </c>
      <c r="AS257" s="166" t="n">
        <f aca="false">EnergyCurve!AS257*1.25</f>
        <v>0.255</v>
      </c>
      <c r="AT257" s="168" t="n">
        <f aca="false">EnergyCurve!AT257*2*2</f>
        <v>7.29020125079811</v>
      </c>
      <c r="AU257" s="169" t="n">
        <f aca="false">EnergyCurve!AU257</f>
        <v>-0.455637578174882</v>
      </c>
      <c r="AV257" s="169" t="n">
        <f aca="false">AT257*1.25</f>
        <v>9.11275156349763</v>
      </c>
      <c r="AW257" s="168" t="n">
        <f aca="false">EnergyCurve!AW257*2*2</f>
        <v>10.116</v>
      </c>
      <c r="AX257" s="169" t="n">
        <f aca="false">EnergyCurve!AX257</f>
        <v>-0.63225</v>
      </c>
      <c r="AY257" s="169" t="n">
        <f aca="false">AW257*1.25</f>
        <v>12.645</v>
      </c>
      <c r="AZ257" s="167" t="n">
        <v>0</v>
      </c>
      <c r="BQ257" s="109" t="n">
        <v>36907.7428240741</v>
      </c>
      <c r="BR257" s="109" t="n">
        <v>36907.7434606482</v>
      </c>
      <c r="BS257" s="266" t="n">
        <v>43922</v>
      </c>
      <c r="BT257" s="63" t="n">
        <v>0</v>
      </c>
      <c r="BU257" s="63" t="n">
        <v>0</v>
      </c>
      <c r="BV257" s="63" t="n">
        <v>0</v>
      </c>
      <c r="BW257" s="63" t="n">
        <v>0</v>
      </c>
      <c r="BX257" s="63" t="n">
        <v>0</v>
      </c>
      <c r="BZ257" s="43" t="n">
        <v>43709</v>
      </c>
      <c r="CA257" s="0" t="n">
        <v>36.2249984741211</v>
      </c>
      <c r="CB257" s="116" t="n">
        <v>0</v>
      </c>
      <c r="CC257" s="116" t="n">
        <v>0</v>
      </c>
      <c r="CD257" s="116" t="n">
        <v>0</v>
      </c>
      <c r="CE257" s="117" t="n">
        <v>0</v>
      </c>
    </row>
    <row r="258" customFormat="false" ht="12.75" hidden="false" customHeight="false" outlineLevel="0" collapsed="false">
      <c r="B258" s="92" t="n">
        <f aca="false">MATCH(YEAR(D258),iSpreads)</f>
        <v>19</v>
      </c>
      <c r="C258" s="0" t="n">
        <f aca="false">MONTH(D258)</f>
        <v>10</v>
      </c>
      <c r="D258" s="93" t="n">
        <f aca="false">+EnergyCurve!D258</f>
        <v>43739</v>
      </c>
      <c r="E258" s="94" t="n">
        <f aca="false">VLOOKUP($D258,tblPriorPrice,2)</f>
        <v>38.3689994812012</v>
      </c>
      <c r="F258" s="95" t="n">
        <f aca="false">G258-E258</f>
        <v>5.18798827897626E-007</v>
      </c>
      <c r="G258" s="264" t="n">
        <f aca="false">IF(EnergyCurve!G258&lt;200,0.001*EnergyCurve!G258+1,1.2)*EnergyCurve!G258</f>
        <v>38.369</v>
      </c>
      <c r="H258" s="96" t="n">
        <f aca="false">IF(EnergyCurve!H258&lt;200,0.001*EnergyCurve!H258+1,1.2)*EnergyCurve!H258</f>
        <v>33.024</v>
      </c>
      <c r="I258" s="96" t="n">
        <f aca="false">IF(EnergyCurve!I258&lt;200,0.001*EnergyCurve!I258+1,1.2)*EnergyCurve!I258</f>
        <v>74.9</v>
      </c>
      <c r="J258" s="94" t="n">
        <f aca="false">VLOOKUP($D258,tblPriorPrice,3)</f>
        <v>0</v>
      </c>
      <c r="K258" s="95" t="n">
        <f aca="false">L258-J258</f>
        <v>0</v>
      </c>
      <c r="L258" s="264" t="n">
        <v>0</v>
      </c>
      <c r="M258" s="96" t="n">
        <f aca="false">L258</f>
        <v>0</v>
      </c>
      <c r="N258" s="96" t="n">
        <f aca="false">L258</f>
        <v>0</v>
      </c>
      <c r="V258" s="161" t="n">
        <f aca="false">D258</f>
        <v>43739</v>
      </c>
      <c r="W258" s="94" t="n">
        <f aca="false">VLOOKUP($D258,tblPriorPrice,4)</f>
        <v>0</v>
      </c>
      <c r="X258" s="162"/>
      <c r="Y258" s="176" t="n">
        <f aca="false">L258</f>
        <v>0</v>
      </c>
      <c r="Z258" s="177" t="n">
        <f aca="false">Y258</f>
        <v>0</v>
      </c>
      <c r="AA258" s="177" t="n">
        <f aca="false">Y258</f>
        <v>0</v>
      </c>
      <c r="AB258" s="94" t="n">
        <f aca="false">VLOOKUP($D258,tblPriorPrice,5)</f>
        <v>0</v>
      </c>
      <c r="AC258" s="162"/>
      <c r="AD258" s="176" t="n">
        <f aca="false">L258</f>
        <v>0</v>
      </c>
      <c r="AE258" s="96" t="n">
        <f aca="false">AD258</f>
        <v>0</v>
      </c>
      <c r="AF258" s="97" t="n">
        <f aca="false">AD258</f>
        <v>0</v>
      </c>
      <c r="AG258" s="94" t="n">
        <f aca="false">VLOOKUP($D258,tblPriorPrice,6)</f>
        <v>0</v>
      </c>
      <c r="AH258" s="182"/>
      <c r="AI258" s="189" t="n">
        <f aca="false">AG258+AH258</f>
        <v>0</v>
      </c>
      <c r="AJ258" s="96" t="n">
        <f aca="false">AI258</f>
        <v>0</v>
      </c>
      <c r="AK258" s="97" t="n">
        <f aca="false">AI258</f>
        <v>0</v>
      </c>
      <c r="AL258" s="178" t="n">
        <v>74</v>
      </c>
      <c r="AM258" s="165" t="n">
        <v>0.4</v>
      </c>
      <c r="AN258" s="166" t="n">
        <f aca="false">EnergyCurve!AN258*2</f>
        <v>0.34</v>
      </c>
      <c r="AO258" s="166" t="n">
        <f aca="false">EnergyCurve!AO258</f>
        <v>0.153</v>
      </c>
      <c r="AP258" s="166" t="n">
        <f aca="false">AN258*1.25</f>
        <v>0.425</v>
      </c>
      <c r="AQ258" s="166" t="n">
        <f aca="false">EnergyCurve!AQ258*2</f>
        <v>0.34</v>
      </c>
      <c r="AR258" s="166" t="n">
        <f aca="false">EnergyCurve!AR258</f>
        <v>0.136</v>
      </c>
      <c r="AS258" s="166" t="n">
        <f aca="false">EnergyCurve!AS258*1.25</f>
        <v>0.255</v>
      </c>
      <c r="AT258" s="168" t="n">
        <f aca="false">EnergyCurve!AT258*2*2</f>
        <v>7.75576329559925</v>
      </c>
      <c r="AU258" s="169" t="n">
        <f aca="false">EnergyCurve!AU258</f>
        <v>-0.484735205974953</v>
      </c>
      <c r="AV258" s="169" t="n">
        <f aca="false">AT258*1.25</f>
        <v>9.69470411949907</v>
      </c>
      <c r="AW258" s="168" t="n">
        <f aca="false">EnergyCurve!AW258*2*2</f>
        <v>9.9276</v>
      </c>
      <c r="AX258" s="169" t="n">
        <f aca="false">EnergyCurve!AX258</f>
        <v>-0.620475</v>
      </c>
      <c r="AY258" s="169" t="n">
        <f aca="false">AW258*1.25</f>
        <v>12.4095</v>
      </c>
      <c r="AZ258" s="167" t="n">
        <v>0</v>
      </c>
      <c r="BQ258" s="109" t="n">
        <v>36907.7428240741</v>
      </c>
      <c r="BR258" s="109" t="n">
        <v>36907.7434606482</v>
      </c>
      <c r="BS258" s="266" t="n">
        <v>43952</v>
      </c>
      <c r="BT258" s="63" t="n">
        <v>0</v>
      </c>
      <c r="BU258" s="63" t="n">
        <v>0</v>
      </c>
      <c r="BV258" s="63" t="n">
        <v>0</v>
      </c>
      <c r="BW258" s="63" t="n">
        <v>0</v>
      </c>
      <c r="BX258" s="63" t="n">
        <v>0</v>
      </c>
      <c r="BZ258" s="43" t="n">
        <v>43739</v>
      </c>
      <c r="CA258" s="0" t="n">
        <v>38.3689994812012</v>
      </c>
      <c r="CB258" s="116" t="n">
        <v>0</v>
      </c>
      <c r="CC258" s="116" t="n">
        <v>0</v>
      </c>
      <c r="CD258" s="116" t="n">
        <v>0</v>
      </c>
      <c r="CE258" s="117" t="n">
        <v>0</v>
      </c>
    </row>
    <row r="259" customFormat="false" ht="12.75" hidden="false" customHeight="false" outlineLevel="0" collapsed="false">
      <c r="B259" s="92" t="n">
        <f aca="false">MATCH(YEAR(D259),iSpreads)</f>
        <v>19</v>
      </c>
      <c r="C259" s="0" t="n">
        <f aca="false">MONTH(D259)</f>
        <v>11</v>
      </c>
      <c r="D259" s="93" t="n">
        <f aca="false">+EnergyCurve!D259</f>
        <v>43770</v>
      </c>
      <c r="E259" s="94" t="n">
        <f aca="false">VLOOKUP($D259,tblPriorPrice,2)</f>
        <v>31.9610004425049</v>
      </c>
      <c r="F259" s="95" t="n">
        <f aca="false">G259-E259</f>
        <v>-4.42504884290429E-007</v>
      </c>
      <c r="G259" s="264" t="n">
        <f aca="false">IF(EnergyCurve!G259&lt;200,0.001*EnergyCurve!G259+1,1.2)*EnergyCurve!G259</f>
        <v>31.961</v>
      </c>
      <c r="H259" s="96" t="n">
        <f aca="false">IF(EnergyCurve!H259&lt;200,0.001*EnergyCurve!H259+1,1.2)*EnergyCurve!H259</f>
        <v>26.676</v>
      </c>
      <c r="I259" s="96" t="n">
        <f aca="false">IF(EnergyCurve!I259&lt;200,0.001*EnergyCurve!I259+1,1.2)*EnergyCurve!I259</f>
        <v>68.096</v>
      </c>
      <c r="J259" s="94" t="n">
        <f aca="false">VLOOKUP($D259,tblPriorPrice,3)</f>
        <v>0</v>
      </c>
      <c r="K259" s="95" t="n">
        <f aca="false">L259-J259</f>
        <v>0</v>
      </c>
      <c r="L259" s="264" t="n">
        <v>0</v>
      </c>
      <c r="M259" s="96" t="n">
        <f aca="false">L259</f>
        <v>0</v>
      </c>
      <c r="N259" s="96" t="n">
        <f aca="false">L259</f>
        <v>0</v>
      </c>
      <c r="V259" s="161" t="n">
        <f aca="false">D259</f>
        <v>43770</v>
      </c>
      <c r="W259" s="94" t="n">
        <f aca="false">VLOOKUP($D259,tblPriorPrice,4)</f>
        <v>0</v>
      </c>
      <c r="X259" s="162"/>
      <c r="Y259" s="176" t="n">
        <f aca="false">L259</f>
        <v>0</v>
      </c>
      <c r="Z259" s="177" t="n">
        <f aca="false">Y259</f>
        <v>0</v>
      </c>
      <c r="AA259" s="177" t="n">
        <f aca="false">Y259</f>
        <v>0</v>
      </c>
      <c r="AB259" s="94" t="n">
        <f aca="false">VLOOKUP($D259,tblPriorPrice,5)</f>
        <v>0</v>
      </c>
      <c r="AC259" s="162"/>
      <c r="AD259" s="176" t="n">
        <f aca="false">L259</f>
        <v>0</v>
      </c>
      <c r="AE259" s="96" t="n">
        <f aca="false">AD259</f>
        <v>0</v>
      </c>
      <c r="AF259" s="97" t="n">
        <f aca="false">AD259</f>
        <v>0</v>
      </c>
      <c r="AG259" s="94" t="n">
        <f aca="false">VLOOKUP($D259,tblPriorPrice,6)</f>
        <v>0</v>
      </c>
      <c r="AH259" s="182"/>
      <c r="AI259" s="189" t="n">
        <f aca="false">AG259+AH259</f>
        <v>0</v>
      </c>
      <c r="AJ259" s="96" t="n">
        <f aca="false">AI259</f>
        <v>0</v>
      </c>
      <c r="AK259" s="97" t="n">
        <f aca="false">AI259</f>
        <v>0</v>
      </c>
      <c r="AL259" s="178" t="n">
        <v>74</v>
      </c>
      <c r="AM259" s="165" t="n">
        <v>0.4</v>
      </c>
      <c r="AN259" s="166" t="n">
        <f aca="false">EnergyCurve!AN259*2</f>
        <v>0.34</v>
      </c>
      <c r="AO259" s="166" t="n">
        <f aca="false">EnergyCurve!AO259</f>
        <v>0.153</v>
      </c>
      <c r="AP259" s="166" t="n">
        <f aca="false">AN259*1.25</f>
        <v>0.425</v>
      </c>
      <c r="AQ259" s="166" t="n">
        <f aca="false">EnergyCurve!AQ259*2</f>
        <v>0.34</v>
      </c>
      <c r="AR259" s="166" t="n">
        <f aca="false">EnergyCurve!AR259</f>
        <v>0.136</v>
      </c>
      <c r="AS259" s="166" t="n">
        <f aca="false">EnergyCurve!AS259*1.25</f>
        <v>0.255</v>
      </c>
      <c r="AT259" s="168" t="n">
        <f aca="false">EnergyCurve!AT259*2*2</f>
        <v>6.56235962744143</v>
      </c>
      <c r="AU259" s="169" t="n">
        <f aca="false">EnergyCurve!AU259</f>
        <v>-0.410147476715089</v>
      </c>
      <c r="AV259" s="169" t="n">
        <f aca="false">AT259*1.25</f>
        <v>8.20294953430178</v>
      </c>
      <c r="AW259" s="168" t="n">
        <f aca="false">EnergyCurve!AW259*2*2</f>
        <v>10.4928</v>
      </c>
      <c r="AX259" s="169" t="n">
        <f aca="false">EnergyCurve!AX259</f>
        <v>-0.6558</v>
      </c>
      <c r="AY259" s="169" t="n">
        <f aca="false">AW259*1.25</f>
        <v>13.116</v>
      </c>
      <c r="AZ259" s="167" t="n">
        <v>0</v>
      </c>
      <c r="BQ259" s="109" t="n">
        <v>36907.7428240741</v>
      </c>
      <c r="BR259" s="109" t="n">
        <v>36907.7434606482</v>
      </c>
      <c r="BS259" s="266" t="n">
        <v>43983</v>
      </c>
      <c r="BT259" s="63" t="n">
        <v>0</v>
      </c>
      <c r="BU259" s="63" t="n">
        <v>0</v>
      </c>
      <c r="BV259" s="63" t="n">
        <v>0</v>
      </c>
      <c r="BW259" s="63" t="n">
        <v>0</v>
      </c>
      <c r="BX259" s="63" t="n">
        <v>0</v>
      </c>
      <c r="BZ259" s="43" t="n">
        <v>43770</v>
      </c>
      <c r="CA259" s="0" t="n">
        <v>31.9610004425049</v>
      </c>
      <c r="CB259" s="116" t="n">
        <v>0</v>
      </c>
      <c r="CC259" s="116" t="n">
        <v>0</v>
      </c>
      <c r="CD259" s="116" t="n">
        <v>0</v>
      </c>
      <c r="CE259" s="117" t="n">
        <v>0</v>
      </c>
    </row>
    <row r="260" customFormat="false" ht="12.75" hidden="false" customHeight="false" outlineLevel="0" collapsed="false">
      <c r="B260" s="92" t="n">
        <f aca="false">MATCH(YEAR(D260),iSpreads)</f>
        <v>19</v>
      </c>
      <c r="C260" s="0" t="n">
        <f aca="false">MONTH(D260)</f>
        <v>12</v>
      </c>
      <c r="D260" s="93" t="n">
        <f aca="false">+EnergyCurve!D260</f>
        <v>43800</v>
      </c>
      <c r="E260" s="94" t="n">
        <f aca="false">VLOOKUP($D260,tblPriorPrice,2)</f>
        <v>33.0239982604981</v>
      </c>
      <c r="F260" s="95" t="n">
        <f aca="false">G260-E260</f>
        <v>1.73950195403449E-006</v>
      </c>
      <c r="G260" s="264" t="n">
        <f aca="false">IF(EnergyCurve!G260&lt;200,0.001*EnergyCurve!G260+1,1.2)*EnergyCurve!G260</f>
        <v>33.024</v>
      </c>
      <c r="H260" s="96" t="n">
        <f aca="false">IF(EnergyCurve!H260&lt;200,0.001*EnergyCurve!H260+1,1.2)*EnergyCurve!H260</f>
        <v>27.729</v>
      </c>
      <c r="I260" s="96" t="n">
        <f aca="false">IF(EnergyCurve!I260&lt;200,0.001*EnergyCurve!I260+1,1.2)*EnergyCurve!I260</f>
        <v>69.225</v>
      </c>
      <c r="J260" s="94" t="n">
        <f aca="false">VLOOKUP($D260,tblPriorPrice,3)</f>
        <v>0</v>
      </c>
      <c r="K260" s="95" t="n">
        <f aca="false">L260-J260</f>
        <v>0</v>
      </c>
      <c r="L260" s="264" t="n">
        <v>0</v>
      </c>
      <c r="M260" s="96" t="n">
        <f aca="false">L260</f>
        <v>0</v>
      </c>
      <c r="N260" s="96" t="n">
        <f aca="false">L260</f>
        <v>0</v>
      </c>
      <c r="V260" s="161" t="n">
        <f aca="false">D260</f>
        <v>43800</v>
      </c>
      <c r="W260" s="94" t="n">
        <f aca="false">VLOOKUP($D260,tblPriorPrice,4)</f>
        <v>0</v>
      </c>
      <c r="X260" s="162"/>
      <c r="Y260" s="176" t="n">
        <f aca="false">L260</f>
        <v>0</v>
      </c>
      <c r="Z260" s="177" t="n">
        <f aca="false">Y260</f>
        <v>0</v>
      </c>
      <c r="AA260" s="177" t="n">
        <f aca="false">Y260</f>
        <v>0</v>
      </c>
      <c r="AB260" s="94" t="n">
        <f aca="false">VLOOKUP($D260,tblPriorPrice,5)</f>
        <v>0</v>
      </c>
      <c r="AC260" s="162"/>
      <c r="AD260" s="176" t="n">
        <f aca="false">L260</f>
        <v>0</v>
      </c>
      <c r="AE260" s="96" t="n">
        <f aca="false">AD260</f>
        <v>0</v>
      </c>
      <c r="AF260" s="97" t="n">
        <f aca="false">AD260</f>
        <v>0</v>
      </c>
      <c r="AG260" s="94" t="n">
        <f aca="false">VLOOKUP($D260,tblPriorPrice,6)</f>
        <v>0</v>
      </c>
      <c r="AH260" s="182"/>
      <c r="AI260" s="189" t="n">
        <f aca="false">AG260+AH260</f>
        <v>0</v>
      </c>
      <c r="AJ260" s="96" t="n">
        <f aca="false">AI260</f>
        <v>0</v>
      </c>
      <c r="AK260" s="97" t="n">
        <f aca="false">AI260</f>
        <v>0</v>
      </c>
      <c r="AL260" s="178" t="n">
        <v>74</v>
      </c>
      <c r="AM260" s="165" t="n">
        <v>0.4</v>
      </c>
      <c r="AN260" s="166" t="n">
        <f aca="false">EnergyCurve!AN260*2</f>
        <v>0.34</v>
      </c>
      <c r="AO260" s="166" t="n">
        <f aca="false">EnergyCurve!AO260</f>
        <v>0.153</v>
      </c>
      <c r="AP260" s="166" t="n">
        <f aca="false">AN260*1.25</f>
        <v>0.425</v>
      </c>
      <c r="AQ260" s="166" t="n">
        <f aca="false">EnergyCurve!AQ260*2</f>
        <v>0.34</v>
      </c>
      <c r="AR260" s="166" t="n">
        <f aca="false">EnergyCurve!AR260</f>
        <v>0.136</v>
      </c>
      <c r="AS260" s="166" t="n">
        <f aca="false">EnergyCurve!AS260*1.25</f>
        <v>0.255</v>
      </c>
      <c r="AT260" s="168" t="n">
        <f aca="false">EnergyCurve!AT260*2*2</f>
        <v>6.71448638739126</v>
      </c>
      <c r="AU260" s="169" t="n">
        <f aca="false">EnergyCurve!AU260</f>
        <v>-0.419655399211954</v>
      </c>
      <c r="AV260" s="169" t="n">
        <f aca="false">AT260*1.25</f>
        <v>8.39310798423907</v>
      </c>
      <c r="AW260" s="168" t="n">
        <f aca="false">EnergyCurve!AW260*2*2</f>
        <v>10.6812</v>
      </c>
      <c r="AX260" s="169" t="n">
        <f aca="false">EnergyCurve!AX260</f>
        <v>-0.667575</v>
      </c>
      <c r="AY260" s="169" t="n">
        <f aca="false">AW260*1.25</f>
        <v>13.3515</v>
      </c>
      <c r="AZ260" s="167" t="n">
        <v>0</v>
      </c>
      <c r="BQ260" s="109" t="n">
        <v>36907.7428240741</v>
      </c>
      <c r="BR260" s="109" t="n">
        <v>36907.7434606482</v>
      </c>
      <c r="BS260" s="266" t="n">
        <v>44013</v>
      </c>
      <c r="BT260" s="63" t="n">
        <v>0</v>
      </c>
      <c r="BU260" s="63" t="n">
        <v>0</v>
      </c>
      <c r="BV260" s="63" t="n">
        <v>0</v>
      </c>
      <c r="BW260" s="63" t="n">
        <v>0</v>
      </c>
      <c r="BX260" s="63" t="n">
        <v>0</v>
      </c>
      <c r="BZ260" s="43" t="n">
        <v>43800</v>
      </c>
      <c r="CA260" s="0" t="n">
        <v>33.0239982604981</v>
      </c>
      <c r="CB260" s="116" t="n">
        <v>0</v>
      </c>
      <c r="CC260" s="116" t="n">
        <v>0</v>
      </c>
      <c r="CD260" s="116" t="n">
        <v>0</v>
      </c>
      <c r="CE260" s="117" t="n">
        <v>0</v>
      </c>
    </row>
    <row r="261" customFormat="false" ht="12.75" hidden="false" customHeight="false" outlineLevel="0" collapsed="false">
      <c r="B261" s="92" t="n">
        <f aca="false">MATCH(YEAR(D261),iSpreads)</f>
        <v>20</v>
      </c>
      <c r="C261" s="0" t="n">
        <f aca="false">MONTH(D261)</f>
        <v>1</v>
      </c>
      <c r="D261" s="93" t="n">
        <f aca="false">+EnergyCurve!D261</f>
        <v>43831</v>
      </c>
      <c r="E261" s="94" t="n">
        <f aca="false">VLOOKUP($D261,tblPriorPrice,2)</f>
        <v>34.0890007019043</v>
      </c>
      <c r="F261" s="95" t="n">
        <f aca="false">G261-E261</f>
        <v>-7.01904298239242E-007</v>
      </c>
      <c r="G261" s="264" t="n">
        <f aca="false">IF(EnergyCurve!G261&lt;200,0.001*EnergyCurve!G261+1,1.2)*EnergyCurve!G261</f>
        <v>34.089</v>
      </c>
      <c r="H261" s="96" t="n">
        <f aca="false">IF(EnergyCurve!H261&lt;200,0.001*EnergyCurve!H261+1,1.2)*EnergyCurve!H261</f>
        <v>28.784</v>
      </c>
      <c r="I261" s="96" t="n">
        <f aca="false">IF(EnergyCurve!I261&lt;200,0.001*EnergyCurve!I261+1,1.2)*EnergyCurve!I261</f>
        <v>71.489</v>
      </c>
      <c r="J261" s="94" t="n">
        <f aca="false">VLOOKUP($D261,tblPriorPrice,3)</f>
        <v>0</v>
      </c>
      <c r="K261" s="95" t="n">
        <f aca="false">L261-J261</f>
        <v>0</v>
      </c>
      <c r="L261" s="264" t="n">
        <v>0</v>
      </c>
      <c r="M261" s="96" t="n">
        <f aca="false">L261</f>
        <v>0</v>
      </c>
      <c r="N261" s="96" t="n">
        <f aca="false">L261</f>
        <v>0</v>
      </c>
      <c r="V261" s="161" t="n">
        <f aca="false">D261</f>
        <v>43831</v>
      </c>
      <c r="W261" s="94" t="n">
        <f aca="false">VLOOKUP($D261,tblPriorPrice,4)</f>
        <v>0</v>
      </c>
      <c r="X261" s="162"/>
      <c r="Y261" s="176" t="n">
        <f aca="false">L261</f>
        <v>0</v>
      </c>
      <c r="Z261" s="177" t="n">
        <f aca="false">Y261</f>
        <v>0</v>
      </c>
      <c r="AA261" s="177" t="n">
        <f aca="false">Y261</f>
        <v>0</v>
      </c>
      <c r="AB261" s="94" t="n">
        <f aca="false">VLOOKUP($D261,tblPriorPrice,5)</f>
        <v>0</v>
      </c>
      <c r="AC261" s="162"/>
      <c r="AD261" s="176" t="n">
        <f aca="false">L261</f>
        <v>0</v>
      </c>
      <c r="AE261" s="96" t="n">
        <f aca="false">AD261</f>
        <v>0</v>
      </c>
      <c r="AF261" s="97" t="n">
        <f aca="false">AD261</f>
        <v>0</v>
      </c>
      <c r="AG261" s="94" t="n">
        <f aca="false">VLOOKUP($D261,tblPriorPrice,6)</f>
        <v>0</v>
      </c>
      <c r="AH261" s="182"/>
      <c r="AI261" s="189" t="n">
        <f aca="false">AG261+AH261</f>
        <v>0</v>
      </c>
      <c r="AJ261" s="96" t="n">
        <f aca="false">AI261</f>
        <v>0</v>
      </c>
      <c r="AK261" s="97" t="n">
        <f aca="false">AI261</f>
        <v>0</v>
      </c>
      <c r="AL261" s="178" t="n">
        <v>74</v>
      </c>
      <c r="AM261" s="165" t="n">
        <v>0.4</v>
      </c>
      <c r="AN261" s="166" t="n">
        <f aca="false">EnergyCurve!AN261*2</f>
        <v>0.34</v>
      </c>
      <c r="AO261" s="166" t="n">
        <f aca="false">EnergyCurve!AO261</f>
        <v>0.153</v>
      </c>
      <c r="AP261" s="166" t="n">
        <f aca="false">AN261*1.25</f>
        <v>0.425</v>
      </c>
      <c r="AQ261" s="166" t="n">
        <f aca="false">EnergyCurve!AQ261*2</f>
        <v>0.34</v>
      </c>
      <c r="AR261" s="166" t="n">
        <f aca="false">EnergyCurve!AR261</f>
        <v>0.136</v>
      </c>
      <c r="AS261" s="166" t="n">
        <f aca="false">EnergyCurve!AS261*1.25</f>
        <v>0.255</v>
      </c>
      <c r="AT261" s="168" t="n">
        <f aca="false">EnergyCurve!AT261*2*2</f>
        <v>6.88781730529552</v>
      </c>
      <c r="AU261" s="169" t="n">
        <f aca="false">EnergyCurve!AU261</f>
        <v>-0.43048858158097</v>
      </c>
      <c r="AV261" s="169" t="n">
        <f aca="false">AT261*1.25</f>
        <v>8.60977163161941</v>
      </c>
      <c r="AW261" s="168" t="n">
        <f aca="false">EnergyCurve!AW261*2*2</f>
        <v>10.4928</v>
      </c>
      <c r="AX261" s="169" t="n">
        <f aca="false">EnergyCurve!AX261</f>
        <v>-0.6558</v>
      </c>
      <c r="AY261" s="169" t="n">
        <f aca="false">AW261*1.25</f>
        <v>13.116</v>
      </c>
      <c r="AZ261" s="167" t="n">
        <v>0</v>
      </c>
      <c r="BQ261" s="109" t="n">
        <v>36907.7428240741</v>
      </c>
      <c r="BR261" s="109" t="n">
        <v>36907.7434606482</v>
      </c>
      <c r="BS261" s="266" t="n">
        <v>44044</v>
      </c>
      <c r="BT261" s="63" t="n">
        <v>0</v>
      </c>
      <c r="BU261" s="63" t="n">
        <v>0</v>
      </c>
      <c r="BV261" s="63" t="n">
        <v>0</v>
      </c>
      <c r="BW261" s="63" t="n">
        <v>0</v>
      </c>
      <c r="BX261" s="63" t="n">
        <v>0</v>
      </c>
      <c r="BZ261" s="43" t="n">
        <v>43831</v>
      </c>
      <c r="CA261" s="0" t="n">
        <v>34.0890007019043</v>
      </c>
      <c r="CB261" s="116" t="n">
        <v>0</v>
      </c>
      <c r="CC261" s="116" t="n">
        <v>0</v>
      </c>
      <c r="CD261" s="116" t="n">
        <v>0</v>
      </c>
      <c r="CE261" s="117" t="n">
        <v>0</v>
      </c>
    </row>
    <row r="262" customFormat="false" ht="12.75" hidden="false" customHeight="false" outlineLevel="0" collapsed="false">
      <c r="B262" s="92" t="n">
        <f aca="false">MATCH(YEAR(D262),iSpreads)</f>
        <v>20</v>
      </c>
      <c r="C262" s="0" t="n">
        <f aca="false">MONTH(D262)</f>
        <v>2</v>
      </c>
      <c r="D262" s="93" t="n">
        <f aca="false">+EnergyCurve!D262</f>
        <v>43862</v>
      </c>
      <c r="E262" s="94" t="n">
        <f aca="false">VLOOKUP($D262,tblPriorPrice,2)</f>
        <v>30.8999996185303</v>
      </c>
      <c r="F262" s="95" t="n">
        <f aca="false">G262-E262</f>
        <v>3.81469728694128E-007</v>
      </c>
      <c r="G262" s="264" t="n">
        <f aca="false">IF(EnergyCurve!G262&lt;200,0.001*EnergyCurve!G262+1,1.2)*EnergyCurve!G262</f>
        <v>30.9</v>
      </c>
      <c r="H262" s="96" t="n">
        <f aca="false">IF(EnergyCurve!H262&lt;200,0.001*EnergyCurve!H262+1,1.2)*EnergyCurve!H262</f>
        <v>25.625</v>
      </c>
      <c r="I262" s="96" t="n">
        <f aca="false">IF(EnergyCurve!I262&lt;200,0.001*EnergyCurve!I262+1,1.2)*EnergyCurve!I262</f>
        <v>68.096</v>
      </c>
      <c r="J262" s="94" t="n">
        <f aca="false">VLOOKUP($D262,tblPriorPrice,3)</f>
        <v>0</v>
      </c>
      <c r="K262" s="95" t="n">
        <f aca="false">L262-J262</f>
        <v>0</v>
      </c>
      <c r="L262" s="264" t="n">
        <v>0</v>
      </c>
      <c r="M262" s="96" t="n">
        <f aca="false">L262</f>
        <v>0</v>
      </c>
      <c r="N262" s="96" t="n">
        <f aca="false">L262</f>
        <v>0</v>
      </c>
      <c r="V262" s="161" t="n">
        <f aca="false">D262</f>
        <v>43862</v>
      </c>
      <c r="W262" s="94" t="n">
        <f aca="false">VLOOKUP($D262,tblPriorPrice,4)</f>
        <v>0</v>
      </c>
      <c r="X262" s="162"/>
      <c r="Y262" s="176" t="n">
        <f aca="false">L262</f>
        <v>0</v>
      </c>
      <c r="Z262" s="177" t="n">
        <f aca="false">Y262</f>
        <v>0</v>
      </c>
      <c r="AA262" s="177" t="n">
        <f aca="false">Y262</f>
        <v>0</v>
      </c>
      <c r="AB262" s="94" t="n">
        <f aca="false">VLOOKUP($D262,tblPriorPrice,5)</f>
        <v>0</v>
      </c>
      <c r="AC262" s="162"/>
      <c r="AD262" s="176" t="n">
        <f aca="false">L262</f>
        <v>0</v>
      </c>
      <c r="AE262" s="96" t="n">
        <f aca="false">AD262</f>
        <v>0</v>
      </c>
      <c r="AF262" s="97" t="n">
        <f aca="false">AD262</f>
        <v>0</v>
      </c>
      <c r="AG262" s="94" t="n">
        <f aca="false">VLOOKUP($D262,tblPriorPrice,6)</f>
        <v>0</v>
      </c>
      <c r="AH262" s="182"/>
      <c r="AI262" s="189" t="n">
        <f aca="false">AG262+AH262</f>
        <v>0</v>
      </c>
      <c r="AJ262" s="96" t="n">
        <f aca="false">AI262</f>
        <v>0</v>
      </c>
      <c r="AK262" s="97" t="n">
        <f aca="false">AI262</f>
        <v>0</v>
      </c>
      <c r="AL262" s="178" t="n">
        <v>74</v>
      </c>
      <c r="AM262" s="165" t="n">
        <v>0.4</v>
      </c>
      <c r="AN262" s="166" t="n">
        <f aca="false">EnergyCurve!AN262*2</f>
        <v>0.34</v>
      </c>
      <c r="AO262" s="166" t="n">
        <f aca="false">EnergyCurve!AO262</f>
        <v>0.153</v>
      </c>
      <c r="AP262" s="166" t="n">
        <f aca="false">AN262*1.25</f>
        <v>0.425</v>
      </c>
      <c r="AQ262" s="166" t="n">
        <f aca="false">EnergyCurve!AQ262*2</f>
        <v>0.34</v>
      </c>
      <c r="AR262" s="166" t="n">
        <f aca="false">EnergyCurve!AR262</f>
        <v>0.136</v>
      </c>
      <c r="AS262" s="166" t="n">
        <f aca="false">EnergyCurve!AS262*1.25</f>
        <v>0.255</v>
      </c>
      <c r="AT262" s="168" t="n">
        <f aca="false">EnergyCurve!AT262*2*2</f>
        <v>6.43371807382396</v>
      </c>
      <c r="AU262" s="169" t="n">
        <f aca="false">EnergyCurve!AU262</f>
        <v>-0.402107379613998</v>
      </c>
      <c r="AV262" s="169" t="n">
        <f aca="false">AT262*1.25</f>
        <v>8.04214759227995</v>
      </c>
      <c r="AW262" s="168" t="n">
        <f aca="false">EnergyCurve!AW262*2*2</f>
        <v>10.587</v>
      </c>
      <c r="AX262" s="169" t="n">
        <f aca="false">EnergyCurve!AX262</f>
        <v>-0.6616875</v>
      </c>
      <c r="AY262" s="169" t="n">
        <f aca="false">AW262*1.25</f>
        <v>13.23375</v>
      </c>
      <c r="AZ262" s="167" t="n">
        <v>0</v>
      </c>
      <c r="BQ262" s="109" t="n">
        <v>36907.7428240741</v>
      </c>
      <c r="BR262" s="109" t="n">
        <v>36907.7434606482</v>
      </c>
      <c r="BS262" s="266" t="n">
        <v>44075</v>
      </c>
      <c r="BT262" s="63" t="n">
        <v>0</v>
      </c>
      <c r="BU262" s="63" t="n">
        <v>0</v>
      </c>
      <c r="BV262" s="63" t="n">
        <v>0</v>
      </c>
      <c r="BW262" s="63" t="n">
        <v>0</v>
      </c>
      <c r="BX262" s="63" t="n">
        <v>0</v>
      </c>
      <c r="BZ262" s="43" t="n">
        <v>43862</v>
      </c>
      <c r="CA262" s="0" t="n">
        <v>30.8999996185303</v>
      </c>
      <c r="CB262" s="116" t="n">
        <v>0</v>
      </c>
      <c r="CC262" s="116" t="n">
        <v>0</v>
      </c>
      <c r="CD262" s="116" t="n">
        <v>0</v>
      </c>
      <c r="CE262" s="117" t="n">
        <v>0</v>
      </c>
    </row>
    <row r="263" customFormat="false" ht="12.75" hidden="false" customHeight="false" outlineLevel="0" collapsed="false">
      <c r="B263" s="92" t="n">
        <f aca="false">MATCH(YEAR(D263),iSpreads)</f>
        <v>20</v>
      </c>
      <c r="C263" s="0" t="n">
        <f aca="false">MONTH(D263)</f>
        <v>3</v>
      </c>
      <c r="D263" s="93" t="n">
        <f aca="false">+EnergyCurve!D263</f>
        <v>43891</v>
      </c>
      <c r="E263" s="94" t="n">
        <f aca="false">VLOOKUP($D263,tblPriorPrice,2)</f>
        <v>29.8409996032715</v>
      </c>
      <c r="F263" s="95" t="n">
        <f aca="false">G263-E263</f>
        <v>3.96728513152311E-007</v>
      </c>
      <c r="G263" s="264" t="n">
        <f aca="false">IF(EnergyCurve!G263&lt;200,0.001*EnergyCurve!G263+1,1.2)*EnergyCurve!G263</f>
        <v>29.841</v>
      </c>
      <c r="H263" s="96" t="n">
        <f aca="false">IF(EnergyCurve!H263&lt;200,0.001*EnergyCurve!H263+1,1.2)*EnergyCurve!H263</f>
        <v>24.576</v>
      </c>
      <c r="I263" s="96" t="n">
        <f aca="false">IF(EnergyCurve!I263&lt;200,0.001*EnergyCurve!I263+1,1.2)*EnergyCurve!I263</f>
        <v>66.969</v>
      </c>
      <c r="J263" s="94" t="n">
        <f aca="false">VLOOKUP($D263,tblPriorPrice,3)</f>
        <v>0</v>
      </c>
      <c r="K263" s="95" t="n">
        <f aca="false">L263-J263</f>
        <v>0</v>
      </c>
      <c r="L263" s="264" t="n">
        <v>0</v>
      </c>
      <c r="M263" s="96" t="n">
        <f aca="false">L263</f>
        <v>0</v>
      </c>
      <c r="N263" s="96" t="n">
        <f aca="false">L263</f>
        <v>0</v>
      </c>
      <c r="V263" s="161" t="n">
        <f aca="false">D263</f>
        <v>43891</v>
      </c>
      <c r="W263" s="94" t="n">
        <f aca="false">VLOOKUP($D263,tblPriorPrice,4)</f>
        <v>0</v>
      </c>
      <c r="X263" s="162"/>
      <c r="Y263" s="176" t="n">
        <f aca="false">L263</f>
        <v>0</v>
      </c>
      <c r="Z263" s="177" t="n">
        <f aca="false">Y263</f>
        <v>0</v>
      </c>
      <c r="AA263" s="177" t="n">
        <f aca="false">Y263</f>
        <v>0</v>
      </c>
      <c r="AB263" s="94" t="n">
        <f aca="false">VLOOKUP($D263,tblPriorPrice,5)</f>
        <v>0</v>
      </c>
      <c r="AC263" s="162"/>
      <c r="AD263" s="176" t="n">
        <f aca="false">L263</f>
        <v>0</v>
      </c>
      <c r="AE263" s="96" t="n">
        <f aca="false">AD263</f>
        <v>0</v>
      </c>
      <c r="AF263" s="97" t="n">
        <f aca="false">AD263</f>
        <v>0</v>
      </c>
      <c r="AG263" s="94" t="n">
        <f aca="false">VLOOKUP($D263,tblPriorPrice,6)</f>
        <v>0</v>
      </c>
      <c r="AH263" s="182"/>
      <c r="AI263" s="189" t="n">
        <f aca="false">AG263+AH263</f>
        <v>0</v>
      </c>
      <c r="AJ263" s="96" t="n">
        <f aca="false">AI263</f>
        <v>0</v>
      </c>
      <c r="AK263" s="97" t="n">
        <f aca="false">AI263</f>
        <v>0</v>
      </c>
      <c r="AL263" s="178" t="n">
        <v>74</v>
      </c>
      <c r="AM263" s="165" t="n">
        <v>0.4</v>
      </c>
      <c r="AN263" s="166" t="n">
        <f aca="false">EnergyCurve!AN263*2</f>
        <v>0.34</v>
      </c>
      <c r="AO263" s="166" t="n">
        <f aca="false">EnergyCurve!AO263</f>
        <v>0.153</v>
      </c>
      <c r="AP263" s="166" t="n">
        <f aca="false">AN263*1.25</f>
        <v>0.425</v>
      </c>
      <c r="AQ263" s="166" t="n">
        <f aca="false">EnergyCurve!AQ263*2</f>
        <v>0.34</v>
      </c>
      <c r="AR263" s="166" t="n">
        <f aca="false">EnergyCurve!AR263</f>
        <v>0.136</v>
      </c>
      <c r="AS263" s="166" t="n">
        <f aca="false">EnergyCurve!AS263*1.25</f>
        <v>0.255</v>
      </c>
      <c r="AT263" s="168" t="n">
        <f aca="false">EnergyCurve!AT263*2*2</f>
        <v>6.33113623762127</v>
      </c>
      <c r="AU263" s="169" t="n">
        <f aca="false">EnergyCurve!AU263</f>
        <v>-0.395696014851329</v>
      </c>
      <c r="AV263" s="169" t="n">
        <f aca="false">AT263*1.25</f>
        <v>7.91392029702658</v>
      </c>
      <c r="AW263" s="168" t="n">
        <f aca="false">EnergyCurve!AW263*2*2</f>
        <v>10.6812</v>
      </c>
      <c r="AX263" s="169" t="n">
        <f aca="false">EnergyCurve!AX263</f>
        <v>-0.667575</v>
      </c>
      <c r="AY263" s="169" t="n">
        <f aca="false">AW263*1.25</f>
        <v>13.3515</v>
      </c>
      <c r="AZ263" s="167" t="n">
        <v>0</v>
      </c>
      <c r="BQ263" s="109" t="n">
        <v>36907.7428240741</v>
      </c>
      <c r="BR263" s="109" t="n">
        <v>36907.7434606482</v>
      </c>
      <c r="BS263" s="266" t="n">
        <v>44105</v>
      </c>
      <c r="BT263" s="63" t="n">
        <v>0</v>
      </c>
      <c r="BU263" s="63" t="n">
        <v>0</v>
      </c>
      <c r="BV263" s="63" t="n">
        <v>0</v>
      </c>
      <c r="BW263" s="63" t="n">
        <v>0</v>
      </c>
      <c r="BX263" s="63" t="n">
        <v>0</v>
      </c>
      <c r="BZ263" s="43" t="n">
        <v>43891</v>
      </c>
      <c r="CA263" s="0" t="n">
        <v>29.8409996032715</v>
      </c>
      <c r="CB263" s="116" t="n">
        <v>0</v>
      </c>
      <c r="CC263" s="116" t="n">
        <v>0</v>
      </c>
      <c r="CD263" s="116" t="n">
        <v>0</v>
      </c>
      <c r="CE263" s="117" t="n">
        <v>0</v>
      </c>
    </row>
    <row r="264" customFormat="false" ht="12.75" hidden="false" customHeight="false" outlineLevel="0" collapsed="false">
      <c r="B264" s="92" t="n">
        <f aca="false">MATCH(YEAR(D264),iSpreads)</f>
        <v>20</v>
      </c>
      <c r="C264" s="0" t="n">
        <f aca="false">MONTH(D264)</f>
        <v>4</v>
      </c>
      <c r="D264" s="93" t="n">
        <f aca="false">+EnergyCurve!D264</f>
        <v>43922</v>
      </c>
      <c r="E264" s="94" t="n">
        <f aca="false">VLOOKUP($D264,tblPriorPrice,2)</f>
        <v>29.8409996032715</v>
      </c>
      <c r="F264" s="95" t="n">
        <f aca="false">G264-E264</f>
        <v>3.96728513152311E-007</v>
      </c>
      <c r="G264" s="264" t="n">
        <f aca="false">IF(EnergyCurve!G264&lt;200,0.001*EnergyCurve!G264+1,1.2)*EnergyCurve!G264</f>
        <v>29.841</v>
      </c>
      <c r="H264" s="96" t="n">
        <f aca="false">IF(EnergyCurve!H264&lt;200,0.001*EnergyCurve!H264+1,1.2)*EnergyCurve!H264</f>
        <v>24.576</v>
      </c>
      <c r="I264" s="96" t="n">
        <f aca="false">IF(EnergyCurve!I264&lt;200,0.001*EnergyCurve!I264+1,1.2)*EnergyCurve!I264</f>
        <v>66.969</v>
      </c>
      <c r="J264" s="94" t="n">
        <f aca="false">VLOOKUP($D264,tblPriorPrice,3)</f>
        <v>0</v>
      </c>
      <c r="K264" s="95" t="n">
        <f aca="false">L264-J264</f>
        <v>0</v>
      </c>
      <c r="L264" s="264" t="n">
        <v>0</v>
      </c>
      <c r="M264" s="96" t="n">
        <f aca="false">L264</f>
        <v>0</v>
      </c>
      <c r="N264" s="96" t="n">
        <f aca="false">L264</f>
        <v>0</v>
      </c>
      <c r="V264" s="161" t="n">
        <f aca="false">D264</f>
        <v>43922</v>
      </c>
      <c r="W264" s="94" t="n">
        <f aca="false">VLOOKUP($D264,tblPriorPrice,4)</f>
        <v>0</v>
      </c>
      <c r="X264" s="162"/>
      <c r="Y264" s="176" t="n">
        <f aca="false">L264</f>
        <v>0</v>
      </c>
      <c r="Z264" s="177" t="n">
        <f aca="false">Y264</f>
        <v>0</v>
      </c>
      <c r="AA264" s="177" t="n">
        <f aca="false">Y264</f>
        <v>0</v>
      </c>
      <c r="AB264" s="94" t="n">
        <f aca="false">VLOOKUP($D264,tblPriorPrice,5)</f>
        <v>0</v>
      </c>
      <c r="AC264" s="162"/>
      <c r="AD264" s="176" t="n">
        <f aca="false">L264</f>
        <v>0</v>
      </c>
      <c r="AE264" s="96" t="n">
        <f aca="false">AD264</f>
        <v>0</v>
      </c>
      <c r="AF264" s="97" t="n">
        <f aca="false">AD264</f>
        <v>0</v>
      </c>
      <c r="AG264" s="94" t="n">
        <f aca="false">VLOOKUP($D264,tblPriorPrice,6)</f>
        <v>0</v>
      </c>
      <c r="AH264" s="182"/>
      <c r="AI264" s="189" t="n">
        <f aca="false">AG264+AH264</f>
        <v>0</v>
      </c>
      <c r="AJ264" s="96" t="n">
        <f aca="false">AI264</f>
        <v>0</v>
      </c>
      <c r="AK264" s="97" t="n">
        <f aca="false">AI264</f>
        <v>0</v>
      </c>
      <c r="AL264" s="178" t="n">
        <v>74</v>
      </c>
      <c r="AM264" s="165" t="n">
        <v>0.4</v>
      </c>
      <c r="AN264" s="166" t="n">
        <f aca="false">EnergyCurve!AN264*2</f>
        <v>0.34</v>
      </c>
      <c r="AO264" s="166" t="n">
        <f aca="false">EnergyCurve!AO264</f>
        <v>0.153</v>
      </c>
      <c r="AP264" s="166" t="n">
        <f aca="false">AN264*1.25</f>
        <v>0.425</v>
      </c>
      <c r="AQ264" s="166" t="n">
        <f aca="false">EnergyCurve!AQ264*2</f>
        <v>0.34</v>
      </c>
      <c r="AR264" s="166" t="n">
        <f aca="false">EnergyCurve!AR264</f>
        <v>0.136</v>
      </c>
      <c r="AS264" s="166" t="n">
        <f aca="false">EnergyCurve!AS264*1.25</f>
        <v>0.255</v>
      </c>
      <c r="AT264" s="168" t="n">
        <f aca="false">EnergyCurve!AT264*2*2</f>
        <v>6.33113623762127</v>
      </c>
      <c r="AU264" s="169" t="n">
        <f aca="false">EnergyCurve!AU264</f>
        <v>-0.395696014851329</v>
      </c>
      <c r="AV264" s="169" t="n">
        <f aca="false">AT264*1.25</f>
        <v>7.91392029702658</v>
      </c>
      <c r="AW264" s="168" t="n">
        <f aca="false">EnergyCurve!AW264*2*2</f>
        <v>10.6812</v>
      </c>
      <c r="AX264" s="169" t="n">
        <f aca="false">EnergyCurve!AX264</f>
        <v>-0.667575</v>
      </c>
      <c r="AY264" s="169" t="n">
        <f aca="false">AW264*1.25</f>
        <v>13.3515</v>
      </c>
      <c r="AZ264" s="167" t="n">
        <v>0</v>
      </c>
      <c r="BQ264" s="109" t="n">
        <v>36907.7428240741</v>
      </c>
      <c r="BR264" s="109" t="n">
        <v>36907.7434606482</v>
      </c>
      <c r="BS264" s="266" t="n">
        <v>44136</v>
      </c>
      <c r="BT264" s="63" t="n">
        <v>0</v>
      </c>
      <c r="BU264" s="63" t="n">
        <v>0</v>
      </c>
      <c r="BV264" s="63" t="n">
        <v>0</v>
      </c>
      <c r="BW264" s="63" t="n">
        <v>0</v>
      </c>
      <c r="BX264" s="63" t="n">
        <v>0</v>
      </c>
      <c r="BZ264" s="43" t="n">
        <v>43922</v>
      </c>
      <c r="CA264" s="0" t="n">
        <v>29.8409996032715</v>
      </c>
      <c r="CB264" s="116" t="n">
        <v>0</v>
      </c>
      <c r="CC264" s="116" t="n">
        <v>0</v>
      </c>
      <c r="CD264" s="116" t="n">
        <v>0</v>
      </c>
      <c r="CE264" s="117" t="n">
        <v>0</v>
      </c>
    </row>
    <row r="265" customFormat="false" ht="12.75" hidden="false" customHeight="false" outlineLevel="0" collapsed="false">
      <c r="B265" s="92" t="n">
        <f aca="false">MATCH(YEAR(D265),iSpreads)</f>
        <v>20</v>
      </c>
      <c r="C265" s="0" t="n">
        <f aca="false">MONTH(D265)</f>
        <v>5</v>
      </c>
      <c r="D265" s="93" t="n">
        <f aca="false">+EnergyCurve!D265</f>
        <v>43952</v>
      </c>
      <c r="E265" s="94" t="n">
        <f aca="false">VLOOKUP($D265,tblPriorPrice,2)</f>
        <v>33.0239982604981</v>
      </c>
      <c r="F265" s="95" t="n">
        <f aca="false">G265-E265</f>
        <v>1.73950195403449E-006</v>
      </c>
      <c r="G265" s="264" t="n">
        <f aca="false">IF(EnergyCurve!G265&lt;200,0.001*EnergyCurve!G265+1,1.2)*EnergyCurve!G265</f>
        <v>33.024</v>
      </c>
      <c r="H265" s="96" t="n">
        <f aca="false">IF(EnergyCurve!H265&lt;200,0.001*EnergyCurve!H265+1,1.2)*EnergyCurve!H265</f>
        <v>27.729</v>
      </c>
      <c r="I265" s="96" t="n">
        <f aca="false">IF(EnergyCurve!I265&lt;200,0.001*EnergyCurve!I265+1,1.2)*EnergyCurve!I265</f>
        <v>70.356</v>
      </c>
      <c r="J265" s="94" t="n">
        <f aca="false">VLOOKUP($D265,tblPriorPrice,3)</f>
        <v>0</v>
      </c>
      <c r="K265" s="95" t="n">
        <f aca="false">L265-J265</f>
        <v>0</v>
      </c>
      <c r="L265" s="264" t="n">
        <v>0</v>
      </c>
      <c r="M265" s="96" t="n">
        <f aca="false">L265</f>
        <v>0</v>
      </c>
      <c r="N265" s="96" t="n">
        <f aca="false">L265</f>
        <v>0</v>
      </c>
      <c r="V265" s="161" t="n">
        <f aca="false">D265</f>
        <v>43952</v>
      </c>
      <c r="W265" s="94" t="n">
        <f aca="false">VLOOKUP($D265,tblPriorPrice,4)</f>
        <v>0</v>
      </c>
      <c r="X265" s="162"/>
      <c r="Y265" s="176" t="n">
        <f aca="false">L265</f>
        <v>0</v>
      </c>
      <c r="Z265" s="177" t="n">
        <f aca="false">Y265</f>
        <v>0</v>
      </c>
      <c r="AA265" s="177" t="n">
        <f aca="false">Y265</f>
        <v>0</v>
      </c>
      <c r="AB265" s="94" t="n">
        <f aca="false">VLOOKUP($D265,tblPriorPrice,5)</f>
        <v>0</v>
      </c>
      <c r="AC265" s="162"/>
      <c r="AD265" s="176" t="n">
        <f aca="false">L265</f>
        <v>0</v>
      </c>
      <c r="AE265" s="96" t="n">
        <f aca="false">AD265</f>
        <v>0</v>
      </c>
      <c r="AF265" s="97" t="n">
        <f aca="false">AD265</f>
        <v>0</v>
      </c>
      <c r="AG265" s="94" t="n">
        <f aca="false">VLOOKUP($D265,tblPriorPrice,6)</f>
        <v>0</v>
      </c>
      <c r="AH265" s="182"/>
      <c r="AI265" s="189" t="n">
        <f aca="false">AG265+AH265</f>
        <v>0</v>
      </c>
      <c r="AJ265" s="96" t="n">
        <f aca="false">AI265</f>
        <v>0</v>
      </c>
      <c r="AK265" s="97" t="n">
        <f aca="false">AI265</f>
        <v>0</v>
      </c>
      <c r="AL265" s="178" t="n">
        <v>74</v>
      </c>
      <c r="AM265" s="165" t="n">
        <v>0.4</v>
      </c>
      <c r="AN265" s="166" t="n">
        <f aca="false">EnergyCurve!AN265*2</f>
        <v>0.34</v>
      </c>
      <c r="AO265" s="166" t="n">
        <f aca="false">EnergyCurve!AO265</f>
        <v>0.153</v>
      </c>
      <c r="AP265" s="166" t="n">
        <f aca="false">AN265*1.25</f>
        <v>0.425</v>
      </c>
      <c r="AQ265" s="166" t="n">
        <f aca="false">EnergyCurve!AQ265*2</f>
        <v>0.34</v>
      </c>
      <c r="AR265" s="166" t="n">
        <f aca="false">EnergyCurve!AR265</f>
        <v>0.136</v>
      </c>
      <c r="AS265" s="166" t="n">
        <f aca="false">EnergyCurve!AS265*1.25</f>
        <v>0.255</v>
      </c>
      <c r="AT265" s="168" t="n">
        <f aca="false">EnergyCurve!AT265*2*2</f>
        <v>6.71448638739126</v>
      </c>
      <c r="AU265" s="169" t="n">
        <f aca="false">EnergyCurve!AU265</f>
        <v>-0.419655399211954</v>
      </c>
      <c r="AV265" s="169" t="n">
        <f aca="false">AT265*1.25</f>
        <v>8.39310798423907</v>
      </c>
      <c r="AW265" s="168" t="n">
        <f aca="false">EnergyCurve!AW265*2*2</f>
        <v>10.3986</v>
      </c>
      <c r="AX265" s="169" t="n">
        <f aca="false">EnergyCurve!AX265</f>
        <v>-0.6499125</v>
      </c>
      <c r="AY265" s="169" t="n">
        <f aca="false">AW265*1.25</f>
        <v>12.99825</v>
      </c>
      <c r="AZ265" s="167" t="n">
        <v>0</v>
      </c>
      <c r="BQ265" s="109" t="n">
        <v>36907.7428240741</v>
      </c>
      <c r="BR265" s="109" t="n">
        <v>36907.7434606482</v>
      </c>
      <c r="BS265" s="266" t="n">
        <v>44166</v>
      </c>
      <c r="BT265" s="63" t="n">
        <v>0</v>
      </c>
      <c r="BU265" s="63" t="n">
        <v>0</v>
      </c>
      <c r="BV265" s="63" t="n">
        <v>0</v>
      </c>
      <c r="BW265" s="63" t="n">
        <v>0</v>
      </c>
      <c r="BX265" s="63" t="n">
        <v>0</v>
      </c>
      <c r="BZ265" s="43" t="n">
        <v>43952</v>
      </c>
      <c r="CA265" s="0" t="n">
        <v>33.0239982604981</v>
      </c>
      <c r="CB265" s="116" t="n">
        <v>0</v>
      </c>
      <c r="CC265" s="116" t="n">
        <v>0</v>
      </c>
      <c r="CD265" s="116" t="n">
        <v>0</v>
      </c>
      <c r="CE265" s="117" t="n">
        <v>0</v>
      </c>
    </row>
    <row r="266" customFormat="false" ht="12.75" hidden="false" customHeight="false" outlineLevel="0" collapsed="false">
      <c r="B266" s="92" t="n">
        <f aca="false">MATCH(YEAR(D266),iSpreads)</f>
        <v>20</v>
      </c>
      <c r="C266" s="0" t="n">
        <f aca="false">MONTH(D266)</f>
        <v>6</v>
      </c>
      <c r="D266" s="93" t="n">
        <f aca="false">+EnergyCurve!D266</f>
        <v>43983</v>
      </c>
      <c r="E266" s="94" t="n">
        <f aca="false">VLOOKUP($D266,tblPriorPrice,2)</f>
        <v>40.5209999084473</v>
      </c>
      <c r="F266" s="95" t="n">
        <f aca="false">G266-E266</f>
        <v>9.15527280653805E-008</v>
      </c>
      <c r="G266" s="264" t="n">
        <f aca="false">IF(EnergyCurve!G266&lt;200,0.001*EnergyCurve!G266+1,1.2)*EnergyCurve!G266</f>
        <v>40.521</v>
      </c>
      <c r="H266" s="96" t="n">
        <f aca="false">IF(EnergyCurve!H266&lt;200,0.001*EnergyCurve!H266+1,1.2)*EnergyCurve!H266</f>
        <v>35.156</v>
      </c>
      <c r="I266" s="96" t="n">
        <f aca="false">IF(EnergyCurve!I266&lt;200,0.001*EnergyCurve!I266+1,1.2)*EnergyCurve!I266</f>
        <v>78.329</v>
      </c>
      <c r="J266" s="94" t="n">
        <f aca="false">VLOOKUP($D266,tblPriorPrice,3)</f>
        <v>0</v>
      </c>
      <c r="K266" s="95" t="n">
        <f aca="false">L266-J266</f>
        <v>0</v>
      </c>
      <c r="L266" s="264" t="n">
        <v>0</v>
      </c>
      <c r="M266" s="96" t="n">
        <f aca="false">L266</f>
        <v>0</v>
      </c>
      <c r="N266" s="96" t="n">
        <f aca="false">L266</f>
        <v>0</v>
      </c>
      <c r="V266" s="161" t="n">
        <f aca="false">D266</f>
        <v>43983</v>
      </c>
      <c r="W266" s="94" t="n">
        <f aca="false">VLOOKUP($D266,tblPriorPrice,4)</f>
        <v>0</v>
      </c>
      <c r="X266" s="162"/>
      <c r="Y266" s="176" t="n">
        <f aca="false">L266</f>
        <v>0</v>
      </c>
      <c r="Z266" s="177" t="n">
        <f aca="false">Y266</f>
        <v>0</v>
      </c>
      <c r="AA266" s="177" t="n">
        <f aca="false">Y266</f>
        <v>0</v>
      </c>
      <c r="AB266" s="94" t="n">
        <f aca="false">VLOOKUP($D266,tblPriorPrice,5)</f>
        <v>0</v>
      </c>
      <c r="AC266" s="162"/>
      <c r="AD266" s="176" t="n">
        <f aca="false">L266</f>
        <v>0</v>
      </c>
      <c r="AE266" s="96" t="n">
        <f aca="false">AD266</f>
        <v>0</v>
      </c>
      <c r="AF266" s="97" t="n">
        <f aca="false">AD266</f>
        <v>0</v>
      </c>
      <c r="AG266" s="94" t="n">
        <f aca="false">VLOOKUP($D266,tblPriorPrice,6)</f>
        <v>0</v>
      </c>
      <c r="AH266" s="182"/>
      <c r="AI266" s="189" t="n">
        <f aca="false">AG266+AH266</f>
        <v>0</v>
      </c>
      <c r="AJ266" s="96" t="n">
        <f aca="false">AI266</f>
        <v>0</v>
      </c>
      <c r="AK266" s="97" t="n">
        <f aca="false">AI266</f>
        <v>0</v>
      </c>
      <c r="AL266" s="178" t="n">
        <v>74</v>
      </c>
      <c r="AM266" s="165" t="n">
        <v>0.4</v>
      </c>
      <c r="AN266" s="166" t="n">
        <f aca="false">EnergyCurve!AN266*2</f>
        <v>0.34</v>
      </c>
      <c r="AO266" s="166" t="n">
        <f aca="false">EnergyCurve!AO266</f>
        <v>0.153</v>
      </c>
      <c r="AP266" s="166" t="n">
        <f aca="false">AN266*1.25</f>
        <v>0.425</v>
      </c>
      <c r="AQ266" s="166" t="n">
        <f aca="false">EnergyCurve!AQ266*2</f>
        <v>0.34</v>
      </c>
      <c r="AR266" s="166" t="n">
        <f aca="false">EnergyCurve!AR266</f>
        <v>0.136</v>
      </c>
      <c r="AS266" s="166" t="n">
        <f aca="false">EnergyCurve!AS266*1.25</f>
        <v>0.255</v>
      </c>
      <c r="AT266" s="168" t="n">
        <f aca="false">EnergyCurve!AT266*2*2</f>
        <v>8.27346121695085</v>
      </c>
      <c r="AU266" s="169" t="n">
        <f aca="false">EnergyCurve!AU266</f>
        <v>-0.517091326059428</v>
      </c>
      <c r="AV266" s="169" t="n">
        <f aca="false">AT266*1.25</f>
        <v>10.3418265211886</v>
      </c>
      <c r="AW266" s="168" t="n">
        <f aca="false">EnergyCurve!AW266*2*2</f>
        <v>9.7392</v>
      </c>
      <c r="AX266" s="169" t="n">
        <f aca="false">EnergyCurve!AX266</f>
        <v>-0.6087</v>
      </c>
      <c r="AY266" s="169" t="n">
        <f aca="false">AW266*1.25</f>
        <v>12.174</v>
      </c>
      <c r="AZ266" s="167" t="n">
        <v>0</v>
      </c>
      <c r="BQ266" s="109"/>
      <c r="BR266" s="109"/>
      <c r="BS266" s="266"/>
      <c r="BW266" s="63" t="n">
        <v>0</v>
      </c>
      <c r="BX266" s="63" t="n">
        <v>0</v>
      </c>
      <c r="BZ266" s="43" t="n">
        <v>43983</v>
      </c>
      <c r="CA266" s="0" t="n">
        <v>40.5209999084473</v>
      </c>
      <c r="CB266" s="116" t="n">
        <v>0</v>
      </c>
      <c r="CC266" s="116" t="n">
        <v>0</v>
      </c>
      <c r="CD266" s="116" t="n">
        <v>0</v>
      </c>
      <c r="CE266" s="117" t="n">
        <v>0</v>
      </c>
    </row>
    <row r="267" customFormat="false" ht="12.75" hidden="false" customHeight="false" outlineLevel="0" collapsed="false">
      <c r="B267" s="92" t="n">
        <f aca="false">MATCH(YEAR(D267),iSpreads)</f>
        <v>20</v>
      </c>
      <c r="C267" s="0" t="n">
        <f aca="false">MONTH(D267)</f>
        <v>7</v>
      </c>
      <c r="D267" s="93" t="n">
        <f aca="false">+EnergyCurve!D267</f>
        <v>44013</v>
      </c>
      <c r="E267" s="94" t="n">
        <f aca="false">VLOOKUP($D267,tblPriorPrice,2)</f>
        <v>40.5209999084473</v>
      </c>
      <c r="F267" s="95" t="n">
        <f aca="false">G267-E267</f>
        <v>9.15527280653805E-008</v>
      </c>
      <c r="G267" s="264" t="n">
        <f aca="false">IF(EnergyCurve!G267&lt;200,0.001*EnergyCurve!G267+1,1.2)*EnergyCurve!G267</f>
        <v>40.521</v>
      </c>
      <c r="H267" s="96" t="n">
        <f aca="false">IF(EnergyCurve!H267&lt;200,0.001*EnergyCurve!H267+1,1.2)*EnergyCurve!H267</f>
        <v>35.156</v>
      </c>
      <c r="I267" s="96" t="n">
        <f aca="false">IF(EnergyCurve!I267&lt;200,0.001*EnergyCurve!I267+1,1.2)*EnergyCurve!I267</f>
        <v>78.329</v>
      </c>
      <c r="J267" s="94" t="n">
        <f aca="false">VLOOKUP($D267,tblPriorPrice,3)</f>
        <v>0</v>
      </c>
      <c r="K267" s="95" t="n">
        <f aca="false">L267-J267</f>
        <v>0</v>
      </c>
      <c r="L267" s="264" t="n">
        <v>0</v>
      </c>
      <c r="M267" s="96" t="n">
        <f aca="false">L267</f>
        <v>0</v>
      </c>
      <c r="N267" s="96" t="n">
        <f aca="false">L267</f>
        <v>0</v>
      </c>
      <c r="V267" s="161" t="n">
        <f aca="false">D267</f>
        <v>44013</v>
      </c>
      <c r="W267" s="94" t="n">
        <f aca="false">VLOOKUP($D267,tblPriorPrice,4)</f>
        <v>0</v>
      </c>
      <c r="X267" s="162"/>
      <c r="Y267" s="176" t="n">
        <f aca="false">L267</f>
        <v>0</v>
      </c>
      <c r="Z267" s="177" t="n">
        <f aca="false">Y267</f>
        <v>0</v>
      </c>
      <c r="AA267" s="177" t="n">
        <f aca="false">Y267</f>
        <v>0</v>
      </c>
      <c r="AB267" s="94" t="n">
        <f aca="false">VLOOKUP($D267,tblPriorPrice,5)</f>
        <v>0</v>
      </c>
      <c r="AC267" s="162"/>
      <c r="AD267" s="176" t="n">
        <f aca="false">L267</f>
        <v>0</v>
      </c>
      <c r="AE267" s="96" t="n">
        <f aca="false">AD267</f>
        <v>0</v>
      </c>
      <c r="AF267" s="97" t="n">
        <f aca="false">AD267</f>
        <v>0</v>
      </c>
      <c r="AG267" s="94" t="n">
        <f aca="false">VLOOKUP($D267,tblPriorPrice,6)</f>
        <v>0</v>
      </c>
      <c r="AH267" s="182"/>
      <c r="AI267" s="189" t="n">
        <f aca="false">AG267+AH267</f>
        <v>0</v>
      </c>
      <c r="AJ267" s="96" t="n">
        <f aca="false">AI267</f>
        <v>0</v>
      </c>
      <c r="AK267" s="97" t="n">
        <f aca="false">AI267</f>
        <v>0</v>
      </c>
      <c r="AL267" s="178" t="n">
        <v>74</v>
      </c>
      <c r="AM267" s="165" t="n">
        <v>0.4</v>
      </c>
      <c r="AN267" s="166" t="n">
        <f aca="false">EnergyCurve!AN267*2</f>
        <v>0.34</v>
      </c>
      <c r="AO267" s="166" t="n">
        <f aca="false">EnergyCurve!AO267</f>
        <v>0.153</v>
      </c>
      <c r="AP267" s="166" t="n">
        <f aca="false">AN267*1.25</f>
        <v>0.425</v>
      </c>
      <c r="AQ267" s="166" t="n">
        <f aca="false">EnergyCurve!AQ267*2</f>
        <v>0.34</v>
      </c>
      <c r="AR267" s="166" t="n">
        <f aca="false">EnergyCurve!AR267</f>
        <v>0.136</v>
      </c>
      <c r="AS267" s="166" t="n">
        <f aca="false">EnergyCurve!AS267*1.25</f>
        <v>0.255</v>
      </c>
      <c r="AT267" s="168" t="n">
        <f aca="false">EnergyCurve!AT267*2*2</f>
        <v>8.27346121695085</v>
      </c>
      <c r="AU267" s="169" t="n">
        <f aca="false">EnergyCurve!AU267</f>
        <v>-0.517091326059428</v>
      </c>
      <c r="AV267" s="169" t="n">
        <f aca="false">AT267*1.25</f>
        <v>10.3418265211886</v>
      </c>
      <c r="AW267" s="168" t="n">
        <f aca="false">EnergyCurve!AW267*2*2</f>
        <v>9.7392</v>
      </c>
      <c r="AX267" s="169" t="n">
        <f aca="false">EnergyCurve!AX267</f>
        <v>-0.6087</v>
      </c>
      <c r="AY267" s="169" t="n">
        <f aca="false">AW267*1.25</f>
        <v>12.174</v>
      </c>
      <c r="AZ267" s="167" t="n">
        <v>0</v>
      </c>
      <c r="BZ267" s="43" t="n">
        <v>44013</v>
      </c>
      <c r="CA267" s="0" t="n">
        <v>40.5209999084473</v>
      </c>
      <c r="CB267" s="116" t="n">
        <v>0</v>
      </c>
      <c r="CC267" s="116" t="n">
        <v>0</v>
      </c>
      <c r="CD267" s="116" t="n">
        <v>0</v>
      </c>
      <c r="CE267" s="117" t="n">
        <v>0</v>
      </c>
    </row>
    <row r="268" customFormat="false" ht="12.75" hidden="false" customHeight="false" outlineLevel="0" collapsed="false">
      <c r="B268" s="92" t="n">
        <f aca="false">MATCH(YEAR(D268),iSpreads)</f>
        <v>20</v>
      </c>
      <c r="C268" s="0" t="n">
        <f aca="false">MONTH(D268)</f>
        <v>8</v>
      </c>
      <c r="D268" s="93" t="n">
        <f aca="false">+EnergyCurve!D268</f>
        <v>44044</v>
      </c>
      <c r="E268" s="94" t="n">
        <f aca="false">VLOOKUP($D268,tblPriorPrice,2)</f>
        <v>42.6809997558594</v>
      </c>
      <c r="F268" s="95" t="n">
        <f aca="false">G268-E268</f>
        <v>2.44140622385203E-007</v>
      </c>
      <c r="G268" s="264" t="n">
        <f aca="false">IF(EnergyCurve!G268&lt;200,0.001*EnergyCurve!G268+1,1.2)*EnergyCurve!G268</f>
        <v>42.681</v>
      </c>
      <c r="H268" s="96" t="n">
        <f aca="false">IF(EnergyCurve!H268&lt;200,0.001*EnergyCurve!H268+1,1.2)*EnergyCurve!H268</f>
        <v>37.296</v>
      </c>
      <c r="I268" s="96" t="n">
        <f aca="false">IF(EnergyCurve!I268&lt;200,0.001*EnergyCurve!I268+1,1.2)*EnergyCurve!I268</f>
        <v>80.625</v>
      </c>
      <c r="J268" s="94" t="n">
        <f aca="false">VLOOKUP($D268,tblPriorPrice,3)</f>
        <v>0</v>
      </c>
      <c r="K268" s="95" t="n">
        <f aca="false">L268-J268</f>
        <v>0</v>
      </c>
      <c r="L268" s="264" t="n">
        <v>0</v>
      </c>
      <c r="M268" s="96" t="n">
        <f aca="false">L268</f>
        <v>0</v>
      </c>
      <c r="N268" s="96" t="n">
        <f aca="false">L268</f>
        <v>0</v>
      </c>
      <c r="V268" s="161" t="n">
        <f aca="false">D268</f>
        <v>44044</v>
      </c>
      <c r="W268" s="94" t="n">
        <f aca="false">VLOOKUP($D268,tblPriorPrice,4)</f>
        <v>0</v>
      </c>
      <c r="X268" s="162"/>
      <c r="Y268" s="176" t="n">
        <f aca="false">L268</f>
        <v>0</v>
      </c>
      <c r="Z268" s="177" t="n">
        <f aca="false">Y268</f>
        <v>0</v>
      </c>
      <c r="AA268" s="177" t="n">
        <f aca="false">Y268</f>
        <v>0</v>
      </c>
      <c r="AB268" s="94" t="n">
        <f aca="false">VLOOKUP($D268,tblPriorPrice,5)</f>
        <v>0</v>
      </c>
      <c r="AC268" s="162"/>
      <c r="AD268" s="176" t="n">
        <f aca="false">L268</f>
        <v>0</v>
      </c>
      <c r="AE268" s="96" t="n">
        <f aca="false">AD268</f>
        <v>0</v>
      </c>
      <c r="AF268" s="97" t="n">
        <f aca="false">AD268</f>
        <v>0</v>
      </c>
      <c r="AG268" s="94" t="n">
        <f aca="false">VLOOKUP($D268,tblPriorPrice,6)</f>
        <v>0</v>
      </c>
      <c r="AH268" s="182"/>
      <c r="AI268" s="189" t="n">
        <f aca="false">AG268+AH268</f>
        <v>0</v>
      </c>
      <c r="AJ268" s="96" t="n">
        <f aca="false">AI268</f>
        <v>0</v>
      </c>
      <c r="AK268" s="97" t="n">
        <f aca="false">AI268</f>
        <v>0</v>
      </c>
      <c r="AL268" s="178" t="n">
        <v>74</v>
      </c>
      <c r="AM268" s="165" t="n">
        <v>0.4</v>
      </c>
      <c r="AN268" s="166" t="n">
        <f aca="false">EnergyCurve!AN268*2</f>
        <v>0.34</v>
      </c>
      <c r="AO268" s="166" t="n">
        <f aca="false">EnergyCurve!AO268</f>
        <v>0.153</v>
      </c>
      <c r="AP268" s="166" t="n">
        <f aca="false">AN268*1.25</f>
        <v>0.425</v>
      </c>
      <c r="AQ268" s="166" t="n">
        <f aca="false">EnergyCurve!AQ268*2</f>
        <v>0.34</v>
      </c>
      <c r="AR268" s="166" t="n">
        <f aca="false">EnergyCurve!AR268</f>
        <v>0.136</v>
      </c>
      <c r="AS268" s="166" t="n">
        <f aca="false">EnergyCurve!AS268*1.25</f>
        <v>0.255</v>
      </c>
      <c r="AT268" s="168" t="n">
        <f aca="false">EnergyCurve!AT268*2*2</f>
        <v>8.83433884019377</v>
      </c>
      <c r="AU268" s="169" t="n">
        <f aca="false">EnergyCurve!AU268</f>
        <v>-0.552146177512111</v>
      </c>
      <c r="AV268" s="169" t="n">
        <f aca="false">AT268*1.25</f>
        <v>11.0429235502422</v>
      </c>
      <c r="AW268" s="168" t="n">
        <f aca="false">EnergyCurve!AW268*2*2</f>
        <v>9.5508</v>
      </c>
      <c r="AX268" s="169" t="n">
        <f aca="false">EnergyCurve!AX268</f>
        <v>-0.596925</v>
      </c>
      <c r="AY268" s="169" t="n">
        <f aca="false">AW268*1.25</f>
        <v>11.9385</v>
      </c>
      <c r="AZ268" s="167" t="n">
        <v>0</v>
      </c>
      <c r="BZ268" s="43" t="n">
        <v>44044</v>
      </c>
      <c r="CA268" s="0" t="n">
        <v>42.6809997558594</v>
      </c>
      <c r="CB268" s="116" t="n">
        <v>0</v>
      </c>
      <c r="CC268" s="116" t="n">
        <v>0</v>
      </c>
      <c r="CD268" s="116" t="n">
        <v>0</v>
      </c>
      <c r="CE268" s="117" t="n">
        <v>0</v>
      </c>
    </row>
    <row r="269" customFormat="false" ht="12.75" hidden="false" customHeight="false" outlineLevel="0" collapsed="false">
      <c r="B269" s="92" t="n">
        <f aca="false">MATCH(YEAR(D269),iSpreads)</f>
        <v>20</v>
      </c>
      <c r="C269" s="0" t="n">
        <f aca="false">MONTH(D269)</f>
        <v>9</v>
      </c>
      <c r="D269" s="93" t="n">
        <f aca="false">+EnergyCurve!D269</f>
        <v>44075</v>
      </c>
      <c r="E269" s="94" t="n">
        <f aca="false">VLOOKUP($D269,tblPriorPrice,2)</f>
        <v>36.2249984741211</v>
      </c>
      <c r="F269" s="95" t="n">
        <f aca="false">G269-E269</f>
        <v>1.52587890056566E-006</v>
      </c>
      <c r="G269" s="264" t="n">
        <f aca="false">IF(EnergyCurve!G269&lt;200,0.001*EnergyCurve!G269+1,1.2)*EnergyCurve!G269</f>
        <v>36.225</v>
      </c>
      <c r="H269" s="96" t="n">
        <f aca="false">IF(EnergyCurve!H269&lt;200,0.001*EnergyCurve!H269+1,1.2)*EnergyCurve!H269</f>
        <v>30.9</v>
      </c>
      <c r="I269" s="96" t="n">
        <f aca="false">IF(EnergyCurve!I269&lt;200,0.001*EnergyCurve!I269+1,1.2)*EnergyCurve!I269</f>
        <v>73.761</v>
      </c>
      <c r="J269" s="94" t="n">
        <f aca="false">VLOOKUP($D269,tblPriorPrice,3)</f>
        <v>0</v>
      </c>
      <c r="K269" s="95" t="n">
        <f aca="false">L269-J269</f>
        <v>0</v>
      </c>
      <c r="L269" s="264" t="n">
        <v>0</v>
      </c>
      <c r="M269" s="96" t="n">
        <f aca="false">L269</f>
        <v>0</v>
      </c>
      <c r="N269" s="96" t="n">
        <f aca="false">L269</f>
        <v>0</v>
      </c>
      <c r="V269" s="161" t="n">
        <f aca="false">D269</f>
        <v>44075</v>
      </c>
      <c r="W269" s="94" t="n">
        <f aca="false">VLOOKUP($D269,tblPriorPrice,4)</f>
        <v>0</v>
      </c>
      <c r="X269" s="162"/>
      <c r="Y269" s="176" t="n">
        <f aca="false">L269</f>
        <v>0</v>
      </c>
      <c r="Z269" s="177" t="n">
        <f aca="false">Y269</f>
        <v>0</v>
      </c>
      <c r="AA269" s="177" t="n">
        <f aca="false">Y269</f>
        <v>0</v>
      </c>
      <c r="AB269" s="94" t="n">
        <f aca="false">VLOOKUP($D269,tblPriorPrice,5)</f>
        <v>0</v>
      </c>
      <c r="AC269" s="162"/>
      <c r="AD269" s="176" t="n">
        <f aca="false">L269</f>
        <v>0</v>
      </c>
      <c r="AE269" s="96" t="n">
        <f aca="false">AD269</f>
        <v>0</v>
      </c>
      <c r="AF269" s="97" t="n">
        <f aca="false">AD269</f>
        <v>0</v>
      </c>
      <c r="AG269" s="94" t="n">
        <f aca="false">VLOOKUP($D269,tblPriorPrice,6)</f>
        <v>0</v>
      </c>
      <c r="AH269" s="182"/>
      <c r="AI269" s="189" t="n">
        <f aca="false">AG269+AH269</f>
        <v>0</v>
      </c>
      <c r="AJ269" s="96" t="n">
        <f aca="false">AI269</f>
        <v>0</v>
      </c>
      <c r="AK269" s="97" t="n">
        <f aca="false">AI269</f>
        <v>0</v>
      </c>
      <c r="AL269" s="178" t="n">
        <v>74</v>
      </c>
      <c r="AM269" s="165" t="n">
        <v>0.4</v>
      </c>
      <c r="AN269" s="166" t="n">
        <f aca="false">EnergyCurve!AN269*2</f>
        <v>0.34</v>
      </c>
      <c r="AO269" s="166" t="n">
        <f aca="false">EnergyCurve!AO269</f>
        <v>0.153</v>
      </c>
      <c r="AP269" s="166" t="n">
        <f aca="false">AN269*1.25</f>
        <v>0.425</v>
      </c>
      <c r="AQ269" s="166" t="n">
        <f aca="false">EnergyCurve!AQ269*2</f>
        <v>0.34</v>
      </c>
      <c r="AR269" s="166" t="n">
        <f aca="false">EnergyCurve!AR269</f>
        <v>0.136</v>
      </c>
      <c r="AS269" s="166" t="n">
        <f aca="false">EnergyCurve!AS269*1.25</f>
        <v>0.255</v>
      </c>
      <c r="AT269" s="168" t="n">
        <f aca="false">EnergyCurve!AT269*2*2</f>
        <v>7.29020125079811</v>
      </c>
      <c r="AU269" s="169" t="n">
        <f aca="false">EnergyCurve!AU269</f>
        <v>-0.455637578174882</v>
      </c>
      <c r="AV269" s="169" t="n">
        <f aca="false">AT269*1.25</f>
        <v>9.11275156349763</v>
      </c>
      <c r="AW269" s="168" t="n">
        <f aca="false">EnergyCurve!AW269*2*2</f>
        <v>10.116</v>
      </c>
      <c r="AX269" s="169" t="n">
        <f aca="false">EnergyCurve!AX269</f>
        <v>-0.63225</v>
      </c>
      <c r="AY269" s="169" t="n">
        <f aca="false">AW269*1.25</f>
        <v>12.645</v>
      </c>
      <c r="AZ269" s="167" t="n">
        <v>0</v>
      </c>
      <c r="BZ269" s="43" t="n">
        <v>44075</v>
      </c>
      <c r="CA269" s="0" t="n">
        <v>36.2249984741211</v>
      </c>
      <c r="CB269" s="116" t="n">
        <v>0</v>
      </c>
      <c r="CC269" s="116" t="n">
        <v>0</v>
      </c>
      <c r="CD269" s="116" t="n">
        <v>0</v>
      </c>
      <c r="CE269" s="117" t="n">
        <v>0</v>
      </c>
    </row>
    <row r="270" customFormat="false" ht="12.75" hidden="false" customHeight="false" outlineLevel="0" collapsed="false">
      <c r="B270" s="92" t="n">
        <f aca="false">MATCH(YEAR(D270),iSpreads)</f>
        <v>20</v>
      </c>
      <c r="C270" s="0" t="n">
        <f aca="false">MONTH(D270)</f>
        <v>10</v>
      </c>
      <c r="D270" s="93" t="n">
        <f aca="false">+EnergyCurve!D270</f>
        <v>44105</v>
      </c>
      <c r="E270" s="94" t="n">
        <f aca="false">VLOOKUP($D270,tblPriorPrice,2)</f>
        <v>38.3689994812012</v>
      </c>
      <c r="F270" s="95" t="n">
        <f aca="false">G270-E270</f>
        <v>5.18798827897626E-007</v>
      </c>
      <c r="G270" s="264" t="n">
        <f aca="false">IF(EnergyCurve!G270&lt;200,0.001*EnergyCurve!G270+1,1.2)*EnergyCurve!G270</f>
        <v>38.369</v>
      </c>
      <c r="H270" s="96" t="n">
        <f aca="false">IF(EnergyCurve!H270&lt;200,0.001*EnergyCurve!H270+1,1.2)*EnergyCurve!H270</f>
        <v>33.024</v>
      </c>
      <c r="I270" s="96" t="n">
        <f aca="false">IF(EnergyCurve!I270&lt;200,0.001*EnergyCurve!I270+1,1.2)*EnergyCurve!I270</f>
        <v>76.041</v>
      </c>
      <c r="J270" s="94" t="n">
        <f aca="false">VLOOKUP($D270,tblPriorPrice,3)</f>
        <v>0</v>
      </c>
      <c r="K270" s="95" t="n">
        <f aca="false">L270-J270</f>
        <v>0</v>
      </c>
      <c r="L270" s="264" t="n">
        <v>0</v>
      </c>
      <c r="M270" s="96" t="n">
        <f aca="false">L270</f>
        <v>0</v>
      </c>
      <c r="N270" s="96" t="n">
        <f aca="false">L270</f>
        <v>0</v>
      </c>
      <c r="V270" s="161" t="n">
        <f aca="false">D270</f>
        <v>44105</v>
      </c>
      <c r="W270" s="94" t="n">
        <f aca="false">VLOOKUP($D270,tblPriorPrice,4)</f>
        <v>0</v>
      </c>
      <c r="X270" s="162"/>
      <c r="Y270" s="176" t="n">
        <f aca="false">L270</f>
        <v>0</v>
      </c>
      <c r="Z270" s="177" t="n">
        <f aca="false">Y270</f>
        <v>0</v>
      </c>
      <c r="AA270" s="177" t="n">
        <f aca="false">Y270</f>
        <v>0</v>
      </c>
      <c r="AB270" s="94" t="n">
        <f aca="false">VLOOKUP($D270,tblPriorPrice,5)</f>
        <v>0</v>
      </c>
      <c r="AC270" s="162"/>
      <c r="AD270" s="176" t="n">
        <f aca="false">L270</f>
        <v>0</v>
      </c>
      <c r="AE270" s="96" t="n">
        <f aca="false">AD270</f>
        <v>0</v>
      </c>
      <c r="AF270" s="97" t="n">
        <f aca="false">AD270</f>
        <v>0</v>
      </c>
      <c r="AG270" s="94" t="n">
        <f aca="false">VLOOKUP($D270,tblPriorPrice,6)</f>
        <v>0</v>
      </c>
      <c r="AH270" s="182"/>
      <c r="AI270" s="189" t="n">
        <f aca="false">AG270+AH270</f>
        <v>0</v>
      </c>
      <c r="AJ270" s="96" t="n">
        <f aca="false">AI270</f>
        <v>0</v>
      </c>
      <c r="AK270" s="97" t="n">
        <f aca="false">AI270</f>
        <v>0</v>
      </c>
      <c r="AL270" s="178" t="n">
        <v>74</v>
      </c>
      <c r="AM270" s="165" t="n">
        <v>0.4</v>
      </c>
      <c r="AN270" s="166" t="n">
        <f aca="false">EnergyCurve!AN270*2</f>
        <v>0.34</v>
      </c>
      <c r="AO270" s="166" t="n">
        <f aca="false">EnergyCurve!AO270</f>
        <v>0.153</v>
      </c>
      <c r="AP270" s="166" t="n">
        <f aca="false">AN270*1.25</f>
        <v>0.425</v>
      </c>
      <c r="AQ270" s="166" t="n">
        <f aca="false">EnergyCurve!AQ270*2</f>
        <v>0.34</v>
      </c>
      <c r="AR270" s="166" t="n">
        <f aca="false">EnergyCurve!AR270</f>
        <v>0.136</v>
      </c>
      <c r="AS270" s="166" t="n">
        <f aca="false">EnergyCurve!AS270*1.25</f>
        <v>0.255</v>
      </c>
      <c r="AT270" s="168" t="n">
        <f aca="false">EnergyCurve!AT270*2*2</f>
        <v>7.75576329559925</v>
      </c>
      <c r="AU270" s="169" t="n">
        <f aca="false">EnergyCurve!AU270</f>
        <v>-0.484735205974953</v>
      </c>
      <c r="AV270" s="169" t="n">
        <f aca="false">AT270*1.25</f>
        <v>9.69470411949907</v>
      </c>
      <c r="AW270" s="168" t="n">
        <f aca="false">EnergyCurve!AW270*2*2</f>
        <v>9.9276</v>
      </c>
      <c r="AX270" s="169" t="n">
        <f aca="false">EnergyCurve!AX270</f>
        <v>-0.620475</v>
      </c>
      <c r="AY270" s="169" t="n">
        <f aca="false">AW270*1.25</f>
        <v>12.4095</v>
      </c>
      <c r="AZ270" s="167" t="n">
        <v>0</v>
      </c>
      <c r="BZ270" s="43" t="n">
        <v>44105</v>
      </c>
      <c r="CA270" s="0" t="n">
        <v>38.3689994812012</v>
      </c>
      <c r="CB270" s="116" t="n">
        <v>0</v>
      </c>
      <c r="CC270" s="116" t="n">
        <v>0</v>
      </c>
      <c r="CD270" s="116" t="n">
        <v>0</v>
      </c>
      <c r="CE270" s="117" t="n">
        <v>0</v>
      </c>
    </row>
    <row r="271" customFormat="false" ht="12.75" hidden="false" customHeight="false" outlineLevel="0" collapsed="false">
      <c r="B271" s="92" t="n">
        <f aca="false">MATCH(YEAR(D271),iSpreads)</f>
        <v>20</v>
      </c>
      <c r="C271" s="0" t="n">
        <f aca="false">MONTH(D271)</f>
        <v>11</v>
      </c>
      <c r="D271" s="93" t="n">
        <f aca="false">+EnergyCurve!D271</f>
        <v>44136</v>
      </c>
      <c r="E271" s="94" t="n">
        <f aca="false">VLOOKUP($D271,tblPriorPrice,2)</f>
        <v>31.9610004425049</v>
      </c>
      <c r="F271" s="95" t="n">
        <f aca="false">G271-E271</f>
        <v>-4.42504884290429E-007</v>
      </c>
      <c r="G271" s="264" t="n">
        <f aca="false">IF(EnergyCurve!G271&lt;200,0.001*EnergyCurve!G271+1,1.2)*EnergyCurve!G271</f>
        <v>31.961</v>
      </c>
      <c r="H271" s="96" t="n">
        <f aca="false">IF(EnergyCurve!H271&lt;200,0.001*EnergyCurve!H271+1,1.2)*EnergyCurve!H271</f>
        <v>26.676</v>
      </c>
      <c r="I271" s="96" t="n">
        <f aca="false">IF(EnergyCurve!I271&lt;200,0.001*EnergyCurve!I271+1,1.2)*EnergyCurve!I271</f>
        <v>69.225</v>
      </c>
      <c r="J271" s="94" t="n">
        <f aca="false">VLOOKUP($D271,tblPriorPrice,3)</f>
        <v>0</v>
      </c>
      <c r="K271" s="95" t="n">
        <f aca="false">L271-J271</f>
        <v>0</v>
      </c>
      <c r="L271" s="264" t="n">
        <v>0</v>
      </c>
      <c r="M271" s="96" t="n">
        <f aca="false">L271</f>
        <v>0</v>
      </c>
      <c r="N271" s="96" t="n">
        <f aca="false">L271</f>
        <v>0</v>
      </c>
      <c r="V271" s="161" t="n">
        <f aca="false">D271</f>
        <v>44136</v>
      </c>
      <c r="W271" s="94" t="n">
        <f aca="false">VLOOKUP($D271,tblPriorPrice,4)</f>
        <v>0</v>
      </c>
      <c r="X271" s="162"/>
      <c r="Y271" s="176" t="n">
        <f aca="false">L271</f>
        <v>0</v>
      </c>
      <c r="Z271" s="177" t="n">
        <f aca="false">Y271</f>
        <v>0</v>
      </c>
      <c r="AA271" s="177" t="n">
        <f aca="false">Y271</f>
        <v>0</v>
      </c>
      <c r="AB271" s="94" t="n">
        <f aca="false">VLOOKUP($D271,tblPriorPrice,5)</f>
        <v>0</v>
      </c>
      <c r="AC271" s="162"/>
      <c r="AD271" s="176" t="n">
        <f aca="false">L271</f>
        <v>0</v>
      </c>
      <c r="AE271" s="96" t="n">
        <f aca="false">AD271</f>
        <v>0</v>
      </c>
      <c r="AF271" s="97" t="n">
        <f aca="false">AD271</f>
        <v>0</v>
      </c>
      <c r="AG271" s="94" t="n">
        <f aca="false">VLOOKUP($D271,tblPriorPrice,6)</f>
        <v>0</v>
      </c>
      <c r="AH271" s="182"/>
      <c r="AI271" s="189" t="n">
        <f aca="false">AG271+AH271</f>
        <v>0</v>
      </c>
      <c r="AJ271" s="96" t="n">
        <f aca="false">AI271</f>
        <v>0</v>
      </c>
      <c r="AK271" s="97" t="n">
        <f aca="false">AI271</f>
        <v>0</v>
      </c>
      <c r="AL271" s="178" t="n">
        <v>74</v>
      </c>
      <c r="AM271" s="165" t="n">
        <v>0.4</v>
      </c>
      <c r="AN271" s="166" t="n">
        <f aca="false">EnergyCurve!AN271*2</f>
        <v>0.34</v>
      </c>
      <c r="AO271" s="166" t="n">
        <f aca="false">EnergyCurve!AO271</f>
        <v>0.153</v>
      </c>
      <c r="AP271" s="166" t="n">
        <f aca="false">AN271*1.25</f>
        <v>0.425</v>
      </c>
      <c r="AQ271" s="166" t="n">
        <f aca="false">EnergyCurve!AQ271*2</f>
        <v>0.34</v>
      </c>
      <c r="AR271" s="166" t="n">
        <f aca="false">EnergyCurve!AR271</f>
        <v>0.136</v>
      </c>
      <c r="AS271" s="166" t="n">
        <f aca="false">EnergyCurve!AS271*1.25</f>
        <v>0.255</v>
      </c>
      <c r="AT271" s="168" t="n">
        <f aca="false">EnergyCurve!AT271*2*2</f>
        <v>6.56235962744143</v>
      </c>
      <c r="AU271" s="169" t="n">
        <f aca="false">EnergyCurve!AU271</f>
        <v>-0.410147476715089</v>
      </c>
      <c r="AV271" s="169" t="n">
        <f aca="false">AT271*1.25</f>
        <v>8.20294953430178</v>
      </c>
      <c r="AW271" s="168" t="n">
        <f aca="false">EnergyCurve!AW271*2*2</f>
        <v>10.4928</v>
      </c>
      <c r="AX271" s="169" t="n">
        <f aca="false">EnergyCurve!AX271</f>
        <v>-0.6558</v>
      </c>
      <c r="AY271" s="169" t="n">
        <f aca="false">AW271*1.25</f>
        <v>13.116</v>
      </c>
      <c r="AZ271" s="167" t="n">
        <v>0</v>
      </c>
      <c r="BZ271" s="43" t="n">
        <v>44136</v>
      </c>
      <c r="CA271" s="0" t="n">
        <v>31.9610004425049</v>
      </c>
      <c r="CB271" s="116" t="n">
        <v>0</v>
      </c>
      <c r="CC271" s="116" t="n">
        <v>0</v>
      </c>
      <c r="CD271" s="116" t="n">
        <v>0</v>
      </c>
      <c r="CE271" s="117" t="n">
        <v>0</v>
      </c>
    </row>
    <row r="272" customFormat="false" ht="12.75" hidden="false" customHeight="false" outlineLevel="0" collapsed="false">
      <c r="B272" s="92" t="n">
        <f aca="false">MATCH(YEAR(D272),iSpreads)</f>
        <v>20</v>
      </c>
      <c r="C272" s="0" t="n">
        <f aca="false">MONTH(D272)</f>
        <v>12</v>
      </c>
      <c r="D272" s="93" t="n">
        <f aca="false">+EnergyCurve!D272</f>
        <v>44166</v>
      </c>
      <c r="E272" s="94" t="n">
        <f aca="false">VLOOKUP($D272,tblPriorPrice,2)</f>
        <v>33.0239982604981</v>
      </c>
      <c r="F272" s="95" t="n">
        <f aca="false">G272-E272</f>
        <v>1.73950195403449E-006</v>
      </c>
      <c r="G272" s="264" t="n">
        <f aca="false">IF(EnergyCurve!G272&lt;200,0.001*EnergyCurve!G272+1,1.2)*EnergyCurve!G272</f>
        <v>33.024</v>
      </c>
      <c r="H272" s="96" t="n">
        <f aca="false">IF(EnergyCurve!H272&lt;200,0.001*EnergyCurve!H272+1,1.2)*EnergyCurve!H272</f>
        <v>27.729</v>
      </c>
      <c r="I272" s="96" t="n">
        <f aca="false">IF(EnergyCurve!I272&lt;200,0.001*EnergyCurve!I272+1,1.2)*EnergyCurve!I272</f>
        <v>70.356</v>
      </c>
      <c r="J272" s="94" t="n">
        <f aca="false">VLOOKUP($D272,tblPriorPrice,3)</f>
        <v>0</v>
      </c>
      <c r="K272" s="95" t="n">
        <f aca="false">L272-J272</f>
        <v>0</v>
      </c>
      <c r="L272" s="264" t="n">
        <v>0</v>
      </c>
      <c r="M272" s="96" t="n">
        <f aca="false">L272</f>
        <v>0</v>
      </c>
      <c r="N272" s="96" t="n">
        <f aca="false">L272</f>
        <v>0</v>
      </c>
      <c r="V272" s="161" t="n">
        <f aca="false">D272</f>
        <v>44166</v>
      </c>
      <c r="W272" s="94" t="n">
        <f aca="false">VLOOKUP($D272,tblPriorPrice,4)</f>
        <v>0</v>
      </c>
      <c r="X272" s="162"/>
      <c r="Y272" s="176" t="n">
        <f aca="false">L272</f>
        <v>0</v>
      </c>
      <c r="Z272" s="177" t="n">
        <f aca="false">Y272</f>
        <v>0</v>
      </c>
      <c r="AA272" s="177" t="n">
        <f aca="false">Y272</f>
        <v>0</v>
      </c>
      <c r="AB272" s="94" t="n">
        <f aca="false">VLOOKUP($D272,tblPriorPrice,5)</f>
        <v>0</v>
      </c>
      <c r="AC272" s="162"/>
      <c r="AD272" s="176" t="n">
        <f aca="false">L272</f>
        <v>0</v>
      </c>
      <c r="AE272" s="96" t="n">
        <f aca="false">AD272</f>
        <v>0</v>
      </c>
      <c r="AF272" s="97" t="n">
        <f aca="false">AD272</f>
        <v>0</v>
      </c>
      <c r="AG272" s="94" t="n">
        <f aca="false">VLOOKUP($D272,tblPriorPrice,6)</f>
        <v>0</v>
      </c>
      <c r="AH272" s="182"/>
      <c r="AI272" s="189" t="n">
        <f aca="false">AG272+AH272</f>
        <v>0</v>
      </c>
      <c r="AJ272" s="96" t="n">
        <f aca="false">AI272</f>
        <v>0</v>
      </c>
      <c r="AK272" s="97" t="n">
        <f aca="false">AI272</f>
        <v>0</v>
      </c>
      <c r="AL272" s="178" t="n">
        <v>74</v>
      </c>
      <c r="AM272" s="165" t="n">
        <v>0.4</v>
      </c>
      <c r="AN272" s="166" t="n">
        <f aca="false">EnergyCurve!AN272*2</f>
        <v>0.34</v>
      </c>
      <c r="AO272" s="166" t="n">
        <f aca="false">EnergyCurve!AO272</f>
        <v>0.153</v>
      </c>
      <c r="AP272" s="166" t="n">
        <f aca="false">AN272*1.25</f>
        <v>0.425</v>
      </c>
      <c r="AQ272" s="166" t="n">
        <f aca="false">EnergyCurve!AQ272*2</f>
        <v>0.34</v>
      </c>
      <c r="AR272" s="166" t="n">
        <f aca="false">EnergyCurve!AR272</f>
        <v>0.136</v>
      </c>
      <c r="AS272" s="166" t="n">
        <f aca="false">EnergyCurve!AS272*1.25</f>
        <v>0.255</v>
      </c>
      <c r="AT272" s="168" t="n">
        <f aca="false">EnergyCurve!AT272*2*2</f>
        <v>6.71448638739126</v>
      </c>
      <c r="AU272" s="169" t="n">
        <f aca="false">EnergyCurve!AU272</f>
        <v>-0.419655399211954</v>
      </c>
      <c r="AV272" s="169" t="n">
        <f aca="false">AT272*1.25</f>
        <v>8.39310798423907</v>
      </c>
      <c r="AW272" s="168" t="n">
        <f aca="false">EnergyCurve!AW272*2*2</f>
        <v>10.6812</v>
      </c>
      <c r="AX272" s="169" t="n">
        <f aca="false">EnergyCurve!AX272</f>
        <v>-0.667575</v>
      </c>
      <c r="AY272" s="169" t="n">
        <f aca="false">AW272*1.25</f>
        <v>13.3515</v>
      </c>
      <c r="AZ272" s="167" t="n">
        <v>0</v>
      </c>
      <c r="BZ272" s="43" t="n">
        <v>44166</v>
      </c>
      <c r="CA272" s="0" t="n">
        <v>33.0239982604981</v>
      </c>
      <c r="CB272" s="116" t="n">
        <v>0</v>
      </c>
      <c r="CC272" s="116" t="n">
        <v>0</v>
      </c>
      <c r="CD272" s="116" t="n">
        <v>0</v>
      </c>
      <c r="CE272" s="117" t="n">
        <v>0</v>
      </c>
    </row>
    <row r="273" customFormat="false" ht="12.75" hidden="false" customHeight="false" outlineLevel="0" collapsed="false">
      <c r="B273" s="92" t="n">
        <f aca="false">MATCH(YEAR(D273),iSpreads)</f>
        <v>20</v>
      </c>
      <c r="C273" s="0" t="n">
        <f aca="false">MONTH(D273)</f>
        <v>1</v>
      </c>
      <c r="D273" s="93" t="n">
        <f aca="false">+EnergyCurve!D273</f>
        <v>44197</v>
      </c>
      <c r="E273" s="94" t="n">
        <f aca="false">VLOOKUP($D273,tblPriorPrice,2)</f>
        <v>34.0890007019043</v>
      </c>
      <c r="F273" s="95" t="n">
        <f aca="false">G273-E273</f>
        <v>-7.01904298239242E-007</v>
      </c>
      <c r="G273" s="264" t="n">
        <f aca="false">IF(EnergyCurve!G273&lt;200,0.001*EnergyCurve!G273+1,1.2)*EnergyCurve!G273</f>
        <v>34.089</v>
      </c>
      <c r="H273" s="96" t="n">
        <f aca="false">IF(EnergyCurve!H273&lt;200,0.001*EnergyCurve!H273+1,1.2)*EnergyCurve!H273</f>
        <v>28.784</v>
      </c>
      <c r="I273" s="96" t="n">
        <f aca="false">IF(EnergyCurve!I273&lt;200,0.001*EnergyCurve!I273+1,1.2)*EnergyCurve!I273</f>
        <v>71.489</v>
      </c>
      <c r="J273" s="94" t="n">
        <f aca="false">VLOOKUP($D273,tblPriorPrice,3)</f>
        <v>0</v>
      </c>
      <c r="K273" s="95" t="n">
        <f aca="false">L273-J273</f>
        <v>0</v>
      </c>
      <c r="L273" s="264" t="n">
        <v>0</v>
      </c>
      <c r="M273" s="96" t="n">
        <f aca="false">L273</f>
        <v>0</v>
      </c>
      <c r="N273" s="96" t="n">
        <f aca="false">L273</f>
        <v>0</v>
      </c>
      <c r="V273" s="161" t="n">
        <f aca="false">D273</f>
        <v>44197</v>
      </c>
      <c r="W273" s="94" t="n">
        <f aca="false">VLOOKUP($D273,tblPriorPrice,4)</f>
        <v>0</v>
      </c>
      <c r="X273" s="162"/>
      <c r="Y273" s="176" t="n">
        <f aca="false">L273</f>
        <v>0</v>
      </c>
      <c r="Z273" s="177" t="n">
        <f aca="false">Y273</f>
        <v>0</v>
      </c>
      <c r="AA273" s="177" t="n">
        <f aca="false">Y273</f>
        <v>0</v>
      </c>
      <c r="AB273" s="94" t="n">
        <f aca="false">VLOOKUP($D273,tblPriorPrice,5)</f>
        <v>0</v>
      </c>
      <c r="AC273" s="162"/>
      <c r="AD273" s="176" t="n">
        <f aca="false">L273</f>
        <v>0</v>
      </c>
      <c r="AE273" s="96" t="n">
        <f aca="false">AD273</f>
        <v>0</v>
      </c>
      <c r="AF273" s="97" t="n">
        <f aca="false">AD273</f>
        <v>0</v>
      </c>
      <c r="AG273" s="94" t="n">
        <f aca="false">VLOOKUP($D273,tblPriorPrice,6)</f>
        <v>0</v>
      </c>
      <c r="AH273" s="182"/>
      <c r="AI273" s="189" t="n">
        <f aca="false">AG273+AH273</f>
        <v>0</v>
      </c>
      <c r="AJ273" s="96" t="n">
        <f aca="false">AI273</f>
        <v>0</v>
      </c>
      <c r="AK273" s="97" t="n">
        <f aca="false">AI273</f>
        <v>0</v>
      </c>
      <c r="AL273" s="178" t="n">
        <v>74</v>
      </c>
      <c r="AM273" s="165" t="n">
        <v>0.4</v>
      </c>
      <c r="AN273" s="166" t="n">
        <f aca="false">EnergyCurve!AN273*2</f>
        <v>0</v>
      </c>
      <c r="AO273" s="166" t="n">
        <f aca="false">EnergyCurve!AO273</f>
        <v>0</v>
      </c>
      <c r="AP273" s="166" t="n">
        <f aca="false">AN273*1.25</f>
        <v>0</v>
      </c>
      <c r="AQ273" s="166" t="n">
        <f aca="false">EnergyCurve!AQ273*2</f>
        <v>0</v>
      </c>
      <c r="AR273" s="166" t="n">
        <f aca="false">EnergyCurve!AR273</f>
        <v>0</v>
      </c>
      <c r="AS273" s="166" t="n">
        <f aca="false">EnergyCurve!AS273*1.25</f>
        <v>0</v>
      </c>
      <c r="AT273" s="168" t="n">
        <f aca="false">EnergyCurve!AT273*2*2</f>
        <v>6.88781730529552</v>
      </c>
      <c r="AU273" s="169" t="n">
        <f aca="false">EnergyCurve!AU273</f>
        <v>-0.43048858158097</v>
      </c>
      <c r="AV273" s="169" t="n">
        <f aca="false">AT273*1.25</f>
        <v>8.60977163161941</v>
      </c>
      <c r="AW273" s="168" t="n">
        <f aca="false">EnergyCurve!AW273*2*2</f>
        <v>10.4928</v>
      </c>
      <c r="AX273" s="169" t="n">
        <f aca="false">EnergyCurve!AX273</f>
        <v>-0.6558</v>
      </c>
      <c r="AY273" s="169" t="n">
        <f aca="false">AW273*1.25</f>
        <v>13.116</v>
      </c>
      <c r="AZ273" s="167" t="n">
        <v>0</v>
      </c>
      <c r="BZ273" s="43" t="n">
        <v>44197</v>
      </c>
      <c r="CA273" s="0" t="n">
        <v>34.0890007019043</v>
      </c>
      <c r="CB273" s="116" t="n">
        <v>0</v>
      </c>
      <c r="CC273" s="116" t="n">
        <v>0</v>
      </c>
      <c r="CD273" s="116" t="n">
        <v>0</v>
      </c>
      <c r="CE273" s="117" t="n">
        <v>0</v>
      </c>
    </row>
    <row r="274" customFormat="false" ht="12.75" hidden="false" customHeight="false" outlineLevel="0" collapsed="false">
      <c r="B274" s="92" t="n">
        <f aca="false">MATCH(YEAR(D274),iSpreads)</f>
        <v>20</v>
      </c>
      <c r="C274" s="0" t="n">
        <f aca="false">MONTH(D274)</f>
        <v>2</v>
      </c>
      <c r="D274" s="93" t="n">
        <f aca="false">+EnergyCurve!D274</f>
        <v>44228</v>
      </c>
      <c r="E274" s="94" t="n">
        <f aca="false">VLOOKUP($D274,tblPriorPrice,2)</f>
        <v>30.8999996185303</v>
      </c>
      <c r="F274" s="95" t="n">
        <f aca="false">G274-E274</f>
        <v>3.81469728694128E-007</v>
      </c>
      <c r="G274" s="264" t="n">
        <f aca="false">IF(EnergyCurve!G274&lt;200,0.001*EnergyCurve!G274+1,1.2)*EnergyCurve!G274</f>
        <v>30.9</v>
      </c>
      <c r="H274" s="96" t="n">
        <f aca="false">IF(EnergyCurve!H274&lt;200,0.001*EnergyCurve!H274+1,1.2)*EnergyCurve!H274</f>
        <v>25.625</v>
      </c>
      <c r="I274" s="96" t="n">
        <f aca="false">IF(EnergyCurve!I274&lt;200,0.001*EnergyCurve!I274+1,1.2)*EnergyCurve!I274</f>
        <v>68.096</v>
      </c>
      <c r="J274" s="94" t="n">
        <f aca="false">VLOOKUP($D274,tblPriorPrice,3)</f>
        <v>0</v>
      </c>
      <c r="K274" s="95" t="n">
        <f aca="false">L274-J274</f>
        <v>0</v>
      </c>
      <c r="L274" s="264" t="n">
        <v>0</v>
      </c>
      <c r="M274" s="96" t="n">
        <f aca="false">L274</f>
        <v>0</v>
      </c>
      <c r="N274" s="96" t="n">
        <f aca="false">L274</f>
        <v>0</v>
      </c>
      <c r="V274" s="161" t="n">
        <f aca="false">D274</f>
        <v>44228</v>
      </c>
      <c r="W274" s="94" t="n">
        <f aca="false">VLOOKUP($D274,tblPriorPrice,4)</f>
        <v>0</v>
      </c>
      <c r="X274" s="162"/>
      <c r="Y274" s="176" t="n">
        <f aca="false">L274</f>
        <v>0</v>
      </c>
      <c r="Z274" s="177" t="n">
        <f aca="false">Y274</f>
        <v>0</v>
      </c>
      <c r="AA274" s="177" t="n">
        <f aca="false">Y274</f>
        <v>0</v>
      </c>
      <c r="AB274" s="94" t="n">
        <f aca="false">VLOOKUP($D274,tblPriorPrice,5)</f>
        <v>0</v>
      </c>
      <c r="AC274" s="162"/>
      <c r="AD274" s="176" t="n">
        <f aca="false">L274</f>
        <v>0</v>
      </c>
      <c r="AE274" s="96" t="n">
        <f aca="false">AD274</f>
        <v>0</v>
      </c>
      <c r="AF274" s="97" t="n">
        <f aca="false">AD274</f>
        <v>0</v>
      </c>
      <c r="AG274" s="94" t="n">
        <f aca="false">VLOOKUP($D274,tblPriorPrice,6)</f>
        <v>0</v>
      </c>
      <c r="AH274" s="182"/>
      <c r="AI274" s="189" t="n">
        <f aca="false">AG274+AH274</f>
        <v>0</v>
      </c>
      <c r="AJ274" s="96" t="n">
        <f aca="false">AI274</f>
        <v>0</v>
      </c>
      <c r="AK274" s="97" t="n">
        <f aca="false">AI274</f>
        <v>0</v>
      </c>
      <c r="AL274" s="178" t="n">
        <v>74</v>
      </c>
      <c r="AM274" s="165" t="n">
        <v>0.4</v>
      </c>
      <c r="AN274" s="166" t="n">
        <f aca="false">EnergyCurve!AN274*2</f>
        <v>0</v>
      </c>
      <c r="AO274" s="166" t="n">
        <f aca="false">EnergyCurve!AO274</f>
        <v>0</v>
      </c>
      <c r="AP274" s="166" t="n">
        <f aca="false">AN274*1.25</f>
        <v>0</v>
      </c>
      <c r="AQ274" s="166" t="n">
        <f aca="false">EnergyCurve!AQ274*2</f>
        <v>0</v>
      </c>
      <c r="AR274" s="166" t="n">
        <f aca="false">EnergyCurve!AR274</f>
        <v>0</v>
      </c>
      <c r="AS274" s="166" t="n">
        <f aca="false">EnergyCurve!AS274*1.25</f>
        <v>0</v>
      </c>
      <c r="AT274" s="168" t="n">
        <f aca="false">EnergyCurve!AT274*2*2</f>
        <v>6.43371807382396</v>
      </c>
      <c r="AU274" s="169" t="n">
        <f aca="false">EnergyCurve!AU274</f>
        <v>-0.402107379613998</v>
      </c>
      <c r="AV274" s="169" t="n">
        <f aca="false">AT274*1.25</f>
        <v>8.04214759227995</v>
      </c>
      <c r="AW274" s="168" t="n">
        <f aca="false">EnergyCurve!AW274*2*2</f>
        <v>10.587</v>
      </c>
      <c r="AX274" s="169" t="n">
        <f aca="false">EnergyCurve!AX274</f>
        <v>-0.6616875</v>
      </c>
      <c r="AY274" s="169" t="n">
        <f aca="false">AW274*1.25</f>
        <v>13.23375</v>
      </c>
      <c r="AZ274" s="167" t="n">
        <v>0</v>
      </c>
      <c r="BZ274" s="43" t="n">
        <v>44228</v>
      </c>
      <c r="CA274" s="0" t="n">
        <v>30.8999996185303</v>
      </c>
      <c r="CB274" s="116" t="n">
        <v>0</v>
      </c>
      <c r="CC274" s="116" t="n">
        <v>0</v>
      </c>
      <c r="CD274" s="116" t="n">
        <v>0</v>
      </c>
      <c r="CE274" s="117" t="n">
        <v>0</v>
      </c>
    </row>
    <row r="275" customFormat="false" ht="12.75" hidden="false" customHeight="false" outlineLevel="0" collapsed="false">
      <c r="B275" s="92" t="n">
        <f aca="false">MATCH(YEAR(D275),iSpreads)</f>
        <v>20</v>
      </c>
      <c r="C275" s="0" t="n">
        <f aca="false">MONTH(D275)</f>
        <v>3</v>
      </c>
      <c r="D275" s="93" t="n">
        <f aca="false">+EnergyCurve!D275</f>
        <v>44256</v>
      </c>
      <c r="E275" s="94" t="n">
        <f aca="false">VLOOKUP($D275,tblPriorPrice,2)</f>
        <v>29.8409996032715</v>
      </c>
      <c r="F275" s="95" t="n">
        <f aca="false">G275-E275</f>
        <v>3.96728513152311E-007</v>
      </c>
      <c r="G275" s="264" t="n">
        <f aca="false">IF(EnergyCurve!G275&lt;200,0.001*EnergyCurve!G275+1,1.2)*EnergyCurve!G275</f>
        <v>29.841</v>
      </c>
      <c r="H275" s="96" t="n">
        <f aca="false">IF(EnergyCurve!H275&lt;200,0.001*EnergyCurve!H275+1,1.2)*EnergyCurve!H275</f>
        <v>24.576</v>
      </c>
      <c r="I275" s="96" t="n">
        <f aca="false">IF(EnergyCurve!I275&lt;200,0.001*EnergyCurve!I275+1,1.2)*EnergyCurve!I275</f>
        <v>66.969</v>
      </c>
      <c r="J275" s="94" t="n">
        <f aca="false">VLOOKUP($D275,tblPriorPrice,3)</f>
        <v>0</v>
      </c>
      <c r="K275" s="95" t="n">
        <f aca="false">L275-J275</f>
        <v>0</v>
      </c>
      <c r="L275" s="264" t="n">
        <v>0</v>
      </c>
      <c r="M275" s="96" t="n">
        <f aca="false">L275</f>
        <v>0</v>
      </c>
      <c r="N275" s="96" t="n">
        <f aca="false">L275</f>
        <v>0</v>
      </c>
      <c r="V275" s="161" t="n">
        <f aca="false">D275</f>
        <v>44256</v>
      </c>
      <c r="W275" s="94" t="n">
        <f aca="false">VLOOKUP($D275,tblPriorPrice,4)</f>
        <v>0</v>
      </c>
      <c r="X275" s="162"/>
      <c r="Y275" s="176" t="n">
        <f aca="false">L275</f>
        <v>0</v>
      </c>
      <c r="Z275" s="177" t="n">
        <f aca="false">Y275</f>
        <v>0</v>
      </c>
      <c r="AA275" s="177" t="n">
        <f aca="false">Y275</f>
        <v>0</v>
      </c>
      <c r="AB275" s="94" t="n">
        <f aca="false">VLOOKUP($D275,tblPriorPrice,5)</f>
        <v>0</v>
      </c>
      <c r="AC275" s="162"/>
      <c r="AD275" s="176" t="n">
        <f aca="false">L275</f>
        <v>0</v>
      </c>
      <c r="AE275" s="96" t="n">
        <f aca="false">AD275</f>
        <v>0</v>
      </c>
      <c r="AF275" s="97" t="n">
        <f aca="false">AD275</f>
        <v>0</v>
      </c>
      <c r="AG275" s="94" t="n">
        <f aca="false">VLOOKUP($D275,tblPriorPrice,6)</f>
        <v>0</v>
      </c>
      <c r="AH275" s="182"/>
      <c r="AI275" s="189" t="n">
        <f aca="false">AG275+AH275</f>
        <v>0</v>
      </c>
      <c r="AJ275" s="96" t="n">
        <f aca="false">AI275</f>
        <v>0</v>
      </c>
      <c r="AK275" s="97" t="n">
        <f aca="false">AI275</f>
        <v>0</v>
      </c>
      <c r="AL275" s="178" t="n">
        <v>74</v>
      </c>
      <c r="AM275" s="165" t="n">
        <v>0.4</v>
      </c>
      <c r="AN275" s="166" t="n">
        <f aca="false">EnergyCurve!AN275*2</f>
        <v>0</v>
      </c>
      <c r="AO275" s="166" t="n">
        <f aca="false">EnergyCurve!AO275</f>
        <v>0</v>
      </c>
      <c r="AP275" s="166" t="n">
        <f aca="false">AN275*1.25</f>
        <v>0</v>
      </c>
      <c r="AQ275" s="166" t="n">
        <f aca="false">EnergyCurve!AQ275*2</f>
        <v>0</v>
      </c>
      <c r="AR275" s="166" t="n">
        <f aca="false">EnergyCurve!AR275</f>
        <v>0</v>
      </c>
      <c r="AS275" s="166" t="n">
        <f aca="false">EnergyCurve!AS275*1.25</f>
        <v>0</v>
      </c>
      <c r="AT275" s="168" t="n">
        <f aca="false">EnergyCurve!AT275*2*2</f>
        <v>6.33113623762127</v>
      </c>
      <c r="AU275" s="169" t="n">
        <f aca="false">EnergyCurve!AU275</f>
        <v>-0.395696014851329</v>
      </c>
      <c r="AV275" s="169" t="n">
        <f aca="false">AT275*1.25</f>
        <v>7.91392029702658</v>
      </c>
      <c r="AW275" s="168" t="n">
        <f aca="false">EnergyCurve!AW275*2*2</f>
        <v>10.6812</v>
      </c>
      <c r="AX275" s="169" t="n">
        <f aca="false">EnergyCurve!AX275</f>
        <v>-0.667575</v>
      </c>
      <c r="AY275" s="169" t="n">
        <f aca="false">AW275*1.25</f>
        <v>13.3515</v>
      </c>
      <c r="AZ275" s="167" t="n">
        <v>0</v>
      </c>
      <c r="BZ275" s="43" t="n">
        <v>44256</v>
      </c>
      <c r="CA275" s="0" t="n">
        <v>29.8409996032715</v>
      </c>
      <c r="CB275" s="116" t="n">
        <v>0</v>
      </c>
      <c r="CC275" s="116" t="n">
        <v>0</v>
      </c>
      <c r="CD275" s="116" t="n">
        <v>0</v>
      </c>
      <c r="CE275" s="117" t="n">
        <v>0</v>
      </c>
    </row>
    <row r="276" customFormat="false" ht="12.75" hidden="false" customHeight="false" outlineLevel="0" collapsed="false">
      <c r="B276" s="92" t="n">
        <f aca="false">MATCH(YEAR(D276),iSpreads)</f>
        <v>20</v>
      </c>
      <c r="C276" s="0" t="n">
        <f aca="false">MONTH(D276)</f>
        <v>4</v>
      </c>
      <c r="D276" s="93" t="n">
        <f aca="false">+EnergyCurve!D276</f>
        <v>44287</v>
      </c>
      <c r="E276" s="94" t="n">
        <f aca="false">VLOOKUP($D276,tblPriorPrice,2)</f>
        <v>29.8409996032715</v>
      </c>
      <c r="F276" s="95" t="n">
        <f aca="false">G276-E276</f>
        <v>3.96728513152311E-007</v>
      </c>
      <c r="G276" s="264" t="n">
        <f aca="false">IF(EnergyCurve!G276&lt;200,0.001*EnergyCurve!G276+1,1.2)*EnergyCurve!G276</f>
        <v>29.841</v>
      </c>
      <c r="H276" s="96" t="n">
        <f aca="false">IF(EnergyCurve!H276&lt;200,0.001*EnergyCurve!H276+1,1.2)*EnergyCurve!H276</f>
        <v>24.576</v>
      </c>
      <c r="I276" s="96" t="n">
        <f aca="false">IF(EnergyCurve!I276&lt;200,0.001*EnergyCurve!I276+1,1.2)*EnergyCurve!I276</f>
        <v>66.969</v>
      </c>
      <c r="J276" s="94" t="n">
        <f aca="false">VLOOKUP($D276,tblPriorPrice,3)</f>
        <v>0</v>
      </c>
      <c r="K276" s="95" t="n">
        <f aca="false">L276-J276</f>
        <v>0</v>
      </c>
      <c r="L276" s="264" t="n">
        <v>0</v>
      </c>
      <c r="M276" s="96" t="n">
        <f aca="false">L276</f>
        <v>0</v>
      </c>
      <c r="N276" s="96" t="n">
        <f aca="false">L276</f>
        <v>0</v>
      </c>
      <c r="V276" s="161" t="n">
        <f aca="false">D276</f>
        <v>44287</v>
      </c>
      <c r="W276" s="94" t="n">
        <f aca="false">VLOOKUP($D276,tblPriorPrice,4)</f>
        <v>0</v>
      </c>
      <c r="X276" s="162"/>
      <c r="Y276" s="176" t="n">
        <f aca="false">L276</f>
        <v>0</v>
      </c>
      <c r="Z276" s="177" t="n">
        <f aca="false">Y276</f>
        <v>0</v>
      </c>
      <c r="AA276" s="177" t="n">
        <f aca="false">Y276</f>
        <v>0</v>
      </c>
      <c r="AB276" s="94" t="n">
        <f aca="false">VLOOKUP($D276,tblPriorPrice,5)</f>
        <v>0</v>
      </c>
      <c r="AC276" s="162"/>
      <c r="AD276" s="176" t="n">
        <f aca="false">L276</f>
        <v>0</v>
      </c>
      <c r="AE276" s="96" t="n">
        <f aca="false">AD276</f>
        <v>0</v>
      </c>
      <c r="AF276" s="97" t="n">
        <f aca="false">AD276</f>
        <v>0</v>
      </c>
      <c r="AG276" s="94" t="n">
        <f aca="false">VLOOKUP($D276,tblPriorPrice,6)</f>
        <v>0</v>
      </c>
      <c r="AH276" s="182"/>
      <c r="AI276" s="189" t="n">
        <f aca="false">AG276+AH276</f>
        <v>0</v>
      </c>
      <c r="AJ276" s="96" t="n">
        <f aca="false">AI276</f>
        <v>0</v>
      </c>
      <c r="AK276" s="97" t="n">
        <f aca="false">AI276</f>
        <v>0</v>
      </c>
      <c r="AL276" s="178" t="n">
        <v>74</v>
      </c>
      <c r="AM276" s="165" t="n">
        <v>0.4</v>
      </c>
      <c r="AN276" s="166" t="n">
        <f aca="false">EnergyCurve!AN276*2</f>
        <v>0</v>
      </c>
      <c r="AO276" s="166" t="n">
        <f aca="false">EnergyCurve!AO276</f>
        <v>0</v>
      </c>
      <c r="AP276" s="166" t="n">
        <f aca="false">AN276*1.25</f>
        <v>0</v>
      </c>
      <c r="AQ276" s="166" t="n">
        <f aca="false">EnergyCurve!AQ276*2</f>
        <v>0</v>
      </c>
      <c r="AR276" s="166" t="n">
        <f aca="false">EnergyCurve!AR276</f>
        <v>0</v>
      </c>
      <c r="AS276" s="166" t="n">
        <f aca="false">EnergyCurve!AS276*1.25</f>
        <v>0</v>
      </c>
      <c r="AT276" s="168" t="n">
        <f aca="false">EnergyCurve!AT276*2*2</f>
        <v>6.33113623762127</v>
      </c>
      <c r="AU276" s="169" t="n">
        <f aca="false">EnergyCurve!AU276</f>
        <v>-0.395696014851329</v>
      </c>
      <c r="AV276" s="169" t="n">
        <f aca="false">AT276*1.25</f>
        <v>7.91392029702658</v>
      </c>
      <c r="AW276" s="168" t="n">
        <f aca="false">EnergyCurve!AW276*2*2</f>
        <v>10.6812</v>
      </c>
      <c r="AX276" s="169" t="n">
        <f aca="false">EnergyCurve!AX276</f>
        <v>-0.667575</v>
      </c>
      <c r="AY276" s="169" t="n">
        <f aca="false">AW276*1.25</f>
        <v>13.3515</v>
      </c>
      <c r="AZ276" s="167" t="n">
        <v>0</v>
      </c>
      <c r="BZ276" s="43" t="n">
        <v>44287</v>
      </c>
      <c r="CA276" s="0" t="n">
        <v>29.8409996032715</v>
      </c>
      <c r="CB276" s="116" t="n">
        <v>0</v>
      </c>
      <c r="CC276" s="116" t="n">
        <v>0</v>
      </c>
      <c r="CD276" s="116" t="n">
        <v>0</v>
      </c>
      <c r="CE276" s="117" t="n">
        <v>0</v>
      </c>
    </row>
    <row r="277" customFormat="false" ht="12.75" hidden="false" customHeight="false" outlineLevel="0" collapsed="false">
      <c r="B277" s="92" t="n">
        <f aca="false">MATCH(YEAR(D277),iSpreads)</f>
        <v>20</v>
      </c>
      <c r="C277" s="0" t="n">
        <f aca="false">MONTH(D277)</f>
        <v>5</v>
      </c>
      <c r="D277" s="93" t="n">
        <f aca="false">+EnergyCurve!D277</f>
        <v>44317</v>
      </c>
      <c r="E277" s="94" t="n">
        <f aca="false">VLOOKUP($D277,tblPriorPrice,2)</f>
        <v>29.8409996032715</v>
      </c>
      <c r="F277" s="95" t="n">
        <f aca="false">G277-E277</f>
        <v>3.18300039672852</v>
      </c>
      <c r="G277" s="264" t="n">
        <f aca="false">IF(EnergyCurve!G277&lt;200,0.001*EnergyCurve!G277+1,1.2)*EnergyCurve!G277</f>
        <v>33.024</v>
      </c>
      <c r="H277" s="96" t="n">
        <f aca="false">IF(EnergyCurve!H277&lt;200,0.001*EnergyCurve!H277+1,1.2)*EnergyCurve!H277</f>
        <v>27.729</v>
      </c>
      <c r="I277" s="96" t="n">
        <f aca="false">IF(EnergyCurve!I277&lt;200,0.001*EnergyCurve!I277+1,1.2)*EnergyCurve!I277</f>
        <v>70.356</v>
      </c>
      <c r="J277" s="94" t="n">
        <f aca="false">VLOOKUP($D277,tblPriorPrice,3)</f>
        <v>0</v>
      </c>
      <c r="K277" s="95" t="n">
        <f aca="false">L277-J277</f>
        <v>0</v>
      </c>
      <c r="L277" s="264" t="n">
        <v>0</v>
      </c>
      <c r="M277" s="96" t="n">
        <f aca="false">L277</f>
        <v>0</v>
      </c>
      <c r="N277" s="96" t="n">
        <f aca="false">L277</f>
        <v>0</v>
      </c>
      <c r="V277" s="161" t="n">
        <f aca="false">D277</f>
        <v>44317</v>
      </c>
      <c r="W277" s="94" t="n">
        <f aca="false">VLOOKUP($D277,tblPriorPrice,4)</f>
        <v>0</v>
      </c>
      <c r="X277" s="162"/>
      <c r="Y277" s="176" t="n">
        <f aca="false">L277</f>
        <v>0</v>
      </c>
      <c r="Z277" s="177" t="n">
        <f aca="false">Y277</f>
        <v>0</v>
      </c>
      <c r="AA277" s="177" t="n">
        <f aca="false">Y277</f>
        <v>0</v>
      </c>
      <c r="AB277" s="94" t="n">
        <f aca="false">VLOOKUP($D277,tblPriorPrice,5)</f>
        <v>0</v>
      </c>
      <c r="AD277" s="176" t="n">
        <f aca="false">L277</f>
        <v>0</v>
      </c>
      <c r="AE277" s="96" t="n">
        <f aca="false">AD277</f>
        <v>0</v>
      </c>
      <c r="AF277" s="97" t="n">
        <f aca="false">AD277</f>
        <v>0</v>
      </c>
      <c r="AG277" s="94" t="n">
        <f aca="false">VLOOKUP($D277,tblPriorPrice,6)</f>
        <v>0</v>
      </c>
      <c r="AH277" s="182"/>
      <c r="AI277" s="189" t="n">
        <f aca="false">AG277+AH277</f>
        <v>0</v>
      </c>
      <c r="AJ277" s="96" t="n">
        <f aca="false">AI277</f>
        <v>0</v>
      </c>
      <c r="AK277" s="97" t="n">
        <f aca="false">AI277</f>
        <v>0</v>
      </c>
      <c r="AL277" s="178" t="n">
        <v>74</v>
      </c>
      <c r="AM277" s="165" t="n">
        <v>0.4</v>
      </c>
      <c r="AN277" s="166" t="n">
        <f aca="false">EnergyCurve!AN277*2</f>
        <v>0</v>
      </c>
      <c r="AO277" s="166" t="n">
        <f aca="false">EnergyCurve!AO277</f>
        <v>0</v>
      </c>
      <c r="AP277" s="166" t="n">
        <f aca="false">AN277*1.25</f>
        <v>0</v>
      </c>
      <c r="AQ277" s="166" t="n">
        <f aca="false">EnergyCurve!AQ277*2</f>
        <v>0</v>
      </c>
      <c r="AR277" s="166" t="n">
        <f aca="false">EnergyCurve!AR277</f>
        <v>0</v>
      </c>
      <c r="AS277" s="166" t="n">
        <f aca="false">EnergyCurve!AS277*1.25</f>
        <v>0</v>
      </c>
      <c r="AT277" s="168" t="n">
        <f aca="false">EnergyCurve!AT277*2*2</f>
        <v>6.71448638739126</v>
      </c>
      <c r="AU277" s="169" t="n">
        <f aca="false">EnergyCurve!AU277</f>
        <v>-0.419655399211954</v>
      </c>
      <c r="AV277" s="169" t="n">
        <f aca="false">AT277*1.25</f>
        <v>8.39310798423907</v>
      </c>
      <c r="AW277" s="168" t="n">
        <f aca="false">EnergyCurve!AW277*2*2</f>
        <v>10.3986</v>
      </c>
      <c r="AX277" s="169" t="n">
        <f aca="false">EnergyCurve!AX277</f>
        <v>-0.6499125</v>
      </c>
      <c r="AY277" s="169" t="n">
        <f aca="false">AW277*1.25</f>
        <v>12.99825</v>
      </c>
      <c r="AZ277" s="167" t="n">
        <v>0</v>
      </c>
      <c r="BZ277" s="43" t="n">
        <v>44317</v>
      </c>
      <c r="CA277" s="0" t="n">
        <v>33.0239982604981</v>
      </c>
      <c r="CB277" s="116" t="n">
        <v>0</v>
      </c>
      <c r="CC277" s="116" t="n">
        <v>0</v>
      </c>
      <c r="CD277" s="116" t="n">
        <v>0</v>
      </c>
      <c r="CE277" s="117" t="n">
        <v>0</v>
      </c>
    </row>
    <row r="278" customFormat="false" ht="12.75" hidden="false" customHeight="false" outlineLevel="0" collapsed="false">
      <c r="B278" s="92" t="n">
        <f aca="false">MATCH(YEAR(D278),iSpreads)</f>
        <v>20</v>
      </c>
      <c r="C278" s="0" t="n">
        <f aca="false">MONTH(D278)</f>
        <v>6</v>
      </c>
      <c r="D278" s="93" t="n">
        <f aca="false">+EnergyCurve!D278</f>
        <v>44348</v>
      </c>
      <c r="E278" s="94" t="n">
        <f aca="false">VLOOKUP($D278,tblPriorPrice,2)</f>
        <v>29.8409996032715</v>
      </c>
      <c r="F278" s="95" t="n">
        <f aca="false">G278-E278</f>
        <v>10.6800003967285</v>
      </c>
      <c r="G278" s="264" t="n">
        <f aca="false">IF(EnergyCurve!G278&lt;200,0.001*EnergyCurve!G278+1,1.2)*EnergyCurve!G278</f>
        <v>40.521</v>
      </c>
      <c r="H278" s="96" t="n">
        <f aca="false">IF(EnergyCurve!H278&lt;200,0.001*EnergyCurve!H278+1,1.2)*EnergyCurve!H278</f>
        <v>35.156</v>
      </c>
      <c r="I278" s="96" t="n">
        <f aca="false">IF(EnergyCurve!I278&lt;200,0.001*EnergyCurve!I278+1,1.2)*EnergyCurve!I278</f>
        <v>78.329</v>
      </c>
      <c r="J278" s="94" t="n">
        <f aca="false">VLOOKUP($D278,tblPriorPrice,3)</f>
        <v>0</v>
      </c>
      <c r="K278" s="95" t="n">
        <f aca="false">L278-J278</f>
        <v>0</v>
      </c>
      <c r="L278" s="264" t="n">
        <v>0</v>
      </c>
      <c r="M278" s="96" t="n">
        <f aca="false">L278</f>
        <v>0</v>
      </c>
      <c r="N278" s="96" t="n">
        <f aca="false">L278</f>
        <v>0</v>
      </c>
      <c r="V278" s="161" t="n">
        <f aca="false">D278</f>
        <v>44348</v>
      </c>
      <c r="W278" s="94" t="n">
        <f aca="false">VLOOKUP($D278,tblPriorPrice,4)</f>
        <v>0</v>
      </c>
      <c r="X278" s="162"/>
      <c r="Y278" s="176" t="n">
        <f aca="false">L278</f>
        <v>0</v>
      </c>
      <c r="Z278" s="177" t="n">
        <f aca="false">Y278</f>
        <v>0</v>
      </c>
      <c r="AA278" s="177" t="n">
        <f aca="false">Y278</f>
        <v>0</v>
      </c>
      <c r="AB278" s="94" t="n">
        <f aca="false">VLOOKUP($D278,tblPriorPrice,5)</f>
        <v>0</v>
      </c>
      <c r="AD278" s="176" t="n">
        <f aca="false">L278</f>
        <v>0</v>
      </c>
      <c r="AE278" s="96" t="n">
        <f aca="false">AD278</f>
        <v>0</v>
      </c>
      <c r="AF278" s="97" t="n">
        <f aca="false">AD278</f>
        <v>0</v>
      </c>
      <c r="AG278" s="94" t="n">
        <f aca="false">VLOOKUP($D278,tblPriorPrice,6)</f>
        <v>0</v>
      </c>
      <c r="AH278" s="182"/>
      <c r="AI278" s="189" t="n">
        <f aca="false">AG278+AH278</f>
        <v>0</v>
      </c>
      <c r="AJ278" s="96" t="n">
        <f aca="false">AI278</f>
        <v>0</v>
      </c>
      <c r="AK278" s="97" t="n">
        <f aca="false">AI278</f>
        <v>0</v>
      </c>
      <c r="AL278" s="178" t="n">
        <v>74</v>
      </c>
      <c r="AM278" s="165" t="n">
        <v>0.4</v>
      </c>
      <c r="AN278" s="166" t="n">
        <f aca="false">EnergyCurve!AN278*2</f>
        <v>0</v>
      </c>
      <c r="AO278" s="166" t="n">
        <f aca="false">EnergyCurve!AO278</f>
        <v>0</v>
      </c>
      <c r="AP278" s="166" t="n">
        <f aca="false">AN278*1.25</f>
        <v>0</v>
      </c>
      <c r="AQ278" s="166" t="n">
        <f aca="false">EnergyCurve!AQ278*2</f>
        <v>0</v>
      </c>
      <c r="AR278" s="166" t="n">
        <f aca="false">EnergyCurve!AR278</f>
        <v>0</v>
      </c>
      <c r="AS278" s="166" t="n">
        <f aca="false">EnergyCurve!AS278*1.25</f>
        <v>0</v>
      </c>
      <c r="AT278" s="168" t="n">
        <f aca="false">EnergyCurve!AT278*2*2</f>
        <v>8.27346121695085</v>
      </c>
      <c r="AU278" s="169" t="n">
        <f aca="false">EnergyCurve!AU278</f>
        <v>-0.517091326059428</v>
      </c>
      <c r="AV278" s="169" t="n">
        <f aca="false">AT278*1.25</f>
        <v>10.3418265211886</v>
      </c>
      <c r="AW278" s="168" t="n">
        <f aca="false">EnergyCurve!AW278*2*2</f>
        <v>9.7392</v>
      </c>
      <c r="AX278" s="169" t="n">
        <f aca="false">EnergyCurve!AX278</f>
        <v>-0.6087</v>
      </c>
      <c r="AY278" s="169" t="n">
        <f aca="false">AW278*1.25</f>
        <v>12.174</v>
      </c>
      <c r="AZ278" s="167" t="n">
        <v>0</v>
      </c>
      <c r="BZ278" s="43" t="n">
        <v>44348</v>
      </c>
      <c r="CA278" s="0" t="n">
        <v>40.5209999084473</v>
      </c>
      <c r="CB278" s="116" t="n">
        <v>0</v>
      </c>
      <c r="CC278" s="116" t="n">
        <v>0</v>
      </c>
      <c r="CD278" s="116" t="n">
        <v>0</v>
      </c>
      <c r="CE278" s="117" t="n">
        <v>0</v>
      </c>
    </row>
    <row r="279" customFormat="false" ht="12.75" hidden="false" customHeight="false" outlineLevel="0" collapsed="false">
      <c r="B279" s="92" t="n">
        <f aca="false">MATCH(YEAR(D279),iSpreads)</f>
        <v>20</v>
      </c>
      <c r="C279" s="0" t="n">
        <f aca="false">MONTH(D279)</f>
        <v>7</v>
      </c>
      <c r="D279" s="93" t="n">
        <f aca="false">+EnergyCurve!D279</f>
        <v>44378</v>
      </c>
      <c r="E279" s="94" t="n">
        <f aca="false">VLOOKUP($D279,tblPriorPrice,2)</f>
        <v>29.8409996032715</v>
      </c>
      <c r="F279" s="95" t="n">
        <f aca="false">G279-E279</f>
        <v>10.6800003967285</v>
      </c>
      <c r="G279" s="264" t="n">
        <f aca="false">IF(EnergyCurve!G279&lt;200,0.001*EnergyCurve!G279+1,1.2)*EnergyCurve!G279</f>
        <v>40.521</v>
      </c>
      <c r="H279" s="96" t="n">
        <f aca="false">IF(EnergyCurve!H279&lt;200,0.001*EnergyCurve!H279+1,1.2)*EnergyCurve!H279</f>
        <v>35.156</v>
      </c>
      <c r="I279" s="96" t="n">
        <f aca="false">IF(EnergyCurve!I279&lt;200,0.001*EnergyCurve!I279+1,1.2)*EnergyCurve!I279</f>
        <v>78.329</v>
      </c>
      <c r="J279" s="94" t="n">
        <f aca="false">VLOOKUP($D279,tblPriorPrice,3)</f>
        <v>0</v>
      </c>
      <c r="K279" s="95" t="n">
        <f aca="false">L279-J279</f>
        <v>0</v>
      </c>
      <c r="L279" s="264" t="n">
        <v>0</v>
      </c>
      <c r="M279" s="96" t="n">
        <f aca="false">L279</f>
        <v>0</v>
      </c>
      <c r="N279" s="96" t="n">
        <f aca="false">L279</f>
        <v>0</v>
      </c>
      <c r="V279" s="161" t="n">
        <f aca="false">D279</f>
        <v>44378</v>
      </c>
      <c r="W279" s="94" t="n">
        <f aca="false">VLOOKUP($D279,tblPriorPrice,4)</f>
        <v>0</v>
      </c>
      <c r="X279" s="162"/>
      <c r="Y279" s="176" t="n">
        <f aca="false">L279</f>
        <v>0</v>
      </c>
      <c r="Z279" s="177" t="n">
        <f aca="false">Y279</f>
        <v>0</v>
      </c>
      <c r="AA279" s="177" t="n">
        <f aca="false">Y279</f>
        <v>0</v>
      </c>
      <c r="AB279" s="94" t="n">
        <f aca="false">VLOOKUP($D279,tblPriorPrice,5)</f>
        <v>0</v>
      </c>
      <c r="AD279" s="176" t="n">
        <f aca="false">L279</f>
        <v>0</v>
      </c>
      <c r="AE279" s="96" t="n">
        <f aca="false">AD279</f>
        <v>0</v>
      </c>
      <c r="AF279" s="97" t="n">
        <f aca="false">AD279</f>
        <v>0</v>
      </c>
      <c r="AG279" s="94" t="n">
        <f aca="false">VLOOKUP($D279,tblPriorPrice,6)</f>
        <v>0</v>
      </c>
      <c r="AH279" s="182"/>
      <c r="AI279" s="189" t="n">
        <f aca="false">AG279+AH279</f>
        <v>0</v>
      </c>
      <c r="AJ279" s="96" t="n">
        <f aca="false">AI279</f>
        <v>0</v>
      </c>
      <c r="AK279" s="97" t="n">
        <f aca="false">AI279</f>
        <v>0</v>
      </c>
      <c r="AL279" s="178" t="n">
        <v>74</v>
      </c>
      <c r="AM279" s="165" t="n">
        <v>0.4</v>
      </c>
      <c r="AN279" s="166" t="n">
        <f aca="false">EnergyCurve!AN279*2</f>
        <v>0</v>
      </c>
      <c r="AO279" s="166" t="n">
        <f aca="false">EnergyCurve!AO279</f>
        <v>0</v>
      </c>
      <c r="AP279" s="166" t="n">
        <f aca="false">AN279*1.25</f>
        <v>0</v>
      </c>
      <c r="AQ279" s="166" t="n">
        <f aca="false">EnergyCurve!AQ279*2</f>
        <v>0</v>
      </c>
      <c r="AR279" s="166" t="n">
        <f aca="false">EnergyCurve!AR279</f>
        <v>0</v>
      </c>
      <c r="AS279" s="166" t="n">
        <f aca="false">EnergyCurve!AS279*1.25</f>
        <v>0</v>
      </c>
      <c r="AT279" s="168" t="n">
        <f aca="false">EnergyCurve!AT279*2*2</f>
        <v>8.27346121695085</v>
      </c>
      <c r="AU279" s="169" t="n">
        <f aca="false">EnergyCurve!AU279</f>
        <v>-0.517091326059428</v>
      </c>
      <c r="AV279" s="169" t="n">
        <f aca="false">AT279*1.25</f>
        <v>10.3418265211886</v>
      </c>
      <c r="AW279" s="168" t="n">
        <f aca="false">EnergyCurve!AW279*2*2</f>
        <v>9.7392</v>
      </c>
      <c r="AX279" s="169" t="n">
        <f aca="false">EnergyCurve!AX279</f>
        <v>-0.6087</v>
      </c>
      <c r="AY279" s="169" t="n">
        <f aca="false">AW279*1.25</f>
        <v>12.174</v>
      </c>
      <c r="AZ279" s="167" t="n">
        <v>0</v>
      </c>
      <c r="BZ279" s="43" t="n">
        <v>44378</v>
      </c>
      <c r="CA279" s="0" t="n">
        <v>40.5209999084473</v>
      </c>
      <c r="CB279" s="116" t="n">
        <v>0</v>
      </c>
      <c r="CC279" s="116" t="n">
        <v>0</v>
      </c>
      <c r="CD279" s="116" t="n">
        <v>0</v>
      </c>
      <c r="CE279" s="117" t="n">
        <v>0</v>
      </c>
    </row>
    <row r="280" customFormat="false" ht="12.75" hidden="false" customHeight="false" outlineLevel="0" collapsed="false">
      <c r="B280" s="92" t="n">
        <f aca="false">MATCH(YEAR(D280),iSpreads)</f>
        <v>20</v>
      </c>
      <c r="C280" s="0" t="n">
        <f aca="false">MONTH(D280)</f>
        <v>8</v>
      </c>
      <c r="D280" s="93" t="n">
        <f aca="false">+EnergyCurve!D280</f>
        <v>44409</v>
      </c>
      <c r="E280" s="94" t="n">
        <f aca="false">VLOOKUP($D280,tblPriorPrice,2)</f>
        <v>29.8409996032715</v>
      </c>
      <c r="F280" s="95" t="n">
        <f aca="false">G280-E280</f>
        <v>12.8400003967285</v>
      </c>
      <c r="G280" s="264" t="n">
        <f aca="false">IF(EnergyCurve!G280&lt;200,0.001*EnergyCurve!G280+1,1.2)*EnergyCurve!G280</f>
        <v>42.681</v>
      </c>
      <c r="H280" s="96" t="n">
        <f aca="false">IF(EnergyCurve!H280&lt;200,0.001*EnergyCurve!H280+1,1.2)*EnergyCurve!H280</f>
        <v>37.296</v>
      </c>
      <c r="I280" s="96" t="n">
        <f aca="false">IF(EnergyCurve!I280&lt;200,0.001*EnergyCurve!I280+1,1.2)*EnergyCurve!I280</f>
        <v>80.625</v>
      </c>
      <c r="J280" s="94" t="n">
        <f aca="false">VLOOKUP($D280,tblPriorPrice,3)</f>
        <v>0</v>
      </c>
      <c r="K280" s="95" t="n">
        <f aca="false">L280-J280</f>
        <v>0</v>
      </c>
      <c r="L280" s="264" t="n">
        <v>0</v>
      </c>
      <c r="M280" s="96" t="n">
        <f aca="false">L280</f>
        <v>0</v>
      </c>
      <c r="N280" s="96" t="n">
        <f aca="false">L280</f>
        <v>0</v>
      </c>
      <c r="V280" s="161" t="n">
        <f aca="false">D280</f>
        <v>44409</v>
      </c>
      <c r="W280" s="94" t="n">
        <f aca="false">VLOOKUP($D280,tblPriorPrice,4)</f>
        <v>0</v>
      </c>
      <c r="X280" s="162"/>
      <c r="Y280" s="176" t="n">
        <f aca="false">L280</f>
        <v>0</v>
      </c>
      <c r="Z280" s="177" t="n">
        <f aca="false">Y280</f>
        <v>0</v>
      </c>
      <c r="AA280" s="177" t="n">
        <f aca="false">Y280</f>
        <v>0</v>
      </c>
      <c r="AB280" s="94" t="n">
        <f aca="false">VLOOKUP($D280,tblPriorPrice,5)</f>
        <v>0</v>
      </c>
      <c r="AD280" s="176" t="n">
        <f aca="false">L280</f>
        <v>0</v>
      </c>
      <c r="AE280" s="96" t="n">
        <f aca="false">AD280</f>
        <v>0</v>
      </c>
      <c r="AF280" s="97" t="n">
        <f aca="false">AD280</f>
        <v>0</v>
      </c>
      <c r="AG280" s="94" t="n">
        <f aca="false">VLOOKUP($D280,tblPriorPrice,6)</f>
        <v>0</v>
      </c>
      <c r="AH280" s="182"/>
      <c r="AI280" s="189" t="n">
        <f aca="false">AG280+AH280</f>
        <v>0</v>
      </c>
      <c r="AJ280" s="96" t="n">
        <f aca="false">AI280</f>
        <v>0</v>
      </c>
      <c r="AK280" s="97" t="n">
        <f aca="false">AI280</f>
        <v>0</v>
      </c>
      <c r="AL280" s="178" t="n">
        <v>74</v>
      </c>
      <c r="AM280" s="165" t="n">
        <v>0.4</v>
      </c>
      <c r="AN280" s="166" t="n">
        <f aca="false">EnergyCurve!AN280*2</f>
        <v>0</v>
      </c>
      <c r="AO280" s="166" t="n">
        <f aca="false">EnergyCurve!AO280</f>
        <v>0</v>
      </c>
      <c r="AP280" s="166" t="n">
        <f aca="false">AN280*1.25</f>
        <v>0</v>
      </c>
      <c r="AQ280" s="166" t="n">
        <f aca="false">EnergyCurve!AQ280*2</f>
        <v>0</v>
      </c>
      <c r="AR280" s="166" t="n">
        <f aca="false">EnergyCurve!AR280</f>
        <v>0</v>
      </c>
      <c r="AS280" s="166" t="n">
        <f aca="false">EnergyCurve!AS280*1.25</f>
        <v>0</v>
      </c>
      <c r="AT280" s="168" t="n">
        <f aca="false">EnergyCurve!AT280*2*2</f>
        <v>8.83433884019377</v>
      </c>
      <c r="AU280" s="169" t="n">
        <f aca="false">EnergyCurve!AU280</f>
        <v>-0.552146177512111</v>
      </c>
      <c r="AV280" s="169" t="n">
        <f aca="false">AT280*1.25</f>
        <v>11.0429235502422</v>
      </c>
      <c r="AW280" s="168" t="n">
        <f aca="false">EnergyCurve!AW280*2*2</f>
        <v>9.5508</v>
      </c>
      <c r="AX280" s="169" t="n">
        <f aca="false">EnergyCurve!AX280</f>
        <v>-0.596925</v>
      </c>
      <c r="AY280" s="169" t="n">
        <f aca="false">AW280*1.25</f>
        <v>11.9385</v>
      </c>
      <c r="AZ280" s="167" t="n">
        <v>0</v>
      </c>
      <c r="BZ280" s="43" t="n">
        <v>44409</v>
      </c>
      <c r="CA280" s="0" t="n">
        <v>42.6809997558594</v>
      </c>
      <c r="CB280" s="116" t="n">
        <v>0</v>
      </c>
      <c r="CC280" s="116" t="n">
        <v>0</v>
      </c>
      <c r="CD280" s="116" t="n">
        <v>0</v>
      </c>
      <c r="CE280" s="117" t="n">
        <v>0</v>
      </c>
    </row>
    <row r="281" customFormat="false" ht="12.75" hidden="false" customHeight="false" outlineLevel="0" collapsed="false">
      <c r="B281" s="92" t="n">
        <f aca="false">MATCH(YEAR(D281),iSpreads)</f>
        <v>20</v>
      </c>
      <c r="C281" s="0" t="n">
        <f aca="false">MONTH(D281)</f>
        <v>9</v>
      </c>
      <c r="D281" s="93" t="n">
        <f aca="false">+EnergyCurve!D281</f>
        <v>44440</v>
      </c>
      <c r="E281" s="94" t="n">
        <f aca="false">VLOOKUP($D281,tblPriorPrice,2)</f>
        <v>29.8409996032715</v>
      </c>
      <c r="F281" s="95" t="n">
        <f aca="false">G281-E281</f>
        <v>6.38400039672851</v>
      </c>
      <c r="G281" s="264" t="n">
        <f aca="false">IF(EnergyCurve!G281&lt;200,0.001*EnergyCurve!G281+1,1.2)*EnergyCurve!G281</f>
        <v>36.225</v>
      </c>
      <c r="H281" s="96" t="n">
        <f aca="false">IF(EnergyCurve!H281&lt;200,0.001*EnergyCurve!H281+1,1.2)*EnergyCurve!H281</f>
        <v>30.9</v>
      </c>
      <c r="I281" s="96" t="n">
        <f aca="false">IF(EnergyCurve!I281&lt;200,0.001*EnergyCurve!I281+1,1.2)*EnergyCurve!I281</f>
        <v>73.761</v>
      </c>
      <c r="J281" s="94" t="n">
        <f aca="false">VLOOKUP($D281,tblPriorPrice,3)</f>
        <v>0</v>
      </c>
      <c r="K281" s="95" t="n">
        <f aca="false">L281-J281</f>
        <v>0</v>
      </c>
      <c r="L281" s="264" t="n">
        <v>0</v>
      </c>
      <c r="M281" s="96" t="n">
        <f aca="false">L281</f>
        <v>0</v>
      </c>
      <c r="N281" s="96" t="n">
        <f aca="false">L281</f>
        <v>0</v>
      </c>
      <c r="V281" s="161" t="n">
        <f aca="false">D281</f>
        <v>44440</v>
      </c>
      <c r="W281" s="94" t="n">
        <f aca="false">VLOOKUP($D281,tblPriorPrice,4)</f>
        <v>0</v>
      </c>
      <c r="X281" s="162"/>
      <c r="Y281" s="176" t="n">
        <f aca="false">L281</f>
        <v>0</v>
      </c>
      <c r="Z281" s="177" t="n">
        <f aca="false">Y281</f>
        <v>0</v>
      </c>
      <c r="AA281" s="177" t="n">
        <f aca="false">Y281</f>
        <v>0</v>
      </c>
      <c r="AB281" s="94" t="n">
        <f aca="false">VLOOKUP($D281,tblPriorPrice,5)</f>
        <v>0</v>
      </c>
      <c r="AD281" s="176" t="n">
        <f aca="false">L281</f>
        <v>0</v>
      </c>
      <c r="AE281" s="96" t="n">
        <f aca="false">AD281</f>
        <v>0</v>
      </c>
      <c r="AF281" s="97" t="n">
        <f aca="false">AD281</f>
        <v>0</v>
      </c>
      <c r="AG281" s="94" t="n">
        <f aca="false">VLOOKUP($D281,tblPriorPrice,6)</f>
        <v>0</v>
      </c>
      <c r="AH281" s="182"/>
      <c r="AI281" s="189" t="n">
        <f aca="false">AG281+AH281</f>
        <v>0</v>
      </c>
      <c r="AJ281" s="96" t="n">
        <f aca="false">AI281</f>
        <v>0</v>
      </c>
      <c r="AK281" s="97" t="n">
        <f aca="false">AI281</f>
        <v>0</v>
      </c>
      <c r="AL281" s="178" t="n">
        <v>74</v>
      </c>
      <c r="AM281" s="165" t="n">
        <v>0.4</v>
      </c>
      <c r="AN281" s="166" t="n">
        <f aca="false">EnergyCurve!AN281*2</f>
        <v>0</v>
      </c>
      <c r="AO281" s="166" t="n">
        <f aca="false">EnergyCurve!AO281</f>
        <v>0</v>
      </c>
      <c r="AP281" s="166" t="n">
        <f aca="false">AN281*1.25</f>
        <v>0</v>
      </c>
      <c r="AQ281" s="166" t="n">
        <f aca="false">EnergyCurve!AQ281*2</f>
        <v>0</v>
      </c>
      <c r="AR281" s="166" t="n">
        <f aca="false">EnergyCurve!AR281</f>
        <v>0</v>
      </c>
      <c r="AS281" s="166" t="n">
        <f aca="false">EnergyCurve!AS281*1.25</f>
        <v>0</v>
      </c>
      <c r="AT281" s="168" t="n">
        <f aca="false">EnergyCurve!AT281*2*2</f>
        <v>7.29020125079811</v>
      </c>
      <c r="AU281" s="169" t="n">
        <f aca="false">EnergyCurve!AU281</f>
        <v>-0.455637578174882</v>
      </c>
      <c r="AV281" s="169" t="n">
        <f aca="false">AT281*1.25</f>
        <v>9.11275156349763</v>
      </c>
      <c r="AW281" s="168" t="n">
        <f aca="false">EnergyCurve!AW281*2*2</f>
        <v>10.116</v>
      </c>
      <c r="AX281" s="169" t="n">
        <f aca="false">EnergyCurve!AX281</f>
        <v>-0.63225</v>
      </c>
      <c r="AY281" s="169" t="n">
        <f aca="false">AW281*1.25</f>
        <v>12.645</v>
      </c>
      <c r="AZ281" s="167" t="n">
        <v>0</v>
      </c>
      <c r="BZ281" s="43" t="n">
        <v>44440</v>
      </c>
      <c r="CA281" s="0" t="n">
        <v>36.2249984741211</v>
      </c>
      <c r="CB281" s="116" t="n">
        <v>0</v>
      </c>
      <c r="CC281" s="116" t="n">
        <v>0</v>
      </c>
      <c r="CD281" s="116" t="n">
        <v>0</v>
      </c>
      <c r="CE281" s="117" t="n">
        <v>0</v>
      </c>
    </row>
    <row r="282" customFormat="false" ht="12.75" hidden="false" customHeight="false" outlineLevel="0" collapsed="false">
      <c r="B282" s="92" t="n">
        <f aca="false">MATCH(YEAR(D282),iSpreads)</f>
        <v>20</v>
      </c>
      <c r="C282" s="0" t="n">
        <f aca="false">MONTH(D282)</f>
        <v>10</v>
      </c>
      <c r="D282" s="93" t="n">
        <f aca="false">+EnergyCurve!D282</f>
        <v>44470</v>
      </c>
      <c r="E282" s="94" t="n">
        <f aca="false">VLOOKUP($D282,tblPriorPrice,2)</f>
        <v>29.8409996032715</v>
      </c>
      <c r="F282" s="95" t="n">
        <f aca="false">G282-E282</f>
        <v>8.52800039672852</v>
      </c>
      <c r="G282" s="264" t="n">
        <f aca="false">IF(EnergyCurve!G282&lt;200,0.001*EnergyCurve!G282+1,1.2)*EnergyCurve!G282</f>
        <v>38.369</v>
      </c>
      <c r="H282" s="96" t="n">
        <f aca="false">IF(EnergyCurve!H282&lt;200,0.001*EnergyCurve!H282+1,1.2)*EnergyCurve!H282</f>
        <v>33.024</v>
      </c>
      <c r="I282" s="96" t="n">
        <f aca="false">IF(EnergyCurve!I282&lt;200,0.001*EnergyCurve!I282+1,1.2)*EnergyCurve!I282</f>
        <v>76.041</v>
      </c>
      <c r="J282" s="94" t="n">
        <f aca="false">VLOOKUP($D282,tblPriorPrice,3)</f>
        <v>0</v>
      </c>
      <c r="K282" s="95" t="n">
        <f aca="false">L282-J282</f>
        <v>0</v>
      </c>
      <c r="L282" s="264" t="n">
        <v>0</v>
      </c>
      <c r="M282" s="96" t="n">
        <f aca="false">L282</f>
        <v>0</v>
      </c>
      <c r="N282" s="96" t="n">
        <f aca="false">L282</f>
        <v>0</v>
      </c>
      <c r="V282" s="161" t="n">
        <f aca="false">D282</f>
        <v>44470</v>
      </c>
      <c r="W282" s="94" t="n">
        <f aca="false">VLOOKUP($D282,tblPriorPrice,4)</f>
        <v>0</v>
      </c>
      <c r="X282" s="162"/>
      <c r="Y282" s="176" t="n">
        <f aca="false">L282</f>
        <v>0</v>
      </c>
      <c r="Z282" s="177" t="n">
        <f aca="false">Y282</f>
        <v>0</v>
      </c>
      <c r="AA282" s="177" t="n">
        <f aca="false">Y282</f>
        <v>0</v>
      </c>
      <c r="AB282" s="94" t="n">
        <f aca="false">VLOOKUP($D282,tblPriorPrice,5)</f>
        <v>0</v>
      </c>
      <c r="AD282" s="176" t="n">
        <f aca="false">L282</f>
        <v>0</v>
      </c>
      <c r="AE282" s="96" t="n">
        <f aca="false">AD282</f>
        <v>0</v>
      </c>
      <c r="AF282" s="97" t="n">
        <f aca="false">AD282</f>
        <v>0</v>
      </c>
      <c r="AG282" s="94" t="n">
        <f aca="false">VLOOKUP($D282,tblPriorPrice,6)</f>
        <v>0</v>
      </c>
      <c r="AH282" s="182"/>
      <c r="AI282" s="189" t="n">
        <f aca="false">AG282+AH282</f>
        <v>0</v>
      </c>
      <c r="AJ282" s="96" t="n">
        <f aca="false">AI282</f>
        <v>0</v>
      </c>
      <c r="AK282" s="97" t="n">
        <f aca="false">AI282</f>
        <v>0</v>
      </c>
      <c r="AL282" s="178" t="n">
        <v>74</v>
      </c>
      <c r="AM282" s="165" t="n">
        <v>0.4</v>
      </c>
      <c r="AN282" s="166" t="n">
        <f aca="false">EnergyCurve!AN282*2</f>
        <v>0</v>
      </c>
      <c r="AO282" s="166" t="n">
        <f aca="false">EnergyCurve!AO282</f>
        <v>0</v>
      </c>
      <c r="AP282" s="166" t="n">
        <f aca="false">AN282*1.25</f>
        <v>0</v>
      </c>
      <c r="AQ282" s="166" t="n">
        <f aca="false">EnergyCurve!AQ282*2</f>
        <v>0</v>
      </c>
      <c r="AR282" s="166" t="n">
        <f aca="false">EnergyCurve!AR282</f>
        <v>0</v>
      </c>
      <c r="AS282" s="166" t="n">
        <f aca="false">EnergyCurve!AS282*1.25</f>
        <v>0</v>
      </c>
      <c r="AT282" s="168" t="n">
        <f aca="false">EnergyCurve!AT282*2*2</f>
        <v>7.75576329559925</v>
      </c>
      <c r="AU282" s="169" t="n">
        <f aca="false">EnergyCurve!AU282</f>
        <v>-0.484735205974953</v>
      </c>
      <c r="AV282" s="169" t="n">
        <f aca="false">AT282*1.25</f>
        <v>9.69470411949907</v>
      </c>
      <c r="AW282" s="168" t="n">
        <f aca="false">EnergyCurve!AW282*2*2</f>
        <v>9.9276</v>
      </c>
      <c r="AX282" s="169" t="n">
        <f aca="false">EnergyCurve!AX282</f>
        <v>-0.620475</v>
      </c>
      <c r="AY282" s="169" t="n">
        <f aca="false">AW282*1.25</f>
        <v>12.4095</v>
      </c>
      <c r="AZ282" s="167" t="n">
        <v>0</v>
      </c>
      <c r="BZ282" s="43" t="n">
        <v>44470</v>
      </c>
      <c r="CA282" s="0" t="n">
        <v>38.3689994812012</v>
      </c>
      <c r="CB282" s="116" t="n">
        <v>0</v>
      </c>
      <c r="CC282" s="116" t="n">
        <v>0</v>
      </c>
      <c r="CD282" s="116" t="n">
        <v>0</v>
      </c>
      <c r="CE282" s="117" t="n">
        <v>0</v>
      </c>
    </row>
    <row r="283" customFormat="false" ht="12.75" hidden="false" customHeight="false" outlineLevel="0" collapsed="false">
      <c r="B283" s="92" t="n">
        <f aca="false">MATCH(YEAR(D283),iSpreads)</f>
        <v>20</v>
      </c>
      <c r="C283" s="0" t="n">
        <f aca="false">MONTH(D283)</f>
        <v>11</v>
      </c>
      <c r="D283" s="93" t="n">
        <f aca="false">+EnergyCurve!D283</f>
        <v>44501</v>
      </c>
      <c r="E283" s="94" t="n">
        <f aca="false">VLOOKUP($D283,tblPriorPrice,2)</f>
        <v>29.8409996032715</v>
      </c>
      <c r="F283" s="95" t="n">
        <f aca="false">G283-E283</f>
        <v>2.12000039672851</v>
      </c>
      <c r="G283" s="264" t="n">
        <f aca="false">IF(EnergyCurve!G283&lt;200,0.001*EnergyCurve!G283+1,1.2)*EnergyCurve!G283</f>
        <v>31.961</v>
      </c>
      <c r="H283" s="96" t="n">
        <f aca="false">IF(EnergyCurve!H283&lt;200,0.001*EnergyCurve!H283+1,1.2)*EnergyCurve!H283</f>
        <v>26.676</v>
      </c>
      <c r="I283" s="96" t="n">
        <f aca="false">IF(EnergyCurve!I283&lt;200,0.001*EnergyCurve!I283+1,1.2)*EnergyCurve!I283</f>
        <v>69.225</v>
      </c>
      <c r="J283" s="94" t="n">
        <f aca="false">VLOOKUP($D283,tblPriorPrice,3)</f>
        <v>0</v>
      </c>
      <c r="K283" s="95" t="n">
        <f aca="false">L283-J283</f>
        <v>0</v>
      </c>
      <c r="L283" s="264" t="n">
        <v>0</v>
      </c>
      <c r="M283" s="96" t="n">
        <f aca="false">L283</f>
        <v>0</v>
      </c>
      <c r="N283" s="96" t="n">
        <f aca="false">L283</f>
        <v>0</v>
      </c>
      <c r="V283" s="161" t="n">
        <f aca="false">D283</f>
        <v>44501</v>
      </c>
      <c r="W283" s="94" t="n">
        <f aca="false">VLOOKUP($D283,tblPriorPrice,4)</f>
        <v>0</v>
      </c>
      <c r="X283" s="162"/>
      <c r="Y283" s="176" t="n">
        <f aca="false">L283</f>
        <v>0</v>
      </c>
      <c r="Z283" s="177" t="n">
        <f aca="false">Y283</f>
        <v>0</v>
      </c>
      <c r="AA283" s="177" t="n">
        <f aca="false">Y283</f>
        <v>0</v>
      </c>
      <c r="AB283" s="94" t="n">
        <f aca="false">VLOOKUP($D283,tblPriorPrice,5)</f>
        <v>0</v>
      </c>
      <c r="AD283" s="176" t="n">
        <f aca="false">L283</f>
        <v>0</v>
      </c>
      <c r="AE283" s="96" t="n">
        <f aca="false">AD283</f>
        <v>0</v>
      </c>
      <c r="AF283" s="97" t="n">
        <f aca="false">AD283</f>
        <v>0</v>
      </c>
      <c r="AG283" s="94" t="n">
        <f aca="false">VLOOKUP($D283,tblPriorPrice,6)</f>
        <v>0</v>
      </c>
      <c r="AH283" s="182"/>
      <c r="AI283" s="189" t="n">
        <f aca="false">AG283+AH283</f>
        <v>0</v>
      </c>
      <c r="AJ283" s="96" t="n">
        <f aca="false">AI283</f>
        <v>0</v>
      </c>
      <c r="AK283" s="97" t="n">
        <f aca="false">AI283</f>
        <v>0</v>
      </c>
      <c r="AL283" s="178" t="n">
        <v>74</v>
      </c>
      <c r="AM283" s="165" t="n">
        <v>0.4</v>
      </c>
      <c r="AN283" s="166" t="n">
        <f aca="false">EnergyCurve!AN283*2</f>
        <v>0</v>
      </c>
      <c r="AO283" s="166" t="n">
        <f aca="false">EnergyCurve!AO283</f>
        <v>0</v>
      </c>
      <c r="AP283" s="166" t="n">
        <f aca="false">AN283*1.25</f>
        <v>0</v>
      </c>
      <c r="AQ283" s="166" t="n">
        <f aca="false">EnergyCurve!AQ283*2</f>
        <v>0</v>
      </c>
      <c r="AR283" s="166" t="n">
        <f aca="false">EnergyCurve!AR283</f>
        <v>0</v>
      </c>
      <c r="AS283" s="166" t="n">
        <f aca="false">EnergyCurve!AS283*1.25</f>
        <v>0</v>
      </c>
      <c r="AT283" s="168" t="n">
        <f aca="false">EnergyCurve!AT283*2*2</f>
        <v>6.56235962744143</v>
      </c>
      <c r="AU283" s="169" t="n">
        <f aca="false">EnergyCurve!AU283</f>
        <v>-0.410147476715089</v>
      </c>
      <c r="AV283" s="169" t="n">
        <f aca="false">AT283*1.25</f>
        <v>8.20294953430178</v>
      </c>
      <c r="AW283" s="168" t="n">
        <f aca="false">EnergyCurve!AW283*2*2</f>
        <v>10.4928</v>
      </c>
      <c r="AX283" s="169" t="n">
        <f aca="false">EnergyCurve!AX283</f>
        <v>-0.6558</v>
      </c>
      <c r="AY283" s="169" t="n">
        <f aca="false">AW283*1.25</f>
        <v>13.116</v>
      </c>
      <c r="AZ283" s="167" t="n">
        <v>0</v>
      </c>
      <c r="BZ283" s="43" t="n">
        <v>44501</v>
      </c>
      <c r="CA283" s="0" t="n">
        <v>31.9610004425049</v>
      </c>
      <c r="CB283" s="116" t="n">
        <v>0</v>
      </c>
      <c r="CC283" s="116" t="n">
        <v>0</v>
      </c>
      <c r="CD283" s="116" t="n">
        <v>0</v>
      </c>
      <c r="CE283" s="117" t="n">
        <v>0</v>
      </c>
    </row>
    <row r="284" customFormat="false" ht="12.75" hidden="false" customHeight="false" outlineLevel="0" collapsed="false">
      <c r="B284" s="92" t="n">
        <f aca="false">MATCH(YEAR(D284),iSpreads)</f>
        <v>20</v>
      </c>
      <c r="C284" s="0" t="n">
        <f aca="false">MONTH(D284)</f>
        <v>12</v>
      </c>
      <c r="D284" s="93" t="n">
        <f aca="false">+EnergyCurve!D284</f>
        <v>44531</v>
      </c>
      <c r="E284" s="94" t="n">
        <f aca="false">VLOOKUP($D284,tblPriorPrice,2)</f>
        <v>29.8409996032715</v>
      </c>
      <c r="F284" s="95" t="n">
        <f aca="false">G284-E284</f>
        <v>3.18300039672852</v>
      </c>
      <c r="G284" s="264" t="n">
        <f aca="false">IF(EnergyCurve!G284&lt;200,0.001*EnergyCurve!G284+1,1.2)*EnergyCurve!G284</f>
        <v>33.024</v>
      </c>
      <c r="H284" s="96" t="n">
        <f aca="false">IF(EnergyCurve!H284&lt;200,0.001*EnergyCurve!H284+1,1.2)*EnergyCurve!H284</f>
        <v>27.729</v>
      </c>
      <c r="I284" s="96" t="n">
        <f aca="false">IF(EnergyCurve!I284&lt;200,0.001*EnergyCurve!I284+1,1.2)*EnergyCurve!I284</f>
        <v>70.356</v>
      </c>
      <c r="J284" s="94" t="n">
        <f aca="false">VLOOKUP($D284,tblPriorPrice,3)</f>
        <v>0</v>
      </c>
      <c r="K284" s="95" t="n">
        <f aca="false">L284-J284</f>
        <v>0</v>
      </c>
      <c r="L284" s="264" t="n">
        <v>0</v>
      </c>
      <c r="M284" s="96" t="n">
        <f aca="false">L284</f>
        <v>0</v>
      </c>
      <c r="N284" s="96" t="n">
        <f aca="false">L284</f>
        <v>0</v>
      </c>
      <c r="V284" s="161" t="n">
        <f aca="false">D284</f>
        <v>44531</v>
      </c>
      <c r="W284" s="94" t="n">
        <f aca="false">VLOOKUP($D284,tblPriorPrice,4)</f>
        <v>0</v>
      </c>
      <c r="X284" s="162"/>
      <c r="Y284" s="176" t="n">
        <f aca="false">L284</f>
        <v>0</v>
      </c>
      <c r="Z284" s="177" t="n">
        <f aca="false">Y284</f>
        <v>0</v>
      </c>
      <c r="AA284" s="177" t="n">
        <f aca="false">Y284</f>
        <v>0</v>
      </c>
      <c r="AB284" s="94" t="n">
        <f aca="false">VLOOKUP($D284,tblPriorPrice,5)</f>
        <v>0</v>
      </c>
      <c r="AD284" s="176" t="n">
        <f aca="false">L284</f>
        <v>0</v>
      </c>
      <c r="AE284" s="96" t="n">
        <f aca="false">AD284</f>
        <v>0</v>
      </c>
      <c r="AF284" s="97" t="n">
        <f aca="false">AD284</f>
        <v>0</v>
      </c>
      <c r="AG284" s="94" t="n">
        <f aca="false">VLOOKUP($D284,tblPriorPrice,6)</f>
        <v>0</v>
      </c>
      <c r="AH284" s="182"/>
      <c r="AI284" s="189" t="n">
        <f aca="false">AG284+AH284</f>
        <v>0</v>
      </c>
      <c r="AJ284" s="96" t="n">
        <f aca="false">AI284</f>
        <v>0</v>
      </c>
      <c r="AK284" s="97" t="n">
        <f aca="false">AI284</f>
        <v>0</v>
      </c>
      <c r="AL284" s="178" t="n">
        <v>74</v>
      </c>
      <c r="AM284" s="165" t="n">
        <v>0.4</v>
      </c>
      <c r="AN284" s="166" t="n">
        <f aca="false">EnergyCurve!AN284*2</f>
        <v>0</v>
      </c>
      <c r="AO284" s="166" t="n">
        <f aca="false">EnergyCurve!AO284</f>
        <v>0</v>
      </c>
      <c r="AP284" s="166" t="n">
        <f aca="false">AN284*1.25</f>
        <v>0</v>
      </c>
      <c r="AQ284" s="166" t="n">
        <f aca="false">EnergyCurve!AQ284*2</f>
        <v>0</v>
      </c>
      <c r="AR284" s="166" t="n">
        <f aca="false">EnergyCurve!AR284</f>
        <v>0</v>
      </c>
      <c r="AS284" s="166" t="n">
        <f aca="false">EnergyCurve!AS284*1.25</f>
        <v>0</v>
      </c>
      <c r="AT284" s="168" t="n">
        <f aca="false">EnergyCurve!AT284*2*2</f>
        <v>6.71448638739126</v>
      </c>
      <c r="AU284" s="169" t="n">
        <f aca="false">EnergyCurve!AU284</f>
        <v>-0.419655399211954</v>
      </c>
      <c r="AV284" s="169" t="n">
        <f aca="false">AT284*1.25</f>
        <v>8.39310798423907</v>
      </c>
      <c r="AW284" s="168" t="n">
        <f aca="false">EnergyCurve!AW284*2*2</f>
        <v>10.6812</v>
      </c>
      <c r="AX284" s="169" t="n">
        <f aca="false">EnergyCurve!AX284</f>
        <v>-0.667575</v>
      </c>
      <c r="AY284" s="169" t="n">
        <f aca="false">AW284*1.25</f>
        <v>13.3515</v>
      </c>
      <c r="AZ284" s="167" t="n">
        <v>0</v>
      </c>
      <c r="BZ284" s="43" t="n">
        <v>44531</v>
      </c>
      <c r="CA284" s="0" t="n">
        <v>33.0239982604981</v>
      </c>
      <c r="CB284" s="116" t="n">
        <v>0</v>
      </c>
      <c r="CC284" s="116" t="n">
        <v>0</v>
      </c>
      <c r="CD284" s="116" t="n">
        <v>0</v>
      </c>
      <c r="CE284" s="117" t="n">
        <v>0</v>
      </c>
    </row>
    <row r="285" customFormat="false" ht="12.75" hidden="false" customHeight="false" outlineLevel="0" collapsed="false">
      <c r="B285" s="92" t="n">
        <f aca="false">MATCH(YEAR(D285),iSpreads)</f>
        <v>20</v>
      </c>
      <c r="C285" s="0" t="n">
        <f aca="false">MONTH(D285)</f>
        <v>1</v>
      </c>
      <c r="D285" s="93" t="n">
        <f aca="false">+EnergyCurve!D285</f>
        <v>44562</v>
      </c>
      <c r="E285" s="94" t="n">
        <f aca="false">VLOOKUP($D285,tblPriorPrice,2)</f>
        <v>29.8409996032715</v>
      </c>
      <c r="F285" s="95" t="n">
        <f aca="false">G285-E285</f>
        <v>4.24800039672851</v>
      </c>
      <c r="G285" s="264" t="n">
        <f aca="false">IF(EnergyCurve!G285&lt;200,0.001*EnergyCurve!G285+1,1.2)*EnergyCurve!G285</f>
        <v>34.089</v>
      </c>
      <c r="H285" s="96" t="n">
        <f aca="false">IF(EnergyCurve!H285&lt;200,0.001*EnergyCurve!H285+1,1.2)*EnergyCurve!H285</f>
        <v>28.784</v>
      </c>
      <c r="I285" s="96" t="n">
        <f aca="false">IF(EnergyCurve!I285&lt;200,0.001*EnergyCurve!I285+1,1.2)*EnergyCurve!I285</f>
        <v>71.489</v>
      </c>
      <c r="J285" s="94" t="n">
        <f aca="false">VLOOKUP($D285,tblPriorPrice,3)</f>
        <v>0</v>
      </c>
      <c r="K285" s="95" t="n">
        <f aca="false">L285-J285</f>
        <v>0</v>
      </c>
      <c r="L285" s="264" t="n">
        <v>0</v>
      </c>
      <c r="M285" s="96" t="n">
        <f aca="false">L285</f>
        <v>0</v>
      </c>
      <c r="N285" s="96" t="n">
        <f aca="false">L285</f>
        <v>0</v>
      </c>
      <c r="V285" s="161" t="n">
        <f aca="false">D285</f>
        <v>44562</v>
      </c>
      <c r="W285" s="94" t="n">
        <f aca="false">VLOOKUP($D285,tblPriorPrice,4)</f>
        <v>0</v>
      </c>
      <c r="X285" s="162"/>
      <c r="Y285" s="176" t="n">
        <f aca="false">L285</f>
        <v>0</v>
      </c>
      <c r="Z285" s="177" t="n">
        <f aca="false">Y285</f>
        <v>0</v>
      </c>
      <c r="AA285" s="177" t="n">
        <f aca="false">Y285</f>
        <v>0</v>
      </c>
      <c r="AB285" s="94" t="n">
        <f aca="false">VLOOKUP($D285,tblPriorPrice,5)</f>
        <v>0</v>
      </c>
      <c r="AD285" s="176" t="n">
        <f aca="false">L285</f>
        <v>0</v>
      </c>
      <c r="AE285" s="96" t="n">
        <f aca="false">AD285</f>
        <v>0</v>
      </c>
      <c r="AF285" s="97" t="n">
        <f aca="false">AD285</f>
        <v>0</v>
      </c>
      <c r="AG285" s="94" t="n">
        <f aca="false">VLOOKUP($D285,tblPriorPrice,6)</f>
        <v>0</v>
      </c>
      <c r="AH285" s="182"/>
      <c r="AI285" s="189" t="n">
        <f aca="false">AG285+AH285</f>
        <v>0</v>
      </c>
      <c r="AJ285" s="96" t="n">
        <f aca="false">AI285</f>
        <v>0</v>
      </c>
      <c r="AK285" s="97" t="n">
        <f aca="false">AI285</f>
        <v>0</v>
      </c>
      <c r="AL285" s="178" t="n">
        <v>74</v>
      </c>
      <c r="AM285" s="165" t="n">
        <v>0.4</v>
      </c>
      <c r="AN285" s="166" t="n">
        <f aca="false">EnergyCurve!AN285*2</f>
        <v>0</v>
      </c>
      <c r="AO285" s="166" t="n">
        <f aca="false">EnergyCurve!AO285</f>
        <v>0</v>
      </c>
      <c r="AP285" s="166" t="n">
        <f aca="false">AN285*1.25</f>
        <v>0</v>
      </c>
      <c r="AQ285" s="166" t="n">
        <f aca="false">EnergyCurve!AQ285*2</f>
        <v>0</v>
      </c>
      <c r="AR285" s="166" t="n">
        <f aca="false">EnergyCurve!AR285</f>
        <v>0</v>
      </c>
      <c r="AS285" s="166" t="n">
        <f aca="false">EnergyCurve!AS285*1.25</f>
        <v>0</v>
      </c>
      <c r="AT285" s="168" t="n">
        <f aca="false">EnergyCurve!AT285*2*2</f>
        <v>6.88781730529552</v>
      </c>
      <c r="AU285" s="169" t="n">
        <f aca="false">EnergyCurve!AU285</f>
        <v>-0.43048858158097</v>
      </c>
      <c r="AV285" s="169" t="n">
        <f aca="false">AT285*1.25</f>
        <v>8.60977163161941</v>
      </c>
      <c r="AW285" s="168" t="n">
        <f aca="false">EnergyCurve!AW285*2*2</f>
        <v>10.4928</v>
      </c>
      <c r="AX285" s="169" t="n">
        <f aca="false">EnergyCurve!AX285</f>
        <v>-0.6558</v>
      </c>
      <c r="AY285" s="169" t="n">
        <f aca="false">AW285*1.25</f>
        <v>13.116</v>
      </c>
      <c r="AZ285" s="167" t="n">
        <v>0</v>
      </c>
      <c r="BZ285" s="43" t="n">
        <v>44562</v>
      </c>
      <c r="CA285" s="0" t="n">
        <v>34.0890007019043</v>
      </c>
      <c r="CB285" s="116" t="n">
        <v>0</v>
      </c>
      <c r="CC285" s="116" t="n">
        <v>0</v>
      </c>
      <c r="CD285" s="116" t="n">
        <v>0</v>
      </c>
      <c r="CE285" s="117" t="n">
        <v>0</v>
      </c>
    </row>
    <row r="286" customFormat="false" ht="12.75" hidden="false" customHeight="false" outlineLevel="0" collapsed="false">
      <c r="B286" s="92" t="n">
        <f aca="false">MATCH(YEAR(D286),iSpreads)</f>
        <v>20</v>
      </c>
      <c r="C286" s="0" t="n">
        <f aca="false">MONTH(D286)</f>
        <v>2</v>
      </c>
      <c r="D286" s="93" t="n">
        <f aca="false">+EnergyCurve!D286</f>
        <v>44593</v>
      </c>
      <c r="E286" s="94" t="n">
        <f aca="false">VLOOKUP($D286,tblPriorPrice,2)</f>
        <v>29.8409996032715</v>
      </c>
      <c r="F286" s="95" t="n">
        <f aca="false">G286-E286</f>
        <v>1.05900039672852</v>
      </c>
      <c r="G286" s="264" t="n">
        <f aca="false">IF(EnergyCurve!G286&lt;200,0.001*EnergyCurve!G286+1,1.2)*EnergyCurve!G286</f>
        <v>30.9</v>
      </c>
      <c r="H286" s="96" t="n">
        <f aca="false">IF(EnergyCurve!H286&lt;200,0.001*EnergyCurve!H286+1,1.2)*EnergyCurve!H286</f>
        <v>25.625</v>
      </c>
      <c r="I286" s="96" t="n">
        <f aca="false">IF(EnergyCurve!I286&lt;200,0.001*EnergyCurve!I286+1,1.2)*EnergyCurve!I286</f>
        <v>68.096</v>
      </c>
      <c r="J286" s="94" t="n">
        <f aca="false">VLOOKUP($D286,tblPriorPrice,3)</f>
        <v>0</v>
      </c>
      <c r="K286" s="95" t="n">
        <f aca="false">L286-J286</f>
        <v>0</v>
      </c>
      <c r="L286" s="264" t="n">
        <v>0</v>
      </c>
      <c r="M286" s="96" t="n">
        <f aca="false">L286</f>
        <v>0</v>
      </c>
      <c r="N286" s="96" t="n">
        <f aca="false">L286</f>
        <v>0</v>
      </c>
      <c r="V286" s="161" t="n">
        <f aca="false">D286</f>
        <v>44593</v>
      </c>
      <c r="W286" s="94" t="n">
        <f aca="false">VLOOKUP($D286,tblPriorPrice,4)</f>
        <v>0</v>
      </c>
      <c r="X286" s="162"/>
      <c r="Y286" s="176" t="n">
        <f aca="false">L286</f>
        <v>0</v>
      </c>
      <c r="Z286" s="177" t="n">
        <f aca="false">Y286</f>
        <v>0</v>
      </c>
      <c r="AA286" s="177" t="n">
        <f aca="false">Y286</f>
        <v>0</v>
      </c>
      <c r="AB286" s="94" t="n">
        <f aca="false">VLOOKUP($D286,tblPriorPrice,5)</f>
        <v>0</v>
      </c>
      <c r="AD286" s="176" t="n">
        <f aca="false">L286</f>
        <v>0</v>
      </c>
      <c r="AE286" s="96" t="n">
        <f aca="false">AD286</f>
        <v>0</v>
      </c>
      <c r="AF286" s="97" t="n">
        <f aca="false">AD286</f>
        <v>0</v>
      </c>
      <c r="AG286" s="94" t="n">
        <f aca="false">VLOOKUP($D286,tblPriorPrice,6)</f>
        <v>0</v>
      </c>
      <c r="AH286" s="182"/>
      <c r="AI286" s="189" t="n">
        <f aca="false">AG286+AH286</f>
        <v>0</v>
      </c>
      <c r="AJ286" s="96" t="n">
        <f aca="false">AI286</f>
        <v>0</v>
      </c>
      <c r="AK286" s="97" t="n">
        <f aca="false">AI286</f>
        <v>0</v>
      </c>
      <c r="AL286" s="178" t="n">
        <v>74</v>
      </c>
      <c r="AM286" s="165" t="n">
        <v>0.4</v>
      </c>
      <c r="AN286" s="166" t="n">
        <f aca="false">EnergyCurve!AN286*2</f>
        <v>0</v>
      </c>
      <c r="AO286" s="166" t="n">
        <f aca="false">EnergyCurve!AO286</f>
        <v>0</v>
      </c>
      <c r="AP286" s="166" t="n">
        <f aca="false">AN286*1.25</f>
        <v>0</v>
      </c>
      <c r="AQ286" s="166" t="n">
        <f aca="false">EnergyCurve!AQ286*2</f>
        <v>0</v>
      </c>
      <c r="AR286" s="166" t="n">
        <f aca="false">EnergyCurve!AR286</f>
        <v>0</v>
      </c>
      <c r="AS286" s="166" t="n">
        <f aca="false">EnergyCurve!AS286*1.25</f>
        <v>0</v>
      </c>
      <c r="AT286" s="168" t="n">
        <f aca="false">EnergyCurve!AT286*2*2</f>
        <v>6.43371807382396</v>
      </c>
      <c r="AU286" s="169" t="n">
        <f aca="false">EnergyCurve!AU286</f>
        <v>-0.402107379613998</v>
      </c>
      <c r="AV286" s="169" t="n">
        <f aca="false">AT286*1.25</f>
        <v>8.04214759227995</v>
      </c>
      <c r="AW286" s="168" t="n">
        <f aca="false">EnergyCurve!AW286*2*2</f>
        <v>10.587</v>
      </c>
      <c r="AX286" s="169" t="n">
        <f aca="false">EnergyCurve!AX286</f>
        <v>-0.6616875</v>
      </c>
      <c r="AY286" s="169" t="n">
        <f aca="false">AW286*1.25</f>
        <v>13.23375</v>
      </c>
      <c r="AZ286" s="167" t="n">
        <v>0</v>
      </c>
      <c r="BZ286" s="43" t="n">
        <v>44593</v>
      </c>
      <c r="CA286" s="0" t="n">
        <v>30.8999996185303</v>
      </c>
      <c r="CB286" s="116" t="n">
        <v>0</v>
      </c>
      <c r="CC286" s="116" t="n">
        <v>0</v>
      </c>
      <c r="CD286" s="116" t="n">
        <v>0</v>
      </c>
      <c r="CE286" s="117" t="n">
        <v>0</v>
      </c>
    </row>
    <row r="287" customFormat="false" ht="12.75" hidden="false" customHeight="false" outlineLevel="0" collapsed="false">
      <c r="B287" s="92" t="n">
        <f aca="false">MATCH(YEAR(D287),iSpreads)</f>
        <v>20</v>
      </c>
      <c r="C287" s="0" t="n">
        <f aca="false">MONTH(D287)</f>
        <v>3</v>
      </c>
      <c r="D287" s="93" t="n">
        <f aca="false">+EnergyCurve!D287</f>
        <v>44621</v>
      </c>
      <c r="E287" s="94" t="n">
        <f aca="false">VLOOKUP($D287,tblPriorPrice,2)</f>
        <v>29.8409996032715</v>
      </c>
      <c r="F287" s="95" t="n">
        <f aca="false">G287-E287</f>
        <v>3.96728513152311E-007</v>
      </c>
      <c r="G287" s="264" t="n">
        <f aca="false">IF(EnergyCurve!G287&lt;200,0.001*EnergyCurve!G287+1,1.2)*EnergyCurve!G287</f>
        <v>29.841</v>
      </c>
      <c r="H287" s="96" t="n">
        <f aca="false">IF(EnergyCurve!H287&lt;200,0.001*EnergyCurve!H287+1,1.2)*EnergyCurve!H287</f>
        <v>24.576</v>
      </c>
      <c r="I287" s="96" t="n">
        <f aca="false">IF(EnergyCurve!I287&lt;200,0.001*EnergyCurve!I287+1,1.2)*EnergyCurve!I287</f>
        <v>66.969</v>
      </c>
      <c r="J287" s="94" t="n">
        <f aca="false">VLOOKUP($D287,tblPriorPrice,3)</f>
        <v>0</v>
      </c>
      <c r="K287" s="95" t="n">
        <f aca="false">L287-J287</f>
        <v>0</v>
      </c>
      <c r="L287" s="264" t="n">
        <v>0</v>
      </c>
      <c r="M287" s="96" t="n">
        <f aca="false">L287</f>
        <v>0</v>
      </c>
      <c r="N287" s="96" t="n">
        <f aca="false">L287</f>
        <v>0</v>
      </c>
      <c r="V287" s="161" t="n">
        <f aca="false">D287</f>
        <v>44621</v>
      </c>
      <c r="W287" s="94" t="n">
        <f aca="false">VLOOKUP($D287,tblPriorPrice,4)</f>
        <v>0</v>
      </c>
      <c r="X287" s="162"/>
      <c r="Y287" s="176" t="n">
        <f aca="false">L287</f>
        <v>0</v>
      </c>
      <c r="Z287" s="177" t="n">
        <f aca="false">Y287</f>
        <v>0</v>
      </c>
      <c r="AA287" s="177" t="n">
        <f aca="false">Y287</f>
        <v>0</v>
      </c>
      <c r="AB287" s="94" t="n">
        <f aca="false">VLOOKUP($D287,tblPriorPrice,5)</f>
        <v>0</v>
      </c>
      <c r="AD287" s="176" t="n">
        <f aca="false">L287</f>
        <v>0</v>
      </c>
      <c r="AE287" s="96" t="n">
        <f aca="false">AD287</f>
        <v>0</v>
      </c>
      <c r="AF287" s="97" t="n">
        <f aca="false">AD287</f>
        <v>0</v>
      </c>
      <c r="AG287" s="94" t="n">
        <f aca="false">VLOOKUP($D287,tblPriorPrice,6)</f>
        <v>0</v>
      </c>
      <c r="AH287" s="182"/>
      <c r="AI287" s="189" t="n">
        <f aca="false">AG287+AH287</f>
        <v>0</v>
      </c>
      <c r="AJ287" s="96" t="n">
        <f aca="false">AI287</f>
        <v>0</v>
      </c>
      <c r="AK287" s="97" t="n">
        <f aca="false">AI287</f>
        <v>0</v>
      </c>
      <c r="AL287" s="178" t="n">
        <v>74</v>
      </c>
      <c r="AM287" s="165" t="n">
        <v>0.4</v>
      </c>
      <c r="AN287" s="166" t="n">
        <f aca="false">EnergyCurve!AN287*2</f>
        <v>0</v>
      </c>
      <c r="AO287" s="166" t="n">
        <f aca="false">EnergyCurve!AO287</f>
        <v>0</v>
      </c>
      <c r="AP287" s="166" t="n">
        <f aca="false">AN287*1.25</f>
        <v>0</v>
      </c>
      <c r="AQ287" s="166" t="n">
        <f aca="false">EnergyCurve!AQ287*2</f>
        <v>0</v>
      </c>
      <c r="AR287" s="166" t="n">
        <f aca="false">EnergyCurve!AR287</f>
        <v>0</v>
      </c>
      <c r="AS287" s="166" t="n">
        <f aca="false">EnergyCurve!AS287*1.25</f>
        <v>0</v>
      </c>
      <c r="AT287" s="168" t="n">
        <f aca="false">EnergyCurve!AT287*2*2</f>
        <v>6.33113623762127</v>
      </c>
      <c r="AU287" s="169" t="n">
        <f aca="false">EnergyCurve!AU287</f>
        <v>-0.395696014851329</v>
      </c>
      <c r="AV287" s="169" t="n">
        <f aca="false">AT287*1.25</f>
        <v>7.91392029702658</v>
      </c>
      <c r="AW287" s="168" t="n">
        <f aca="false">EnergyCurve!AW287*2*2</f>
        <v>10.6812</v>
      </c>
      <c r="AX287" s="169" t="n">
        <f aca="false">EnergyCurve!AX287</f>
        <v>-0.667575</v>
      </c>
      <c r="AY287" s="169" t="n">
        <f aca="false">AW287*1.25</f>
        <v>13.3515</v>
      </c>
      <c r="AZ287" s="167" t="n">
        <v>0</v>
      </c>
      <c r="BZ287" s="43" t="n">
        <v>44621</v>
      </c>
      <c r="CA287" s="0" t="n">
        <v>29.8409996032715</v>
      </c>
      <c r="CB287" s="116" t="n">
        <v>0</v>
      </c>
      <c r="CC287" s="116" t="n">
        <v>0</v>
      </c>
      <c r="CD287" s="116" t="n">
        <v>0</v>
      </c>
      <c r="CE287" s="117" t="n">
        <v>0</v>
      </c>
    </row>
    <row r="288" customFormat="false" ht="12.75" hidden="false" customHeight="false" outlineLevel="0" collapsed="false">
      <c r="B288" s="92" t="n">
        <f aca="false">MATCH(YEAR(D288),iSpreads)</f>
        <v>20</v>
      </c>
      <c r="C288" s="0" t="n">
        <f aca="false">MONTH(D288)</f>
        <v>4</v>
      </c>
      <c r="D288" s="93" t="n">
        <f aca="false">+EnergyCurve!D288</f>
        <v>44652</v>
      </c>
      <c r="E288" s="94" t="n">
        <f aca="false">VLOOKUP($D288,tblPriorPrice,2)</f>
        <v>29.8409996032715</v>
      </c>
      <c r="F288" s="95" t="n">
        <f aca="false">G288-E288</f>
        <v>3.96728513152311E-007</v>
      </c>
      <c r="G288" s="264" t="n">
        <f aca="false">IF(EnergyCurve!G288&lt;200,0.001*EnergyCurve!G288+1,1.2)*EnergyCurve!G288</f>
        <v>29.841</v>
      </c>
      <c r="H288" s="96" t="n">
        <f aca="false">IF(EnergyCurve!H288&lt;200,0.001*EnergyCurve!H288+1,1.2)*EnergyCurve!H288</f>
        <v>24.576</v>
      </c>
      <c r="I288" s="96" t="n">
        <f aca="false">IF(EnergyCurve!I288&lt;200,0.001*EnergyCurve!I288+1,1.2)*EnergyCurve!I288</f>
        <v>66.969</v>
      </c>
      <c r="J288" s="94" t="n">
        <f aca="false">VLOOKUP($D288,tblPriorPrice,3)</f>
        <v>0</v>
      </c>
      <c r="K288" s="95" t="n">
        <f aca="false">L288-J288</f>
        <v>0</v>
      </c>
      <c r="L288" s="264" t="n">
        <v>0</v>
      </c>
      <c r="M288" s="96" t="n">
        <f aca="false">L288</f>
        <v>0</v>
      </c>
      <c r="N288" s="96" t="n">
        <f aca="false">L288</f>
        <v>0</v>
      </c>
      <c r="V288" s="161" t="n">
        <f aca="false">D288</f>
        <v>44652</v>
      </c>
      <c r="W288" s="94" t="n">
        <f aca="false">VLOOKUP($D288,tblPriorPrice,4)</f>
        <v>0</v>
      </c>
      <c r="X288" s="162"/>
      <c r="Y288" s="176" t="n">
        <f aca="false">L288</f>
        <v>0</v>
      </c>
      <c r="Z288" s="177" t="n">
        <f aca="false">Y288</f>
        <v>0</v>
      </c>
      <c r="AA288" s="177" t="n">
        <f aca="false">Y288</f>
        <v>0</v>
      </c>
      <c r="AB288" s="94" t="n">
        <f aca="false">VLOOKUP($D288,tblPriorPrice,5)</f>
        <v>0</v>
      </c>
      <c r="AD288" s="176" t="n">
        <f aca="false">L288</f>
        <v>0</v>
      </c>
      <c r="AE288" s="96" t="n">
        <f aca="false">AD288</f>
        <v>0</v>
      </c>
      <c r="AF288" s="97" t="n">
        <f aca="false">AD288</f>
        <v>0</v>
      </c>
      <c r="AG288" s="94" t="n">
        <f aca="false">VLOOKUP($D288,tblPriorPrice,6)</f>
        <v>0</v>
      </c>
      <c r="AH288" s="182"/>
      <c r="AI288" s="189" t="n">
        <f aca="false">AG288+AH288</f>
        <v>0</v>
      </c>
      <c r="AJ288" s="96" t="n">
        <f aca="false">AI288</f>
        <v>0</v>
      </c>
      <c r="AK288" s="97" t="n">
        <f aca="false">AI288</f>
        <v>0</v>
      </c>
      <c r="AL288" s="178" t="n">
        <v>74</v>
      </c>
      <c r="AM288" s="165" t="n">
        <v>0.4</v>
      </c>
      <c r="AN288" s="166" t="n">
        <f aca="false">EnergyCurve!AN288*2</f>
        <v>0</v>
      </c>
      <c r="AO288" s="166" t="n">
        <f aca="false">EnergyCurve!AO288</f>
        <v>0</v>
      </c>
      <c r="AP288" s="166" t="n">
        <f aca="false">AN288*1.25</f>
        <v>0</v>
      </c>
      <c r="AQ288" s="166" t="n">
        <f aca="false">EnergyCurve!AQ288*2</f>
        <v>0</v>
      </c>
      <c r="AR288" s="166" t="n">
        <f aca="false">EnergyCurve!AR288</f>
        <v>0</v>
      </c>
      <c r="AS288" s="166" t="n">
        <f aca="false">EnergyCurve!AS288*1.25</f>
        <v>0</v>
      </c>
      <c r="AT288" s="168" t="n">
        <f aca="false">EnergyCurve!AT288*2*2</f>
        <v>6.33113623762127</v>
      </c>
      <c r="AU288" s="169" t="n">
        <f aca="false">EnergyCurve!AU288</f>
        <v>-0.395696014851329</v>
      </c>
      <c r="AV288" s="169" t="n">
        <f aca="false">AT288*1.25</f>
        <v>7.91392029702658</v>
      </c>
      <c r="AW288" s="168" t="n">
        <f aca="false">EnergyCurve!AW288*2*2</f>
        <v>10.6812</v>
      </c>
      <c r="AX288" s="169" t="n">
        <f aca="false">EnergyCurve!AX288</f>
        <v>-0.667575</v>
      </c>
      <c r="AY288" s="169" t="n">
        <f aca="false">AW288*1.25</f>
        <v>13.3515</v>
      </c>
      <c r="AZ288" s="167" t="n">
        <v>0</v>
      </c>
      <c r="BZ288" s="43" t="n">
        <v>44652</v>
      </c>
      <c r="CA288" s="0" t="n">
        <v>29.8409996032715</v>
      </c>
      <c r="CB288" s="116" t="n">
        <v>0</v>
      </c>
      <c r="CC288" s="116" t="n">
        <v>0</v>
      </c>
      <c r="CD288" s="116" t="n">
        <v>0</v>
      </c>
      <c r="CE288" s="117" t="n">
        <v>0</v>
      </c>
    </row>
    <row r="289" customFormat="false" ht="12.75" hidden="false" customHeight="false" outlineLevel="0" collapsed="false">
      <c r="B289" s="92" t="n">
        <f aca="false">MATCH(YEAR(D289),iSpreads)</f>
        <v>20</v>
      </c>
      <c r="C289" s="0" t="n">
        <f aca="false">MONTH(D289)</f>
        <v>5</v>
      </c>
      <c r="D289" s="93" t="n">
        <f aca="false">+EnergyCurve!D289</f>
        <v>44682</v>
      </c>
      <c r="E289" s="94" t="n">
        <f aca="false">VLOOKUP($D289,tblPriorPrice,2)</f>
        <v>29.8409996032715</v>
      </c>
      <c r="F289" s="95" t="n">
        <f aca="false">G289-E289</f>
        <v>3.18300039672852</v>
      </c>
      <c r="G289" s="264" t="n">
        <f aca="false">IF(EnergyCurve!G289&lt;200,0.001*EnergyCurve!G289+1,1.2)*EnergyCurve!G289</f>
        <v>33.024</v>
      </c>
      <c r="H289" s="96" t="n">
        <f aca="false">IF(EnergyCurve!H289&lt;200,0.001*EnergyCurve!H289+1,1.2)*EnergyCurve!H289</f>
        <v>27.729</v>
      </c>
      <c r="I289" s="96" t="n">
        <f aca="false">IF(EnergyCurve!I289&lt;200,0.001*EnergyCurve!I289+1,1.2)*EnergyCurve!I289</f>
        <v>70.356</v>
      </c>
      <c r="J289" s="94" t="n">
        <f aca="false">VLOOKUP($D289,tblPriorPrice,3)</f>
        <v>0</v>
      </c>
      <c r="K289" s="95" t="n">
        <f aca="false">L289-J289</f>
        <v>0</v>
      </c>
      <c r="L289" s="264" t="n">
        <v>0</v>
      </c>
      <c r="M289" s="96" t="n">
        <f aca="false">L289</f>
        <v>0</v>
      </c>
      <c r="N289" s="96" t="n">
        <f aca="false">L289</f>
        <v>0</v>
      </c>
      <c r="V289" s="161" t="n">
        <f aca="false">D289</f>
        <v>44682</v>
      </c>
      <c r="W289" s="94" t="n">
        <f aca="false">VLOOKUP($D289,tblPriorPrice,4)</f>
        <v>0</v>
      </c>
      <c r="X289" s="162"/>
      <c r="Y289" s="176" t="n">
        <f aca="false">L289</f>
        <v>0</v>
      </c>
      <c r="Z289" s="177" t="n">
        <f aca="false">Y289</f>
        <v>0</v>
      </c>
      <c r="AA289" s="177" t="n">
        <f aca="false">Y289</f>
        <v>0</v>
      </c>
      <c r="AB289" s="94" t="n">
        <f aca="false">VLOOKUP($D289,tblPriorPrice,5)</f>
        <v>0</v>
      </c>
      <c r="AD289" s="176" t="n">
        <f aca="false">L289</f>
        <v>0</v>
      </c>
      <c r="AE289" s="96" t="n">
        <f aca="false">AD289</f>
        <v>0</v>
      </c>
      <c r="AF289" s="97" t="n">
        <f aca="false">AD289</f>
        <v>0</v>
      </c>
      <c r="AG289" s="94" t="n">
        <f aca="false">VLOOKUP($D289,tblPriorPrice,6)</f>
        <v>0</v>
      </c>
      <c r="AH289" s="182"/>
      <c r="AI289" s="189" t="n">
        <f aca="false">AG289+AH289</f>
        <v>0</v>
      </c>
      <c r="AJ289" s="96" t="n">
        <f aca="false">AI289</f>
        <v>0</v>
      </c>
      <c r="AK289" s="97" t="n">
        <f aca="false">AI289</f>
        <v>0</v>
      </c>
      <c r="AL289" s="178" t="n">
        <v>74</v>
      </c>
      <c r="AM289" s="165" t="n">
        <v>0.4</v>
      </c>
      <c r="AN289" s="166" t="n">
        <f aca="false">EnergyCurve!AN289*2</f>
        <v>0</v>
      </c>
      <c r="AO289" s="166" t="n">
        <f aca="false">EnergyCurve!AO289</f>
        <v>0</v>
      </c>
      <c r="AP289" s="166" t="n">
        <f aca="false">AN289*1.25</f>
        <v>0</v>
      </c>
      <c r="AQ289" s="166" t="n">
        <f aca="false">EnergyCurve!AQ289*2</f>
        <v>0</v>
      </c>
      <c r="AR289" s="166" t="n">
        <f aca="false">EnergyCurve!AR289</f>
        <v>0</v>
      </c>
      <c r="AS289" s="166" t="n">
        <f aca="false">EnergyCurve!AS289*1.25</f>
        <v>0</v>
      </c>
      <c r="AT289" s="168" t="n">
        <f aca="false">EnergyCurve!AT289*2*2</f>
        <v>6.71448638739126</v>
      </c>
      <c r="AU289" s="169" t="n">
        <f aca="false">EnergyCurve!AU289</f>
        <v>-0.419655399211954</v>
      </c>
      <c r="AV289" s="169" t="n">
        <f aca="false">AT289*1.25</f>
        <v>8.39310798423907</v>
      </c>
      <c r="AW289" s="168" t="n">
        <f aca="false">EnergyCurve!AW289*2*2</f>
        <v>10.3986</v>
      </c>
      <c r="AX289" s="169" t="n">
        <f aca="false">EnergyCurve!AX289</f>
        <v>-0.6499125</v>
      </c>
      <c r="AY289" s="169" t="n">
        <f aca="false">AW289*1.25</f>
        <v>12.99825</v>
      </c>
      <c r="AZ289" s="167" t="n">
        <v>0</v>
      </c>
      <c r="BZ289" s="43" t="n">
        <v>44682</v>
      </c>
      <c r="CA289" s="0" t="n">
        <v>33.0239982604981</v>
      </c>
      <c r="CB289" s="116" t="n">
        <v>0</v>
      </c>
      <c r="CC289" s="116" t="n">
        <v>0</v>
      </c>
      <c r="CD289" s="116" t="n">
        <v>0</v>
      </c>
      <c r="CE289" s="117" t="n">
        <v>0</v>
      </c>
    </row>
    <row r="290" customFormat="false" ht="12.75" hidden="false" customHeight="false" outlineLevel="0" collapsed="false">
      <c r="B290" s="92" t="n">
        <f aca="false">MATCH(YEAR(D290),iSpreads)</f>
        <v>20</v>
      </c>
      <c r="C290" s="0" t="n">
        <f aca="false">MONTH(D290)</f>
        <v>6</v>
      </c>
      <c r="D290" s="93" t="n">
        <f aca="false">+EnergyCurve!D290</f>
        <v>44713</v>
      </c>
      <c r="E290" s="94" t="n">
        <f aca="false">VLOOKUP($D290,tblPriorPrice,2)</f>
        <v>29.8409996032715</v>
      </c>
      <c r="F290" s="95" t="n">
        <f aca="false">G290-E290</f>
        <v>10.6800003967285</v>
      </c>
      <c r="G290" s="264" t="n">
        <f aca="false">IF(EnergyCurve!G290&lt;200,0.001*EnergyCurve!G290+1,1.2)*EnergyCurve!G290</f>
        <v>40.521</v>
      </c>
      <c r="H290" s="96" t="n">
        <f aca="false">IF(EnergyCurve!H290&lt;200,0.001*EnergyCurve!H290+1,1.2)*EnergyCurve!H290</f>
        <v>35.156</v>
      </c>
      <c r="I290" s="96" t="n">
        <f aca="false">IF(EnergyCurve!I290&lt;200,0.001*EnergyCurve!I290+1,1.2)*EnergyCurve!I290</f>
        <v>78.329</v>
      </c>
      <c r="J290" s="94" t="n">
        <f aca="false">VLOOKUP($D290,tblPriorPrice,3)</f>
        <v>0</v>
      </c>
      <c r="K290" s="95" t="n">
        <f aca="false">L290-J290</f>
        <v>0</v>
      </c>
      <c r="L290" s="264" t="n">
        <v>0</v>
      </c>
      <c r="M290" s="96" t="n">
        <f aca="false">L290</f>
        <v>0</v>
      </c>
      <c r="N290" s="96" t="n">
        <f aca="false">L290</f>
        <v>0</v>
      </c>
      <c r="V290" s="161" t="n">
        <f aca="false">D290</f>
        <v>44713</v>
      </c>
      <c r="W290" s="94" t="n">
        <f aca="false">VLOOKUP($D290,tblPriorPrice,4)</f>
        <v>0</v>
      </c>
      <c r="X290" s="162"/>
      <c r="Y290" s="176" t="n">
        <f aca="false">L290</f>
        <v>0</v>
      </c>
      <c r="Z290" s="177" t="n">
        <f aca="false">Y290</f>
        <v>0</v>
      </c>
      <c r="AA290" s="177" t="n">
        <f aca="false">Y290</f>
        <v>0</v>
      </c>
      <c r="AB290" s="94" t="n">
        <f aca="false">VLOOKUP($D290,tblPriorPrice,5)</f>
        <v>0</v>
      </c>
      <c r="AD290" s="176" t="n">
        <f aca="false">L290</f>
        <v>0</v>
      </c>
      <c r="AE290" s="96" t="n">
        <f aca="false">AD290</f>
        <v>0</v>
      </c>
      <c r="AF290" s="97" t="n">
        <f aca="false">AD290</f>
        <v>0</v>
      </c>
      <c r="AG290" s="94" t="n">
        <f aca="false">VLOOKUP($D290,tblPriorPrice,6)</f>
        <v>0</v>
      </c>
      <c r="AH290" s="182"/>
      <c r="AI290" s="189" t="n">
        <f aca="false">AG290+AH290</f>
        <v>0</v>
      </c>
      <c r="AJ290" s="96" t="n">
        <f aca="false">AI290</f>
        <v>0</v>
      </c>
      <c r="AK290" s="97" t="n">
        <f aca="false">AI290</f>
        <v>0</v>
      </c>
      <c r="AL290" s="178" t="n">
        <v>74</v>
      </c>
      <c r="AM290" s="165" t="n">
        <v>0.4</v>
      </c>
      <c r="AN290" s="166" t="n">
        <f aca="false">EnergyCurve!AN290*2</f>
        <v>0</v>
      </c>
      <c r="AO290" s="166" t="n">
        <f aca="false">EnergyCurve!AO290</f>
        <v>0</v>
      </c>
      <c r="AP290" s="166" t="n">
        <f aca="false">AN290*1.25</f>
        <v>0</v>
      </c>
      <c r="AQ290" s="166" t="n">
        <f aca="false">EnergyCurve!AQ290*2</f>
        <v>0</v>
      </c>
      <c r="AR290" s="166" t="n">
        <f aca="false">EnergyCurve!AR290</f>
        <v>0</v>
      </c>
      <c r="AS290" s="166" t="n">
        <f aca="false">EnergyCurve!AS290*1.25</f>
        <v>0</v>
      </c>
      <c r="AT290" s="168" t="n">
        <f aca="false">EnergyCurve!AT290*2*2</f>
        <v>8.27346121695085</v>
      </c>
      <c r="AU290" s="169" t="n">
        <f aca="false">EnergyCurve!AU290</f>
        <v>-0.517091326059428</v>
      </c>
      <c r="AV290" s="169" t="n">
        <f aca="false">AT290*1.25</f>
        <v>10.3418265211886</v>
      </c>
      <c r="AW290" s="168" t="n">
        <f aca="false">EnergyCurve!AW290*2*2</f>
        <v>9.7392</v>
      </c>
      <c r="AX290" s="169" t="n">
        <f aca="false">EnergyCurve!AX290</f>
        <v>-0.6087</v>
      </c>
      <c r="AY290" s="169" t="n">
        <f aca="false">AW290*1.25</f>
        <v>12.174</v>
      </c>
      <c r="AZ290" s="167" t="n">
        <v>0</v>
      </c>
      <c r="BZ290" s="43" t="n">
        <v>44713</v>
      </c>
      <c r="CA290" s="0" t="n">
        <v>40.5209999084473</v>
      </c>
      <c r="CB290" s="116" t="n">
        <v>0</v>
      </c>
      <c r="CC290" s="116" t="n">
        <v>0</v>
      </c>
      <c r="CD290" s="116" t="n">
        <v>0</v>
      </c>
      <c r="CE290" s="117" t="n">
        <v>0</v>
      </c>
    </row>
    <row r="291" customFormat="false" ht="12.75" hidden="false" customHeight="false" outlineLevel="0" collapsed="false">
      <c r="B291" s="92" t="n">
        <f aca="false">MATCH(YEAR(D291),iSpreads)</f>
        <v>20</v>
      </c>
      <c r="C291" s="0" t="n">
        <f aca="false">MONTH(D291)</f>
        <v>7</v>
      </c>
      <c r="D291" s="93" t="n">
        <f aca="false">+EnergyCurve!D291</f>
        <v>44743</v>
      </c>
      <c r="E291" s="94" t="n">
        <f aca="false">VLOOKUP($D291,tblPriorPrice,2)</f>
        <v>29.8409996032715</v>
      </c>
      <c r="F291" s="95" t="n">
        <f aca="false">G291-E291</f>
        <v>10.6800003967285</v>
      </c>
      <c r="G291" s="264" t="n">
        <f aca="false">IF(EnergyCurve!G291&lt;200,0.001*EnergyCurve!G291+1,1.2)*EnergyCurve!G291</f>
        <v>40.521</v>
      </c>
      <c r="H291" s="96" t="n">
        <f aca="false">IF(EnergyCurve!H291&lt;200,0.001*EnergyCurve!H291+1,1.2)*EnergyCurve!H291</f>
        <v>35.156</v>
      </c>
      <c r="I291" s="96" t="n">
        <f aca="false">IF(EnergyCurve!I291&lt;200,0.001*EnergyCurve!I291+1,1.2)*EnergyCurve!I291</f>
        <v>78.329</v>
      </c>
      <c r="J291" s="94" t="n">
        <f aca="false">VLOOKUP($D291,tblPriorPrice,3)</f>
        <v>0</v>
      </c>
      <c r="K291" s="95" t="n">
        <f aca="false">L291-J291</f>
        <v>0</v>
      </c>
      <c r="L291" s="264" t="n">
        <v>0</v>
      </c>
      <c r="M291" s="96" t="n">
        <f aca="false">L291</f>
        <v>0</v>
      </c>
      <c r="N291" s="96" t="n">
        <f aca="false">L291</f>
        <v>0</v>
      </c>
      <c r="V291" s="161" t="n">
        <f aca="false">D291</f>
        <v>44743</v>
      </c>
      <c r="W291" s="94" t="n">
        <f aca="false">VLOOKUP($D291,tblPriorPrice,4)</f>
        <v>0</v>
      </c>
      <c r="X291" s="162"/>
      <c r="Y291" s="176" t="n">
        <f aca="false">L291</f>
        <v>0</v>
      </c>
      <c r="Z291" s="177" t="n">
        <f aca="false">Y291</f>
        <v>0</v>
      </c>
      <c r="AA291" s="177" t="n">
        <f aca="false">Y291</f>
        <v>0</v>
      </c>
      <c r="AB291" s="94" t="n">
        <f aca="false">VLOOKUP($D291,tblPriorPrice,5)</f>
        <v>0</v>
      </c>
      <c r="AD291" s="176" t="n">
        <f aca="false">L291</f>
        <v>0</v>
      </c>
      <c r="AE291" s="96" t="n">
        <f aca="false">AD291</f>
        <v>0</v>
      </c>
      <c r="AF291" s="97" t="n">
        <f aca="false">AD291</f>
        <v>0</v>
      </c>
      <c r="AG291" s="94" t="n">
        <f aca="false">VLOOKUP($D291,tblPriorPrice,6)</f>
        <v>0</v>
      </c>
      <c r="AH291" s="182"/>
      <c r="AI291" s="189" t="n">
        <f aca="false">AG291+AH291</f>
        <v>0</v>
      </c>
      <c r="AJ291" s="96" t="n">
        <f aca="false">AI291</f>
        <v>0</v>
      </c>
      <c r="AK291" s="97" t="n">
        <f aca="false">AI291</f>
        <v>0</v>
      </c>
      <c r="AL291" s="178" t="n">
        <v>74</v>
      </c>
      <c r="AM291" s="165" t="n">
        <v>0.4</v>
      </c>
      <c r="AN291" s="166" t="n">
        <f aca="false">EnergyCurve!AN291*2</f>
        <v>0</v>
      </c>
      <c r="AO291" s="166" t="n">
        <f aca="false">EnergyCurve!AO291</f>
        <v>0</v>
      </c>
      <c r="AP291" s="166" t="n">
        <f aca="false">AN291*1.25</f>
        <v>0</v>
      </c>
      <c r="AQ291" s="166" t="n">
        <f aca="false">EnergyCurve!AQ291*2</f>
        <v>0</v>
      </c>
      <c r="AR291" s="166" t="n">
        <f aca="false">EnergyCurve!AR291</f>
        <v>0</v>
      </c>
      <c r="AS291" s="166" t="n">
        <f aca="false">EnergyCurve!AS291*1.25</f>
        <v>0</v>
      </c>
      <c r="AT291" s="168" t="n">
        <f aca="false">EnergyCurve!AT291*2*2</f>
        <v>8.27346121695085</v>
      </c>
      <c r="AU291" s="169" t="n">
        <f aca="false">EnergyCurve!AU291</f>
        <v>-0.517091326059428</v>
      </c>
      <c r="AV291" s="169" t="n">
        <f aca="false">AT291*1.25</f>
        <v>10.3418265211886</v>
      </c>
      <c r="AW291" s="168" t="n">
        <f aca="false">EnergyCurve!AW291*2*2</f>
        <v>9.7392</v>
      </c>
      <c r="AX291" s="169" t="n">
        <f aca="false">EnergyCurve!AX291</f>
        <v>-0.6087</v>
      </c>
      <c r="AY291" s="169" t="n">
        <f aca="false">AW291*1.25</f>
        <v>12.174</v>
      </c>
      <c r="AZ291" s="167" t="n">
        <v>0</v>
      </c>
      <c r="BZ291" s="43" t="n">
        <v>44743</v>
      </c>
      <c r="CA291" s="0" t="n">
        <v>40.5209999084473</v>
      </c>
      <c r="CB291" s="116" t="n">
        <v>0</v>
      </c>
      <c r="CC291" s="116" t="n">
        <v>0</v>
      </c>
      <c r="CD291" s="116" t="n">
        <v>0</v>
      </c>
      <c r="CE291" s="117" t="n">
        <v>0</v>
      </c>
    </row>
    <row r="292" customFormat="false" ht="12.75" hidden="false" customHeight="false" outlineLevel="0" collapsed="false">
      <c r="B292" s="92" t="n">
        <f aca="false">MATCH(YEAR(D292),iSpreads)</f>
        <v>20</v>
      </c>
      <c r="C292" s="0" t="n">
        <f aca="false">MONTH(D292)</f>
        <v>8</v>
      </c>
      <c r="D292" s="93" t="n">
        <f aca="false">+EnergyCurve!D292</f>
        <v>44774</v>
      </c>
      <c r="E292" s="94" t="n">
        <f aca="false">VLOOKUP($D292,tblPriorPrice,2)</f>
        <v>29.8409996032715</v>
      </c>
      <c r="F292" s="95" t="n">
        <f aca="false">G292-E292</f>
        <v>12.8400003967285</v>
      </c>
      <c r="G292" s="264" t="n">
        <f aca="false">IF(EnergyCurve!G292&lt;200,0.001*EnergyCurve!G292+1,1.2)*EnergyCurve!G292</f>
        <v>42.681</v>
      </c>
      <c r="H292" s="96" t="n">
        <f aca="false">IF(EnergyCurve!H292&lt;200,0.001*EnergyCurve!H292+1,1.2)*EnergyCurve!H292</f>
        <v>37.296</v>
      </c>
      <c r="I292" s="96" t="n">
        <f aca="false">IF(EnergyCurve!I292&lt;200,0.001*EnergyCurve!I292+1,1.2)*EnergyCurve!I292</f>
        <v>80.625</v>
      </c>
      <c r="J292" s="94" t="n">
        <f aca="false">VLOOKUP($D292,tblPriorPrice,3)</f>
        <v>0</v>
      </c>
      <c r="K292" s="95" t="n">
        <f aca="false">L292-J292</f>
        <v>0</v>
      </c>
      <c r="L292" s="264" t="n">
        <v>0</v>
      </c>
      <c r="M292" s="96" t="n">
        <f aca="false">L292</f>
        <v>0</v>
      </c>
      <c r="N292" s="96" t="n">
        <f aca="false">L292</f>
        <v>0</v>
      </c>
      <c r="V292" s="161" t="n">
        <f aca="false">D292</f>
        <v>44774</v>
      </c>
      <c r="W292" s="94" t="n">
        <f aca="false">VLOOKUP($D292,tblPriorPrice,4)</f>
        <v>0</v>
      </c>
      <c r="X292" s="162"/>
      <c r="Y292" s="176" t="n">
        <f aca="false">L292</f>
        <v>0</v>
      </c>
      <c r="Z292" s="177" t="n">
        <f aca="false">Y292</f>
        <v>0</v>
      </c>
      <c r="AA292" s="177" t="n">
        <f aca="false">Y292</f>
        <v>0</v>
      </c>
      <c r="AB292" s="94" t="n">
        <f aca="false">VLOOKUP($D292,tblPriorPrice,5)</f>
        <v>0</v>
      </c>
      <c r="AD292" s="176" t="n">
        <f aca="false">L292</f>
        <v>0</v>
      </c>
      <c r="AE292" s="96" t="n">
        <f aca="false">AD292</f>
        <v>0</v>
      </c>
      <c r="AF292" s="97" t="n">
        <f aca="false">AD292</f>
        <v>0</v>
      </c>
      <c r="AG292" s="94" t="n">
        <f aca="false">VLOOKUP($D292,tblPriorPrice,6)</f>
        <v>0</v>
      </c>
      <c r="AH292" s="182"/>
      <c r="AI292" s="189" t="n">
        <f aca="false">AG292+AH292</f>
        <v>0</v>
      </c>
      <c r="AJ292" s="96" t="n">
        <f aca="false">AI292</f>
        <v>0</v>
      </c>
      <c r="AK292" s="97" t="n">
        <f aca="false">AI292</f>
        <v>0</v>
      </c>
      <c r="AL292" s="178" t="n">
        <v>74</v>
      </c>
      <c r="AM292" s="165" t="n">
        <v>0.4</v>
      </c>
      <c r="AN292" s="166" t="n">
        <f aca="false">EnergyCurve!AN292*2</f>
        <v>0</v>
      </c>
      <c r="AO292" s="166" t="n">
        <f aca="false">EnergyCurve!AO292</f>
        <v>0</v>
      </c>
      <c r="AP292" s="166" t="n">
        <f aca="false">AN292*1.25</f>
        <v>0</v>
      </c>
      <c r="AQ292" s="166" t="n">
        <f aca="false">EnergyCurve!AQ292*2</f>
        <v>0</v>
      </c>
      <c r="AR292" s="166" t="n">
        <f aca="false">EnergyCurve!AR292</f>
        <v>0</v>
      </c>
      <c r="AS292" s="166" t="n">
        <f aca="false">EnergyCurve!AS292*1.25</f>
        <v>0</v>
      </c>
      <c r="AT292" s="168" t="n">
        <f aca="false">EnergyCurve!AT292*2*2</f>
        <v>8.83433884019377</v>
      </c>
      <c r="AU292" s="169" t="n">
        <f aca="false">EnergyCurve!AU292</f>
        <v>-0.552146177512111</v>
      </c>
      <c r="AV292" s="169" t="n">
        <f aca="false">AT292*1.25</f>
        <v>11.0429235502422</v>
      </c>
      <c r="AW292" s="168" t="n">
        <f aca="false">EnergyCurve!AW292*2*2</f>
        <v>9.5508</v>
      </c>
      <c r="AX292" s="169" t="n">
        <f aca="false">EnergyCurve!AX292</f>
        <v>-0.596925</v>
      </c>
      <c r="AY292" s="169" t="n">
        <f aca="false">AW292*1.25</f>
        <v>11.9385</v>
      </c>
      <c r="AZ292" s="167" t="n">
        <v>0</v>
      </c>
      <c r="BZ292" s="43" t="n">
        <v>44774</v>
      </c>
      <c r="CA292" s="0" t="n">
        <v>42.6809997558594</v>
      </c>
      <c r="CB292" s="116" t="n">
        <v>0</v>
      </c>
      <c r="CC292" s="116" t="n">
        <v>0</v>
      </c>
      <c r="CD292" s="116" t="n">
        <v>0</v>
      </c>
      <c r="CE292" s="117" t="n">
        <v>0</v>
      </c>
    </row>
    <row r="293" customFormat="false" ht="12.75" hidden="false" customHeight="false" outlineLevel="0" collapsed="false">
      <c r="B293" s="92" t="n">
        <f aca="false">MATCH(YEAR(D293),iSpreads)</f>
        <v>20</v>
      </c>
      <c r="C293" s="0" t="n">
        <f aca="false">MONTH(D293)</f>
        <v>9</v>
      </c>
      <c r="D293" s="93" t="n">
        <f aca="false">+EnergyCurve!D293</f>
        <v>44805</v>
      </c>
      <c r="E293" s="94" t="n">
        <f aca="false">VLOOKUP($D293,tblPriorPrice,2)</f>
        <v>29.8409996032715</v>
      </c>
      <c r="F293" s="95" t="n">
        <f aca="false">G293-E293</f>
        <v>6.38400039672851</v>
      </c>
      <c r="G293" s="264" t="n">
        <f aca="false">IF(EnergyCurve!G293&lt;200,0.001*EnergyCurve!G293+1,1.2)*EnergyCurve!G293</f>
        <v>36.225</v>
      </c>
      <c r="H293" s="96" t="n">
        <f aca="false">IF(EnergyCurve!H293&lt;200,0.001*EnergyCurve!H293+1,1.2)*EnergyCurve!H293</f>
        <v>30.9</v>
      </c>
      <c r="I293" s="96" t="n">
        <f aca="false">IF(EnergyCurve!I293&lt;200,0.001*EnergyCurve!I293+1,1.2)*EnergyCurve!I293</f>
        <v>73.761</v>
      </c>
      <c r="J293" s="94" t="n">
        <f aca="false">VLOOKUP($D293,tblPriorPrice,3)</f>
        <v>0</v>
      </c>
      <c r="K293" s="95" t="n">
        <f aca="false">L293-J293</f>
        <v>0</v>
      </c>
      <c r="L293" s="264" t="n">
        <v>0</v>
      </c>
      <c r="M293" s="96" t="n">
        <f aca="false">L293</f>
        <v>0</v>
      </c>
      <c r="N293" s="96" t="n">
        <f aca="false">L293</f>
        <v>0</v>
      </c>
      <c r="V293" s="161" t="n">
        <f aca="false">D293</f>
        <v>44805</v>
      </c>
      <c r="W293" s="94" t="n">
        <f aca="false">VLOOKUP($D293,tblPriorPrice,4)</f>
        <v>0</v>
      </c>
      <c r="X293" s="162"/>
      <c r="Y293" s="176" t="n">
        <f aca="false">L293</f>
        <v>0</v>
      </c>
      <c r="Z293" s="177" t="n">
        <f aca="false">Y293</f>
        <v>0</v>
      </c>
      <c r="AA293" s="177" t="n">
        <f aca="false">Y293</f>
        <v>0</v>
      </c>
      <c r="AB293" s="94" t="n">
        <f aca="false">VLOOKUP($D293,tblPriorPrice,5)</f>
        <v>0</v>
      </c>
      <c r="AD293" s="176" t="n">
        <f aca="false">L293</f>
        <v>0</v>
      </c>
      <c r="AE293" s="96" t="n">
        <f aca="false">AD293</f>
        <v>0</v>
      </c>
      <c r="AF293" s="97" t="n">
        <f aca="false">AD293</f>
        <v>0</v>
      </c>
      <c r="AG293" s="94" t="n">
        <f aca="false">VLOOKUP($D293,tblPriorPrice,6)</f>
        <v>0</v>
      </c>
      <c r="AH293" s="182"/>
      <c r="AI293" s="189" t="n">
        <f aca="false">AG293+AH293</f>
        <v>0</v>
      </c>
      <c r="AJ293" s="96" t="n">
        <f aca="false">AI293</f>
        <v>0</v>
      </c>
      <c r="AK293" s="97" t="n">
        <f aca="false">AI293</f>
        <v>0</v>
      </c>
      <c r="AL293" s="178" t="n">
        <v>74</v>
      </c>
      <c r="AM293" s="165" t="n">
        <v>0.4</v>
      </c>
      <c r="AN293" s="166" t="n">
        <f aca="false">EnergyCurve!AN293*2</f>
        <v>0</v>
      </c>
      <c r="AO293" s="166" t="n">
        <f aca="false">EnergyCurve!AO293</f>
        <v>0</v>
      </c>
      <c r="AP293" s="166" t="n">
        <f aca="false">AN293*1.25</f>
        <v>0</v>
      </c>
      <c r="AQ293" s="166" t="n">
        <f aca="false">EnergyCurve!AQ293*2</f>
        <v>0</v>
      </c>
      <c r="AR293" s="166" t="n">
        <f aca="false">EnergyCurve!AR293</f>
        <v>0</v>
      </c>
      <c r="AS293" s="166" t="n">
        <f aca="false">EnergyCurve!AS293*1.25</f>
        <v>0</v>
      </c>
      <c r="AT293" s="168" t="n">
        <f aca="false">EnergyCurve!AT293*2*2</f>
        <v>7.29020125079811</v>
      </c>
      <c r="AU293" s="169" t="n">
        <f aca="false">EnergyCurve!AU293</f>
        <v>-0.455637578174882</v>
      </c>
      <c r="AV293" s="169" t="n">
        <f aca="false">AT293*1.25</f>
        <v>9.11275156349763</v>
      </c>
      <c r="AW293" s="168" t="n">
        <f aca="false">EnergyCurve!AW293*2*2</f>
        <v>10.116</v>
      </c>
      <c r="AX293" s="169" t="n">
        <f aca="false">EnergyCurve!AX293</f>
        <v>-0.63225</v>
      </c>
      <c r="AY293" s="169" t="n">
        <f aca="false">AW293*1.25</f>
        <v>12.645</v>
      </c>
      <c r="AZ293" s="167" t="n">
        <v>0</v>
      </c>
      <c r="BZ293" s="43" t="n">
        <v>44805</v>
      </c>
      <c r="CA293" s="0" t="n">
        <v>36.2249984741211</v>
      </c>
      <c r="CB293" s="116" t="n">
        <v>0</v>
      </c>
      <c r="CC293" s="116" t="n">
        <v>0</v>
      </c>
      <c r="CD293" s="116" t="n">
        <v>0</v>
      </c>
      <c r="CE293" s="117" t="n">
        <v>0</v>
      </c>
    </row>
    <row r="294" customFormat="false" ht="12.75" hidden="false" customHeight="false" outlineLevel="0" collapsed="false">
      <c r="B294" s="92" t="n">
        <f aca="false">MATCH(YEAR(D294),iSpreads)</f>
        <v>20</v>
      </c>
      <c r="C294" s="0" t="n">
        <f aca="false">MONTH(D294)</f>
        <v>10</v>
      </c>
      <c r="D294" s="93" t="n">
        <f aca="false">+EnergyCurve!D294</f>
        <v>44835</v>
      </c>
      <c r="E294" s="94" t="n">
        <f aca="false">VLOOKUP($D294,tblPriorPrice,2)</f>
        <v>29.8409996032715</v>
      </c>
      <c r="F294" s="95" t="n">
        <f aca="false">G294-E294</f>
        <v>8.52800039672852</v>
      </c>
      <c r="G294" s="264" t="n">
        <f aca="false">IF(EnergyCurve!G294&lt;200,0.001*EnergyCurve!G294+1,1.2)*EnergyCurve!G294</f>
        <v>38.369</v>
      </c>
      <c r="H294" s="96" t="n">
        <f aca="false">IF(EnergyCurve!H294&lt;200,0.001*EnergyCurve!H294+1,1.2)*EnergyCurve!H294</f>
        <v>33.024</v>
      </c>
      <c r="I294" s="96" t="n">
        <f aca="false">IF(EnergyCurve!I294&lt;200,0.001*EnergyCurve!I294+1,1.2)*EnergyCurve!I294</f>
        <v>76.041</v>
      </c>
      <c r="J294" s="94" t="n">
        <f aca="false">VLOOKUP($D294,tblPriorPrice,3)</f>
        <v>0</v>
      </c>
      <c r="K294" s="95" t="n">
        <f aca="false">L294-J294</f>
        <v>0</v>
      </c>
      <c r="L294" s="264" t="n">
        <v>0</v>
      </c>
      <c r="M294" s="96" t="n">
        <f aca="false">L294</f>
        <v>0</v>
      </c>
      <c r="N294" s="96" t="n">
        <f aca="false">L294</f>
        <v>0</v>
      </c>
      <c r="V294" s="161" t="n">
        <f aca="false">D294</f>
        <v>44835</v>
      </c>
      <c r="W294" s="94" t="n">
        <f aca="false">VLOOKUP($D294,tblPriorPrice,4)</f>
        <v>0</v>
      </c>
      <c r="X294" s="162"/>
      <c r="Y294" s="176" t="n">
        <f aca="false">L294</f>
        <v>0</v>
      </c>
      <c r="Z294" s="177" t="n">
        <f aca="false">Y294</f>
        <v>0</v>
      </c>
      <c r="AA294" s="177" t="n">
        <f aca="false">Y294</f>
        <v>0</v>
      </c>
      <c r="AB294" s="94" t="n">
        <f aca="false">VLOOKUP($D294,tblPriorPrice,5)</f>
        <v>0</v>
      </c>
      <c r="AD294" s="176" t="n">
        <f aca="false">L294</f>
        <v>0</v>
      </c>
      <c r="AE294" s="96" t="n">
        <f aca="false">AD294</f>
        <v>0</v>
      </c>
      <c r="AF294" s="97" t="n">
        <f aca="false">AD294</f>
        <v>0</v>
      </c>
      <c r="AG294" s="94" t="n">
        <f aca="false">VLOOKUP($D294,tblPriorPrice,6)</f>
        <v>0</v>
      </c>
      <c r="AH294" s="182"/>
      <c r="AI294" s="189" t="n">
        <f aca="false">AG294+AH294</f>
        <v>0</v>
      </c>
      <c r="AJ294" s="96" t="n">
        <f aca="false">AI294</f>
        <v>0</v>
      </c>
      <c r="AK294" s="97" t="n">
        <f aca="false">AI294</f>
        <v>0</v>
      </c>
      <c r="AL294" s="178" t="n">
        <v>74</v>
      </c>
      <c r="AM294" s="165" t="n">
        <v>0.4</v>
      </c>
      <c r="AN294" s="166" t="n">
        <f aca="false">EnergyCurve!AN294*2</f>
        <v>0</v>
      </c>
      <c r="AO294" s="166" t="n">
        <f aca="false">EnergyCurve!AO294</f>
        <v>0</v>
      </c>
      <c r="AP294" s="166" t="n">
        <f aca="false">AN294*1.25</f>
        <v>0</v>
      </c>
      <c r="AQ294" s="166" t="n">
        <f aca="false">EnergyCurve!AQ294*2</f>
        <v>0</v>
      </c>
      <c r="AR294" s="166" t="n">
        <f aca="false">EnergyCurve!AR294</f>
        <v>0</v>
      </c>
      <c r="AS294" s="166" t="n">
        <f aca="false">EnergyCurve!AS294*1.25</f>
        <v>0</v>
      </c>
      <c r="AT294" s="168" t="n">
        <f aca="false">EnergyCurve!AT294*2*2</f>
        <v>7.75576329559925</v>
      </c>
      <c r="AU294" s="169" t="n">
        <f aca="false">EnergyCurve!AU294</f>
        <v>-0.484735205974953</v>
      </c>
      <c r="AV294" s="169" t="n">
        <f aca="false">AT294*1.25</f>
        <v>9.69470411949907</v>
      </c>
      <c r="AW294" s="168" t="n">
        <f aca="false">EnergyCurve!AW294*2*2</f>
        <v>9.9276</v>
      </c>
      <c r="AX294" s="169" t="n">
        <f aca="false">EnergyCurve!AX294</f>
        <v>-0.620475</v>
      </c>
      <c r="AY294" s="169" t="n">
        <f aca="false">AW294*1.25</f>
        <v>12.4095</v>
      </c>
      <c r="AZ294" s="167" t="n">
        <v>0</v>
      </c>
      <c r="BZ294" s="43" t="n">
        <v>44835</v>
      </c>
      <c r="CA294" s="0" t="n">
        <v>38.3689994812012</v>
      </c>
      <c r="CB294" s="116" t="n">
        <v>0</v>
      </c>
      <c r="CC294" s="116" t="n">
        <v>0</v>
      </c>
      <c r="CD294" s="116" t="n">
        <v>0</v>
      </c>
      <c r="CE294" s="117" t="n">
        <v>0</v>
      </c>
    </row>
    <row r="295" customFormat="false" ht="12.75" hidden="false" customHeight="false" outlineLevel="0" collapsed="false">
      <c r="B295" s="92" t="n">
        <f aca="false">MATCH(YEAR(D295),iSpreads)</f>
        <v>20</v>
      </c>
      <c r="C295" s="0" t="n">
        <f aca="false">MONTH(D295)</f>
        <v>11</v>
      </c>
      <c r="D295" s="93" t="n">
        <f aca="false">+EnergyCurve!D295</f>
        <v>44866</v>
      </c>
      <c r="E295" s="94" t="n">
        <f aca="false">VLOOKUP($D295,tblPriorPrice,2)</f>
        <v>29.8409996032715</v>
      </c>
      <c r="F295" s="95" t="n">
        <f aca="false">G295-E295</f>
        <v>2.12000039672851</v>
      </c>
      <c r="G295" s="264" t="n">
        <f aca="false">IF(EnergyCurve!G295&lt;200,0.001*EnergyCurve!G295+1,1.2)*EnergyCurve!G295</f>
        <v>31.961</v>
      </c>
      <c r="H295" s="96" t="n">
        <f aca="false">IF(EnergyCurve!H295&lt;200,0.001*EnergyCurve!H295+1,1.2)*EnergyCurve!H295</f>
        <v>26.676</v>
      </c>
      <c r="I295" s="96" t="n">
        <f aca="false">IF(EnergyCurve!I295&lt;200,0.001*EnergyCurve!I295+1,1.2)*EnergyCurve!I295</f>
        <v>69.225</v>
      </c>
      <c r="J295" s="94" t="n">
        <f aca="false">VLOOKUP($D295,tblPriorPrice,3)</f>
        <v>0</v>
      </c>
      <c r="K295" s="95" t="n">
        <f aca="false">L295-J295</f>
        <v>0</v>
      </c>
      <c r="L295" s="264" t="n">
        <v>0</v>
      </c>
      <c r="M295" s="96" t="n">
        <f aca="false">L295</f>
        <v>0</v>
      </c>
      <c r="N295" s="96" t="n">
        <f aca="false">L295</f>
        <v>0</v>
      </c>
      <c r="V295" s="161" t="n">
        <f aca="false">D295</f>
        <v>44866</v>
      </c>
      <c r="W295" s="94" t="n">
        <f aca="false">VLOOKUP($D295,tblPriorPrice,4)</f>
        <v>0</v>
      </c>
      <c r="X295" s="162"/>
      <c r="Y295" s="176" t="n">
        <f aca="false">L295</f>
        <v>0</v>
      </c>
      <c r="Z295" s="177" t="n">
        <f aca="false">Y295</f>
        <v>0</v>
      </c>
      <c r="AA295" s="177" t="n">
        <f aca="false">Y295</f>
        <v>0</v>
      </c>
      <c r="AB295" s="94" t="n">
        <f aca="false">VLOOKUP($D295,tblPriorPrice,5)</f>
        <v>0</v>
      </c>
      <c r="AD295" s="176" t="n">
        <f aca="false">L295</f>
        <v>0</v>
      </c>
      <c r="AE295" s="96" t="n">
        <f aca="false">AD295</f>
        <v>0</v>
      </c>
      <c r="AF295" s="97" t="n">
        <f aca="false">AD295</f>
        <v>0</v>
      </c>
      <c r="AG295" s="94" t="n">
        <f aca="false">VLOOKUP($D295,tblPriorPrice,6)</f>
        <v>0</v>
      </c>
      <c r="AH295" s="182"/>
      <c r="AI295" s="189" t="n">
        <f aca="false">AG295+AH295</f>
        <v>0</v>
      </c>
      <c r="AJ295" s="96" t="n">
        <f aca="false">AI295</f>
        <v>0</v>
      </c>
      <c r="AK295" s="97" t="n">
        <f aca="false">AI295</f>
        <v>0</v>
      </c>
      <c r="AL295" s="178" t="n">
        <v>74</v>
      </c>
      <c r="AM295" s="165" t="n">
        <v>0.4</v>
      </c>
      <c r="AN295" s="166" t="n">
        <f aca="false">EnergyCurve!AN295*2</f>
        <v>0</v>
      </c>
      <c r="AO295" s="166" t="n">
        <f aca="false">EnergyCurve!AO295</f>
        <v>0</v>
      </c>
      <c r="AP295" s="166" t="n">
        <f aca="false">AN295*1.25</f>
        <v>0</v>
      </c>
      <c r="AQ295" s="166" t="n">
        <f aca="false">EnergyCurve!AQ295*2</f>
        <v>0</v>
      </c>
      <c r="AR295" s="166" t="n">
        <f aca="false">EnergyCurve!AR295</f>
        <v>0</v>
      </c>
      <c r="AS295" s="166" t="n">
        <f aca="false">EnergyCurve!AS295*1.25</f>
        <v>0</v>
      </c>
      <c r="AT295" s="168" t="n">
        <f aca="false">EnergyCurve!AT295*2*2</f>
        <v>6.56235962744143</v>
      </c>
      <c r="AU295" s="169" t="n">
        <f aca="false">EnergyCurve!AU295</f>
        <v>-0.410147476715089</v>
      </c>
      <c r="AV295" s="169" t="n">
        <f aca="false">AT295*1.25</f>
        <v>8.20294953430178</v>
      </c>
      <c r="AW295" s="168" t="n">
        <f aca="false">EnergyCurve!AW295*2*2</f>
        <v>10.4928</v>
      </c>
      <c r="AX295" s="169" t="n">
        <f aca="false">EnergyCurve!AX295</f>
        <v>-0.6558</v>
      </c>
      <c r="AY295" s="169" t="n">
        <f aca="false">AW295*1.25</f>
        <v>13.116</v>
      </c>
      <c r="AZ295" s="167" t="n">
        <v>0</v>
      </c>
      <c r="BZ295" s="43" t="n">
        <v>44866</v>
      </c>
      <c r="CA295" s="0" t="n">
        <v>31.9610004425049</v>
      </c>
      <c r="CB295" s="116" t="n">
        <v>0</v>
      </c>
      <c r="CC295" s="116" t="n">
        <v>0</v>
      </c>
      <c r="CD295" s="116" t="n">
        <v>0</v>
      </c>
      <c r="CE295" s="117" t="n">
        <v>0</v>
      </c>
    </row>
    <row r="296" customFormat="false" ht="12.75" hidden="false" customHeight="false" outlineLevel="0" collapsed="false">
      <c r="B296" s="92" t="n">
        <f aca="false">MATCH(YEAR(D296),iSpreads)</f>
        <v>20</v>
      </c>
      <c r="C296" s="0" t="n">
        <f aca="false">MONTH(D296)</f>
        <v>12</v>
      </c>
      <c r="D296" s="93" t="n">
        <f aca="false">+EnergyCurve!D296</f>
        <v>44896</v>
      </c>
      <c r="E296" s="94" t="n">
        <f aca="false">VLOOKUP($D296,tblPriorPrice,2)</f>
        <v>29.8409996032715</v>
      </c>
      <c r="F296" s="95" t="n">
        <f aca="false">G296-E296</f>
        <v>3.18300039672852</v>
      </c>
      <c r="G296" s="264" t="n">
        <f aca="false">IF(EnergyCurve!G296&lt;200,0.001*EnergyCurve!G296+1,1.2)*EnergyCurve!G296</f>
        <v>33.024</v>
      </c>
      <c r="H296" s="96" t="n">
        <f aca="false">IF(EnergyCurve!H296&lt;200,0.001*EnergyCurve!H296+1,1.2)*EnergyCurve!H296</f>
        <v>27.729</v>
      </c>
      <c r="I296" s="96" t="n">
        <f aca="false">IF(EnergyCurve!I296&lt;200,0.001*EnergyCurve!I296+1,1.2)*EnergyCurve!I296</f>
        <v>70.356</v>
      </c>
      <c r="J296" s="94" t="n">
        <f aca="false">VLOOKUP($D296,tblPriorPrice,3)</f>
        <v>0</v>
      </c>
      <c r="K296" s="95" t="n">
        <f aca="false">L296-J296</f>
        <v>0</v>
      </c>
      <c r="L296" s="264" t="n">
        <v>0</v>
      </c>
      <c r="M296" s="96" t="n">
        <f aca="false">L296</f>
        <v>0</v>
      </c>
      <c r="N296" s="96" t="n">
        <f aca="false">L296</f>
        <v>0</v>
      </c>
      <c r="V296" s="161" t="n">
        <f aca="false">D296</f>
        <v>44896</v>
      </c>
      <c r="W296" s="94" t="n">
        <f aca="false">VLOOKUP($D296,tblPriorPrice,4)</f>
        <v>0</v>
      </c>
      <c r="X296" s="162"/>
      <c r="Y296" s="176" t="n">
        <f aca="false">L296</f>
        <v>0</v>
      </c>
      <c r="Z296" s="177" t="n">
        <f aca="false">Y296</f>
        <v>0</v>
      </c>
      <c r="AA296" s="177" t="n">
        <f aca="false">Y296</f>
        <v>0</v>
      </c>
      <c r="AB296" s="94" t="n">
        <f aca="false">VLOOKUP($D296,tblPriorPrice,5)</f>
        <v>0</v>
      </c>
      <c r="AD296" s="176" t="n">
        <f aca="false">L296</f>
        <v>0</v>
      </c>
      <c r="AE296" s="96" t="n">
        <f aca="false">AD296</f>
        <v>0</v>
      </c>
      <c r="AF296" s="97" t="n">
        <f aca="false">AD296</f>
        <v>0</v>
      </c>
      <c r="AG296" s="94" t="n">
        <f aca="false">VLOOKUP($D296,tblPriorPrice,6)</f>
        <v>0</v>
      </c>
      <c r="AH296" s="182"/>
      <c r="AI296" s="189" t="n">
        <f aca="false">AG296+AH296</f>
        <v>0</v>
      </c>
      <c r="AJ296" s="96" t="n">
        <f aca="false">AI296</f>
        <v>0</v>
      </c>
      <c r="AK296" s="97" t="n">
        <f aca="false">AI296</f>
        <v>0</v>
      </c>
      <c r="AL296" s="178" t="n">
        <v>74</v>
      </c>
      <c r="AM296" s="165" t="n">
        <v>0.4</v>
      </c>
      <c r="AN296" s="166" t="n">
        <f aca="false">EnergyCurve!AN296*2</f>
        <v>0</v>
      </c>
      <c r="AO296" s="166" t="n">
        <f aca="false">EnergyCurve!AO296</f>
        <v>0</v>
      </c>
      <c r="AP296" s="166" t="n">
        <f aca="false">AN296*1.25</f>
        <v>0</v>
      </c>
      <c r="AQ296" s="166" t="n">
        <f aca="false">EnergyCurve!AQ296*2</f>
        <v>0</v>
      </c>
      <c r="AR296" s="166" t="n">
        <f aca="false">EnergyCurve!AR296</f>
        <v>0</v>
      </c>
      <c r="AS296" s="166" t="n">
        <f aca="false">EnergyCurve!AS296*1.25</f>
        <v>0</v>
      </c>
      <c r="AT296" s="168" t="n">
        <f aca="false">EnergyCurve!AT296*2*2</f>
        <v>6.71448638739126</v>
      </c>
      <c r="AU296" s="169" t="n">
        <f aca="false">EnergyCurve!AU296</f>
        <v>-0.419655399211954</v>
      </c>
      <c r="AV296" s="169" t="n">
        <f aca="false">AT296*1.25</f>
        <v>8.39310798423907</v>
      </c>
      <c r="AW296" s="168" t="n">
        <f aca="false">EnergyCurve!AW296*2*2</f>
        <v>10.6812</v>
      </c>
      <c r="AX296" s="169" t="n">
        <f aca="false">EnergyCurve!AX296</f>
        <v>-0.667575</v>
      </c>
      <c r="AY296" s="169" t="n">
        <f aca="false">AW296*1.25</f>
        <v>13.3515</v>
      </c>
      <c r="AZ296" s="167" t="n">
        <v>0</v>
      </c>
      <c r="BZ296" s="43" t="n">
        <v>44896</v>
      </c>
      <c r="CA296" s="0" t="n">
        <v>33.0239982604981</v>
      </c>
      <c r="CB296" s="116" t="n">
        <v>0</v>
      </c>
      <c r="CC296" s="116" t="n">
        <v>0</v>
      </c>
      <c r="CD296" s="116" t="n">
        <v>0</v>
      </c>
      <c r="CE296" s="117" t="n">
        <v>0</v>
      </c>
    </row>
    <row r="297" customFormat="false" ht="12.75" hidden="false" customHeight="false" outlineLevel="0" collapsed="false">
      <c r="B297" s="92" t="n">
        <f aca="false">MATCH(YEAR(D297),iSpreads)</f>
        <v>20</v>
      </c>
      <c r="C297" s="0" t="n">
        <f aca="false">MONTH(D297)</f>
        <v>1</v>
      </c>
      <c r="D297" s="93" t="n">
        <f aca="false">+EnergyCurve!D297</f>
        <v>44927</v>
      </c>
      <c r="E297" s="94" t="n">
        <f aca="false">VLOOKUP($D297,tblPriorPrice,2)</f>
        <v>29.8409996032715</v>
      </c>
      <c r="F297" s="95" t="n">
        <f aca="false">G297-E297</f>
        <v>4.24800039672851</v>
      </c>
      <c r="G297" s="264" t="n">
        <f aca="false">IF(EnergyCurve!G297&lt;200,0.001*EnergyCurve!G297+1,1.2)*EnergyCurve!G297</f>
        <v>34.089</v>
      </c>
      <c r="H297" s="96" t="n">
        <f aca="false">IF(EnergyCurve!H297&lt;200,0.001*EnergyCurve!H297+1,1.2)*EnergyCurve!H297</f>
        <v>28.784</v>
      </c>
      <c r="I297" s="96" t="n">
        <f aca="false">IF(EnergyCurve!I297&lt;200,0.001*EnergyCurve!I297+1,1.2)*EnergyCurve!I297</f>
        <v>71.489</v>
      </c>
      <c r="J297" s="94" t="n">
        <f aca="false">VLOOKUP($D297,tblPriorPrice,3)</f>
        <v>0</v>
      </c>
      <c r="K297" s="95" t="n">
        <f aca="false">L297-J297</f>
        <v>0</v>
      </c>
      <c r="L297" s="264" t="n">
        <v>0</v>
      </c>
      <c r="M297" s="96" t="n">
        <f aca="false">L297</f>
        <v>0</v>
      </c>
      <c r="N297" s="96" t="n">
        <f aca="false">L297</f>
        <v>0</v>
      </c>
      <c r="V297" s="161" t="n">
        <f aca="false">D297</f>
        <v>44927</v>
      </c>
      <c r="W297" s="94" t="n">
        <f aca="false">VLOOKUP($D297,tblPriorPrice,4)</f>
        <v>0</v>
      </c>
      <c r="X297" s="162"/>
      <c r="Y297" s="176" t="n">
        <f aca="false">L297</f>
        <v>0</v>
      </c>
      <c r="Z297" s="177" t="n">
        <f aca="false">Y297</f>
        <v>0</v>
      </c>
      <c r="AA297" s="177" t="n">
        <f aca="false">Y297</f>
        <v>0</v>
      </c>
      <c r="AB297" s="94" t="n">
        <f aca="false">VLOOKUP($D297,tblPriorPrice,5)</f>
        <v>0</v>
      </c>
      <c r="AD297" s="176" t="n">
        <f aca="false">L297</f>
        <v>0</v>
      </c>
      <c r="AE297" s="96" t="n">
        <f aca="false">AD297</f>
        <v>0</v>
      </c>
      <c r="AF297" s="97" t="n">
        <f aca="false">AD297</f>
        <v>0</v>
      </c>
      <c r="AG297" s="94" t="n">
        <f aca="false">VLOOKUP($D297,tblPriorPrice,6)</f>
        <v>0</v>
      </c>
      <c r="AH297" s="182"/>
      <c r="AI297" s="189" t="n">
        <f aca="false">AG297+AH297</f>
        <v>0</v>
      </c>
      <c r="AJ297" s="96" t="n">
        <f aca="false">AI297</f>
        <v>0</v>
      </c>
      <c r="AK297" s="97" t="n">
        <f aca="false">AI297</f>
        <v>0</v>
      </c>
      <c r="AL297" s="178" t="n">
        <v>74</v>
      </c>
      <c r="AM297" s="165" t="n">
        <v>0.4</v>
      </c>
      <c r="AN297" s="166" t="n">
        <f aca="false">EnergyCurve!AN297*2</f>
        <v>0</v>
      </c>
      <c r="AO297" s="166" t="n">
        <f aca="false">EnergyCurve!AO297</f>
        <v>0</v>
      </c>
      <c r="AP297" s="166" t="n">
        <f aca="false">AN297*1.25</f>
        <v>0</v>
      </c>
      <c r="AQ297" s="166" t="n">
        <f aca="false">EnergyCurve!AQ297*2</f>
        <v>0</v>
      </c>
      <c r="AR297" s="166" t="n">
        <f aca="false">EnergyCurve!AR297</f>
        <v>0</v>
      </c>
      <c r="AS297" s="166" t="n">
        <f aca="false">EnergyCurve!AS297*1.25</f>
        <v>0</v>
      </c>
      <c r="AT297" s="168" t="n">
        <f aca="false">EnergyCurve!AT297*2*2</f>
        <v>6.88781730529552</v>
      </c>
      <c r="AU297" s="169" t="n">
        <f aca="false">EnergyCurve!AU297</f>
        <v>-0.43048858158097</v>
      </c>
      <c r="AV297" s="169" t="n">
        <f aca="false">AT297*1.25</f>
        <v>8.60977163161941</v>
      </c>
      <c r="AW297" s="168" t="n">
        <f aca="false">EnergyCurve!AW297*2*2</f>
        <v>10.4928</v>
      </c>
      <c r="AX297" s="169" t="n">
        <f aca="false">EnergyCurve!AX297</f>
        <v>-0.6558</v>
      </c>
      <c r="AY297" s="169" t="n">
        <f aca="false">AW297*1.25</f>
        <v>13.116</v>
      </c>
      <c r="AZ297" s="167" t="n">
        <v>0</v>
      </c>
      <c r="BZ297" s="43" t="n">
        <v>44927</v>
      </c>
      <c r="CA297" s="0" t="n">
        <v>34.0890007019043</v>
      </c>
      <c r="CB297" s="116" t="n">
        <v>0</v>
      </c>
      <c r="CC297" s="116" t="n">
        <v>0</v>
      </c>
      <c r="CD297" s="116" t="n">
        <v>0</v>
      </c>
      <c r="CE297" s="117" t="n">
        <v>0</v>
      </c>
    </row>
    <row r="298" customFormat="false" ht="12.75" hidden="false" customHeight="false" outlineLevel="0" collapsed="false">
      <c r="B298" s="92" t="n">
        <f aca="false">MATCH(YEAR(D298),iSpreads)</f>
        <v>20</v>
      </c>
      <c r="C298" s="0" t="n">
        <f aca="false">MONTH(D298)</f>
        <v>2</v>
      </c>
      <c r="D298" s="93" t="n">
        <f aca="false">+EnergyCurve!D298</f>
        <v>44958</v>
      </c>
      <c r="E298" s="94" t="n">
        <f aca="false">VLOOKUP($D298,tblPriorPrice,2)</f>
        <v>29.8409996032715</v>
      </c>
      <c r="F298" s="95" t="n">
        <f aca="false">G298-E298</f>
        <v>1.05900039672852</v>
      </c>
      <c r="G298" s="264" t="n">
        <f aca="false">IF(EnergyCurve!G298&lt;200,0.001*EnergyCurve!G298+1,1.2)*EnergyCurve!G298</f>
        <v>30.9</v>
      </c>
      <c r="H298" s="96" t="n">
        <f aca="false">IF(EnergyCurve!H298&lt;200,0.001*EnergyCurve!H298+1,1.2)*EnergyCurve!H298</f>
        <v>25.625</v>
      </c>
      <c r="I298" s="96" t="n">
        <f aca="false">IF(EnergyCurve!I298&lt;200,0.001*EnergyCurve!I298+1,1.2)*EnergyCurve!I298</f>
        <v>68.096</v>
      </c>
      <c r="J298" s="94" t="n">
        <f aca="false">VLOOKUP($D298,tblPriorPrice,3)</f>
        <v>0</v>
      </c>
      <c r="K298" s="95" t="n">
        <f aca="false">L298-J298</f>
        <v>0</v>
      </c>
      <c r="L298" s="264" t="n">
        <v>0</v>
      </c>
      <c r="M298" s="96" t="n">
        <f aca="false">L298</f>
        <v>0</v>
      </c>
      <c r="N298" s="96" t="n">
        <f aca="false">L298</f>
        <v>0</v>
      </c>
      <c r="V298" s="161" t="n">
        <f aca="false">D298</f>
        <v>44958</v>
      </c>
      <c r="W298" s="94" t="n">
        <f aca="false">VLOOKUP($D298,tblPriorPrice,4)</f>
        <v>0</v>
      </c>
      <c r="X298" s="162"/>
      <c r="Y298" s="176" t="n">
        <f aca="false">L298</f>
        <v>0</v>
      </c>
      <c r="Z298" s="177" t="n">
        <f aca="false">Y298</f>
        <v>0</v>
      </c>
      <c r="AA298" s="177" t="n">
        <f aca="false">Y298</f>
        <v>0</v>
      </c>
      <c r="AB298" s="94" t="n">
        <f aca="false">VLOOKUP($D298,tblPriorPrice,5)</f>
        <v>0</v>
      </c>
      <c r="AD298" s="176" t="n">
        <f aca="false">L298</f>
        <v>0</v>
      </c>
      <c r="AE298" s="96" t="n">
        <f aca="false">AD298</f>
        <v>0</v>
      </c>
      <c r="AF298" s="97" t="n">
        <f aca="false">AD298</f>
        <v>0</v>
      </c>
      <c r="AG298" s="94" t="n">
        <f aca="false">VLOOKUP($D298,tblPriorPrice,6)</f>
        <v>0</v>
      </c>
      <c r="AH298" s="182"/>
      <c r="AI298" s="189" t="n">
        <f aca="false">AG298+AH298</f>
        <v>0</v>
      </c>
      <c r="AJ298" s="96" t="n">
        <f aca="false">AI298</f>
        <v>0</v>
      </c>
      <c r="AK298" s="97" t="n">
        <f aca="false">AI298</f>
        <v>0</v>
      </c>
      <c r="AL298" s="178" t="n">
        <v>74</v>
      </c>
      <c r="AM298" s="165" t="n">
        <v>0.4</v>
      </c>
      <c r="AN298" s="166" t="n">
        <f aca="false">EnergyCurve!AN298*2</f>
        <v>0</v>
      </c>
      <c r="AO298" s="166" t="n">
        <f aca="false">EnergyCurve!AO298</f>
        <v>0</v>
      </c>
      <c r="AP298" s="166" t="n">
        <f aca="false">AN298*1.25</f>
        <v>0</v>
      </c>
      <c r="AQ298" s="166" t="n">
        <f aca="false">EnergyCurve!AQ298*2</f>
        <v>0</v>
      </c>
      <c r="AR298" s="166" t="n">
        <f aca="false">EnergyCurve!AR298</f>
        <v>0</v>
      </c>
      <c r="AS298" s="166" t="n">
        <f aca="false">EnergyCurve!AS298*1.25</f>
        <v>0</v>
      </c>
      <c r="AT298" s="168" t="n">
        <f aca="false">EnergyCurve!AT298*2*2</f>
        <v>6.43371807382396</v>
      </c>
      <c r="AU298" s="169" t="n">
        <f aca="false">EnergyCurve!AU298</f>
        <v>-0.402107379613998</v>
      </c>
      <c r="AV298" s="169" t="n">
        <f aca="false">AT298*1.25</f>
        <v>8.04214759227995</v>
      </c>
      <c r="AW298" s="168" t="n">
        <f aca="false">EnergyCurve!AW298*2*2</f>
        <v>10.587</v>
      </c>
      <c r="AX298" s="169" t="n">
        <f aca="false">EnergyCurve!AX298</f>
        <v>-0.6616875</v>
      </c>
      <c r="AY298" s="169" t="n">
        <f aca="false">AW298*1.25</f>
        <v>13.23375</v>
      </c>
      <c r="AZ298" s="167" t="n">
        <v>0</v>
      </c>
      <c r="BZ298" s="43" t="n">
        <v>44958</v>
      </c>
      <c r="CA298" s="0" t="n">
        <v>30.8999996185303</v>
      </c>
      <c r="CB298" s="116" t="n">
        <v>0</v>
      </c>
      <c r="CC298" s="116" t="n">
        <v>0</v>
      </c>
      <c r="CD298" s="116" t="n">
        <v>0</v>
      </c>
      <c r="CE298" s="117" t="n">
        <v>0</v>
      </c>
    </row>
    <row r="299" customFormat="false" ht="12.75" hidden="false" customHeight="false" outlineLevel="0" collapsed="false">
      <c r="B299" s="92" t="n">
        <f aca="false">MATCH(YEAR(D299),iSpreads)</f>
        <v>20</v>
      </c>
      <c r="C299" s="0" t="n">
        <f aca="false">MONTH(D299)</f>
        <v>3</v>
      </c>
      <c r="D299" s="93" t="n">
        <f aca="false">+EnergyCurve!D299</f>
        <v>44986</v>
      </c>
      <c r="E299" s="94" t="n">
        <f aca="false">VLOOKUP($D299,tblPriorPrice,2)</f>
        <v>29.8409996032715</v>
      </c>
      <c r="F299" s="95" t="n">
        <f aca="false">G299-E299</f>
        <v>3.96728513152311E-007</v>
      </c>
      <c r="G299" s="264" t="n">
        <f aca="false">IF(EnergyCurve!G299&lt;200,0.001*EnergyCurve!G299+1,1.2)*EnergyCurve!G299</f>
        <v>29.841</v>
      </c>
      <c r="H299" s="96" t="n">
        <f aca="false">IF(EnergyCurve!H299&lt;200,0.001*EnergyCurve!H299+1,1.2)*EnergyCurve!H299</f>
        <v>24.576</v>
      </c>
      <c r="I299" s="96" t="n">
        <f aca="false">IF(EnergyCurve!I299&lt;200,0.001*EnergyCurve!I299+1,1.2)*EnergyCurve!I299</f>
        <v>66.969</v>
      </c>
      <c r="J299" s="94" t="n">
        <f aca="false">VLOOKUP($D299,tblPriorPrice,3)</f>
        <v>0</v>
      </c>
      <c r="K299" s="95" t="n">
        <f aca="false">L299-J299</f>
        <v>0</v>
      </c>
      <c r="L299" s="264" t="n">
        <v>0</v>
      </c>
      <c r="M299" s="96" t="n">
        <f aca="false">L299</f>
        <v>0</v>
      </c>
      <c r="N299" s="96" t="n">
        <f aca="false">L299</f>
        <v>0</v>
      </c>
      <c r="V299" s="161" t="n">
        <f aca="false">D299</f>
        <v>44986</v>
      </c>
      <c r="W299" s="94" t="n">
        <f aca="false">VLOOKUP($D299,tblPriorPrice,4)</f>
        <v>0</v>
      </c>
      <c r="X299" s="162"/>
      <c r="Y299" s="176" t="n">
        <f aca="false">L299</f>
        <v>0</v>
      </c>
      <c r="Z299" s="177" t="n">
        <f aca="false">Y299</f>
        <v>0</v>
      </c>
      <c r="AA299" s="177" t="n">
        <f aca="false">Y299</f>
        <v>0</v>
      </c>
      <c r="AB299" s="94" t="n">
        <f aca="false">VLOOKUP($D299,tblPriorPrice,5)</f>
        <v>0</v>
      </c>
      <c r="AD299" s="176" t="n">
        <f aca="false">L299</f>
        <v>0</v>
      </c>
      <c r="AE299" s="96" t="n">
        <f aca="false">AD299</f>
        <v>0</v>
      </c>
      <c r="AF299" s="97" t="n">
        <f aca="false">AD299</f>
        <v>0</v>
      </c>
      <c r="AG299" s="94" t="n">
        <f aca="false">VLOOKUP($D299,tblPriorPrice,6)</f>
        <v>0</v>
      </c>
      <c r="AH299" s="182"/>
      <c r="AI299" s="189" t="n">
        <f aca="false">AG299+AH299</f>
        <v>0</v>
      </c>
      <c r="AJ299" s="96" t="n">
        <f aca="false">AI299</f>
        <v>0</v>
      </c>
      <c r="AK299" s="97" t="n">
        <f aca="false">AI299</f>
        <v>0</v>
      </c>
      <c r="AL299" s="178" t="n">
        <v>74</v>
      </c>
      <c r="AM299" s="165" t="n">
        <v>0.4</v>
      </c>
      <c r="AN299" s="166" t="n">
        <f aca="false">EnergyCurve!AN299*2</f>
        <v>0</v>
      </c>
      <c r="AO299" s="166" t="n">
        <f aca="false">EnergyCurve!AO299</f>
        <v>0</v>
      </c>
      <c r="AP299" s="166" t="n">
        <f aca="false">AN299*1.25</f>
        <v>0</v>
      </c>
      <c r="AQ299" s="166" t="n">
        <f aca="false">EnergyCurve!AQ299*2</f>
        <v>0</v>
      </c>
      <c r="AR299" s="166" t="n">
        <f aca="false">EnergyCurve!AR299</f>
        <v>0</v>
      </c>
      <c r="AS299" s="166" t="n">
        <f aca="false">EnergyCurve!AS299*1.25</f>
        <v>0</v>
      </c>
      <c r="AT299" s="168" t="n">
        <f aca="false">EnergyCurve!AT299*2*2</f>
        <v>6.33113623762127</v>
      </c>
      <c r="AU299" s="169" t="n">
        <f aca="false">EnergyCurve!AU299</f>
        <v>-0.395696014851329</v>
      </c>
      <c r="AV299" s="169" t="n">
        <f aca="false">AT299*1.25</f>
        <v>7.91392029702658</v>
      </c>
      <c r="AW299" s="168" t="n">
        <f aca="false">EnergyCurve!AW299*2*2</f>
        <v>10.6812</v>
      </c>
      <c r="AX299" s="169" t="n">
        <f aca="false">EnergyCurve!AX299</f>
        <v>-0.667575</v>
      </c>
      <c r="AY299" s="169" t="n">
        <f aca="false">AW299*1.25</f>
        <v>13.3515</v>
      </c>
      <c r="AZ299" s="167" t="n">
        <v>0</v>
      </c>
      <c r="BZ299" s="43" t="n">
        <v>44986</v>
      </c>
      <c r="CA299" s="0" t="n">
        <v>29.8409996032715</v>
      </c>
      <c r="CB299" s="116" t="n">
        <v>0</v>
      </c>
      <c r="CC299" s="116" t="n">
        <v>0</v>
      </c>
      <c r="CD299" s="116" t="n">
        <v>0</v>
      </c>
      <c r="CE299" s="117" t="n">
        <v>0</v>
      </c>
    </row>
    <row r="300" customFormat="false" ht="12.75" hidden="false" customHeight="false" outlineLevel="0" collapsed="false">
      <c r="B300" s="92" t="n">
        <f aca="false">MATCH(YEAR(D300),iSpreads)</f>
        <v>20</v>
      </c>
      <c r="C300" s="0" t="n">
        <f aca="false">MONTH(D300)</f>
        <v>4</v>
      </c>
      <c r="D300" s="93" t="n">
        <f aca="false">+EnergyCurve!D300</f>
        <v>45017</v>
      </c>
      <c r="E300" s="94" t="n">
        <f aca="false">VLOOKUP($D300,tblPriorPrice,2)</f>
        <v>29.8409996032715</v>
      </c>
      <c r="F300" s="95" t="n">
        <f aca="false">G300-E300</f>
        <v>3.96728513152311E-007</v>
      </c>
      <c r="G300" s="264" t="n">
        <f aca="false">IF(EnergyCurve!G300&lt;200,0.001*EnergyCurve!G300+1,1.2)*EnergyCurve!G300</f>
        <v>29.841</v>
      </c>
      <c r="H300" s="96" t="n">
        <f aca="false">IF(EnergyCurve!H300&lt;200,0.001*EnergyCurve!H300+1,1.2)*EnergyCurve!H300</f>
        <v>24.576</v>
      </c>
      <c r="I300" s="96" t="n">
        <f aca="false">IF(EnergyCurve!I300&lt;200,0.001*EnergyCurve!I300+1,1.2)*EnergyCurve!I300</f>
        <v>66.969</v>
      </c>
      <c r="J300" s="94" t="n">
        <f aca="false">VLOOKUP($D300,tblPriorPrice,3)</f>
        <v>0</v>
      </c>
      <c r="K300" s="95" t="n">
        <f aca="false">L300-J300</f>
        <v>0</v>
      </c>
      <c r="L300" s="264" t="n">
        <v>0</v>
      </c>
      <c r="M300" s="96" t="n">
        <f aca="false">L300</f>
        <v>0</v>
      </c>
      <c r="N300" s="96" t="n">
        <f aca="false">L300</f>
        <v>0</v>
      </c>
      <c r="V300" s="161" t="n">
        <f aca="false">D300</f>
        <v>45017</v>
      </c>
      <c r="W300" s="94" t="n">
        <f aca="false">VLOOKUP($D300,tblPriorPrice,4)</f>
        <v>0</v>
      </c>
      <c r="X300" s="162"/>
      <c r="Y300" s="176" t="n">
        <f aca="false">L300</f>
        <v>0</v>
      </c>
      <c r="Z300" s="177" t="n">
        <f aca="false">Y300</f>
        <v>0</v>
      </c>
      <c r="AA300" s="177" t="n">
        <f aca="false">Y300</f>
        <v>0</v>
      </c>
      <c r="AB300" s="94" t="n">
        <f aca="false">VLOOKUP($D300,tblPriorPrice,5)</f>
        <v>0</v>
      </c>
      <c r="AD300" s="176" t="n">
        <f aca="false">L300</f>
        <v>0</v>
      </c>
      <c r="AE300" s="96" t="n">
        <f aca="false">AD300</f>
        <v>0</v>
      </c>
      <c r="AF300" s="97" t="n">
        <f aca="false">AD300</f>
        <v>0</v>
      </c>
      <c r="AG300" s="94" t="n">
        <f aca="false">VLOOKUP($D300,tblPriorPrice,6)</f>
        <v>0</v>
      </c>
      <c r="AH300" s="182"/>
      <c r="AI300" s="189" t="n">
        <f aca="false">AG300+AH300</f>
        <v>0</v>
      </c>
      <c r="AJ300" s="96" t="n">
        <f aca="false">AI300</f>
        <v>0</v>
      </c>
      <c r="AK300" s="97" t="n">
        <f aca="false">AI300</f>
        <v>0</v>
      </c>
      <c r="AL300" s="178" t="n">
        <v>74</v>
      </c>
      <c r="AM300" s="165" t="n">
        <v>0.4</v>
      </c>
      <c r="AN300" s="166" t="n">
        <f aca="false">EnergyCurve!AN300*2</f>
        <v>0</v>
      </c>
      <c r="AO300" s="166" t="n">
        <f aca="false">EnergyCurve!AO300</f>
        <v>0</v>
      </c>
      <c r="AP300" s="166" t="n">
        <f aca="false">AN300*1.25</f>
        <v>0</v>
      </c>
      <c r="AQ300" s="166" t="n">
        <f aca="false">EnergyCurve!AQ300*2</f>
        <v>0</v>
      </c>
      <c r="AR300" s="166" t="n">
        <f aca="false">EnergyCurve!AR300</f>
        <v>0</v>
      </c>
      <c r="AS300" s="166" t="n">
        <f aca="false">EnergyCurve!AS300*1.25</f>
        <v>0</v>
      </c>
      <c r="AT300" s="168" t="n">
        <f aca="false">EnergyCurve!AT300*2*2</f>
        <v>6.33113623762127</v>
      </c>
      <c r="AU300" s="169" t="n">
        <f aca="false">EnergyCurve!AU300</f>
        <v>-0.395696014851329</v>
      </c>
      <c r="AV300" s="169" t="n">
        <f aca="false">AT300*1.25</f>
        <v>7.91392029702658</v>
      </c>
      <c r="AW300" s="168" t="n">
        <f aca="false">EnergyCurve!AW300*2*2</f>
        <v>10.6812</v>
      </c>
      <c r="AX300" s="169" t="n">
        <f aca="false">EnergyCurve!AX300</f>
        <v>-0.667575</v>
      </c>
      <c r="AY300" s="169" t="n">
        <f aca="false">AW300*1.25</f>
        <v>13.3515</v>
      </c>
      <c r="AZ300" s="167" t="n">
        <v>0</v>
      </c>
      <c r="BZ300" s="43" t="n">
        <v>45017</v>
      </c>
      <c r="CA300" s="0" t="n">
        <v>29.8409996032715</v>
      </c>
      <c r="CB300" s="116" t="n">
        <v>0</v>
      </c>
      <c r="CC300" s="116" t="n">
        <v>0</v>
      </c>
      <c r="CD300" s="116" t="n">
        <v>0</v>
      </c>
      <c r="CE300" s="117" t="n">
        <v>0</v>
      </c>
    </row>
    <row r="301" customFormat="false" ht="12.75" hidden="false" customHeight="false" outlineLevel="0" collapsed="false">
      <c r="B301" s="92" t="n">
        <f aca="false">MATCH(YEAR(D301),iSpreads)</f>
        <v>20</v>
      </c>
      <c r="C301" s="0" t="n">
        <f aca="false">MONTH(D301)</f>
        <v>5</v>
      </c>
      <c r="D301" s="93" t="n">
        <f aca="false">+EnergyCurve!D301</f>
        <v>45047</v>
      </c>
      <c r="E301" s="94" t="n">
        <f aca="false">VLOOKUP($D301,tblPriorPrice,2)</f>
        <v>29.8409996032715</v>
      </c>
      <c r="F301" s="95" t="n">
        <f aca="false">G301-E301</f>
        <v>3.18300039672852</v>
      </c>
      <c r="G301" s="264" t="n">
        <f aca="false">IF(EnergyCurve!G301&lt;200,0.001*EnergyCurve!G301+1,1.2)*EnergyCurve!G301</f>
        <v>33.024</v>
      </c>
      <c r="H301" s="96" t="n">
        <f aca="false">IF(EnergyCurve!H301&lt;200,0.001*EnergyCurve!H301+1,1.2)*EnergyCurve!H301</f>
        <v>27.729</v>
      </c>
      <c r="I301" s="96" t="n">
        <f aca="false">IF(EnergyCurve!I301&lt;200,0.001*EnergyCurve!I301+1,1.2)*EnergyCurve!I301</f>
        <v>70.356</v>
      </c>
      <c r="J301" s="94" t="n">
        <f aca="false">VLOOKUP($D301,tblPriorPrice,3)</f>
        <v>0</v>
      </c>
      <c r="K301" s="95" t="n">
        <f aca="false">L301-J301</f>
        <v>0</v>
      </c>
      <c r="L301" s="264" t="n">
        <v>0</v>
      </c>
      <c r="M301" s="96" t="n">
        <f aca="false">L301</f>
        <v>0</v>
      </c>
      <c r="N301" s="96" t="n">
        <f aca="false">L301</f>
        <v>0</v>
      </c>
      <c r="V301" s="161" t="n">
        <f aca="false">D301</f>
        <v>45047</v>
      </c>
      <c r="W301" s="94" t="n">
        <f aca="false">VLOOKUP($D301,tblPriorPrice,4)</f>
        <v>0</v>
      </c>
      <c r="X301" s="162"/>
      <c r="Y301" s="176" t="n">
        <f aca="false">L301</f>
        <v>0</v>
      </c>
      <c r="Z301" s="177" t="n">
        <f aca="false">Y301</f>
        <v>0</v>
      </c>
      <c r="AA301" s="177" t="n">
        <f aca="false">Y301</f>
        <v>0</v>
      </c>
      <c r="AB301" s="94" t="n">
        <f aca="false">VLOOKUP($D301,tblPriorPrice,5)</f>
        <v>0</v>
      </c>
      <c r="AD301" s="176" t="n">
        <f aca="false">L301</f>
        <v>0</v>
      </c>
      <c r="AE301" s="96" t="n">
        <f aca="false">AD301</f>
        <v>0</v>
      </c>
      <c r="AF301" s="97" t="n">
        <f aca="false">AD301</f>
        <v>0</v>
      </c>
      <c r="AG301" s="94" t="n">
        <f aca="false">VLOOKUP($D301,tblPriorPrice,6)</f>
        <v>0</v>
      </c>
      <c r="AH301" s="182"/>
      <c r="AI301" s="189" t="n">
        <f aca="false">AG301+AH301</f>
        <v>0</v>
      </c>
      <c r="AJ301" s="96" t="n">
        <f aca="false">AI301</f>
        <v>0</v>
      </c>
      <c r="AK301" s="97" t="n">
        <f aca="false">AI301</f>
        <v>0</v>
      </c>
      <c r="AL301" s="178" t="n">
        <v>74</v>
      </c>
      <c r="AM301" s="165" t="n">
        <v>0.4</v>
      </c>
      <c r="AN301" s="166" t="n">
        <f aca="false">EnergyCurve!AN301*2</f>
        <v>0</v>
      </c>
      <c r="AO301" s="166" t="n">
        <f aca="false">EnergyCurve!AO301</f>
        <v>0</v>
      </c>
      <c r="AP301" s="166" t="n">
        <f aca="false">AN301*1.25</f>
        <v>0</v>
      </c>
      <c r="AQ301" s="166" t="n">
        <f aca="false">EnergyCurve!AQ301*2</f>
        <v>0</v>
      </c>
      <c r="AR301" s="166" t="n">
        <f aca="false">EnergyCurve!AR301</f>
        <v>0</v>
      </c>
      <c r="AS301" s="166" t="n">
        <f aca="false">EnergyCurve!AS301*1.25</f>
        <v>0</v>
      </c>
      <c r="AT301" s="168" t="n">
        <f aca="false">EnergyCurve!AT301*2*2</f>
        <v>6.71448638739126</v>
      </c>
      <c r="AU301" s="169" t="n">
        <f aca="false">EnergyCurve!AU301</f>
        <v>-0.419655399211954</v>
      </c>
      <c r="AV301" s="169" t="n">
        <f aca="false">AT301*1.25</f>
        <v>8.39310798423907</v>
      </c>
      <c r="AW301" s="168" t="n">
        <f aca="false">EnergyCurve!AW301*2*2</f>
        <v>10.3986</v>
      </c>
      <c r="AX301" s="169" t="n">
        <f aca="false">EnergyCurve!AX301</f>
        <v>-0.6499125</v>
      </c>
      <c r="AY301" s="169" t="n">
        <f aca="false">AW301*1.25</f>
        <v>12.99825</v>
      </c>
      <c r="AZ301" s="167" t="n">
        <v>0</v>
      </c>
      <c r="BZ301" s="43" t="n">
        <v>45047</v>
      </c>
      <c r="CA301" s="0" t="n">
        <v>33.0239982604981</v>
      </c>
      <c r="CB301" s="116" t="n">
        <v>0</v>
      </c>
      <c r="CC301" s="116" t="n">
        <v>0</v>
      </c>
      <c r="CD301" s="116" t="n">
        <v>0</v>
      </c>
      <c r="CE301" s="117" t="n">
        <v>0</v>
      </c>
    </row>
    <row r="302" customFormat="false" ht="12.75" hidden="false" customHeight="false" outlineLevel="0" collapsed="false">
      <c r="B302" s="92" t="n">
        <f aca="false">MATCH(YEAR(D302),iSpreads)</f>
        <v>20</v>
      </c>
      <c r="C302" s="0" t="n">
        <f aca="false">MONTH(D302)</f>
        <v>6</v>
      </c>
      <c r="D302" s="93" t="n">
        <f aca="false">+EnergyCurve!D302</f>
        <v>45078</v>
      </c>
      <c r="E302" s="94" t="n">
        <f aca="false">VLOOKUP($D302,tblPriorPrice,2)</f>
        <v>29.8409996032715</v>
      </c>
      <c r="F302" s="95" t="n">
        <f aca="false">G302-E302</f>
        <v>10.6800003967285</v>
      </c>
      <c r="G302" s="264" t="n">
        <f aca="false">IF(EnergyCurve!G302&lt;200,0.001*EnergyCurve!G302+1,1.2)*EnergyCurve!G302</f>
        <v>40.521</v>
      </c>
      <c r="H302" s="96" t="n">
        <f aca="false">IF(EnergyCurve!H302&lt;200,0.001*EnergyCurve!H302+1,1.2)*EnergyCurve!H302</f>
        <v>35.156</v>
      </c>
      <c r="I302" s="96" t="n">
        <f aca="false">IF(EnergyCurve!I302&lt;200,0.001*EnergyCurve!I302+1,1.2)*EnergyCurve!I302</f>
        <v>78.329</v>
      </c>
      <c r="J302" s="94" t="n">
        <f aca="false">VLOOKUP($D302,tblPriorPrice,3)</f>
        <v>0</v>
      </c>
      <c r="K302" s="95" t="n">
        <f aca="false">L302-J302</f>
        <v>0</v>
      </c>
      <c r="L302" s="264" t="n">
        <v>0</v>
      </c>
      <c r="M302" s="96" t="n">
        <f aca="false">L302</f>
        <v>0</v>
      </c>
      <c r="N302" s="96" t="n">
        <f aca="false">L302</f>
        <v>0</v>
      </c>
      <c r="V302" s="161" t="n">
        <f aca="false">D302</f>
        <v>45078</v>
      </c>
      <c r="W302" s="94" t="n">
        <f aca="false">VLOOKUP($D302,tblPriorPrice,4)</f>
        <v>0</v>
      </c>
      <c r="X302" s="162"/>
      <c r="Y302" s="176" t="n">
        <f aca="false">L302</f>
        <v>0</v>
      </c>
      <c r="Z302" s="177" t="n">
        <f aca="false">Y302</f>
        <v>0</v>
      </c>
      <c r="AA302" s="177" t="n">
        <f aca="false">Y302</f>
        <v>0</v>
      </c>
      <c r="AB302" s="94" t="n">
        <f aca="false">VLOOKUP($D302,tblPriorPrice,5)</f>
        <v>0</v>
      </c>
      <c r="AD302" s="176" t="n">
        <f aca="false">L302</f>
        <v>0</v>
      </c>
      <c r="AE302" s="96" t="n">
        <f aca="false">AD302</f>
        <v>0</v>
      </c>
      <c r="AF302" s="97" t="n">
        <f aca="false">AD302</f>
        <v>0</v>
      </c>
      <c r="AG302" s="94" t="n">
        <f aca="false">VLOOKUP($D302,tblPriorPrice,6)</f>
        <v>0</v>
      </c>
      <c r="AH302" s="182"/>
      <c r="AI302" s="189" t="n">
        <f aca="false">AG302+AH302</f>
        <v>0</v>
      </c>
      <c r="AJ302" s="96" t="n">
        <f aca="false">AI302</f>
        <v>0</v>
      </c>
      <c r="AK302" s="97" t="n">
        <f aca="false">AI302</f>
        <v>0</v>
      </c>
      <c r="AL302" s="178" t="n">
        <v>74</v>
      </c>
      <c r="AM302" s="165" t="n">
        <v>0.4</v>
      </c>
      <c r="AN302" s="166" t="n">
        <f aca="false">EnergyCurve!AN302*2</f>
        <v>0</v>
      </c>
      <c r="AO302" s="166" t="n">
        <f aca="false">EnergyCurve!AO302</f>
        <v>0</v>
      </c>
      <c r="AP302" s="166" t="n">
        <f aca="false">AN302*1.25</f>
        <v>0</v>
      </c>
      <c r="AQ302" s="166" t="n">
        <f aca="false">EnergyCurve!AQ302*2</f>
        <v>0</v>
      </c>
      <c r="AR302" s="166" t="n">
        <f aca="false">EnergyCurve!AR302</f>
        <v>0</v>
      </c>
      <c r="AS302" s="166" t="n">
        <f aca="false">EnergyCurve!AS302*1.25</f>
        <v>0</v>
      </c>
      <c r="AT302" s="168" t="n">
        <f aca="false">EnergyCurve!AT302*2*2</f>
        <v>8.27346121695085</v>
      </c>
      <c r="AU302" s="169" t="n">
        <f aca="false">EnergyCurve!AU302</f>
        <v>-0.517091326059428</v>
      </c>
      <c r="AV302" s="169" t="n">
        <f aca="false">AT302*1.25</f>
        <v>10.3418265211886</v>
      </c>
      <c r="AW302" s="168" t="n">
        <f aca="false">EnergyCurve!AW302*2*2</f>
        <v>9.7392</v>
      </c>
      <c r="AX302" s="169" t="n">
        <f aca="false">EnergyCurve!AX302</f>
        <v>-0.6087</v>
      </c>
      <c r="AY302" s="169" t="n">
        <f aca="false">AW302*1.25</f>
        <v>12.174</v>
      </c>
      <c r="AZ302" s="167" t="n">
        <v>0</v>
      </c>
      <c r="BZ302" s="43" t="n">
        <v>45078</v>
      </c>
      <c r="CA302" s="0" t="n">
        <v>40.5209999084473</v>
      </c>
      <c r="CB302" s="116" t="n">
        <v>0</v>
      </c>
      <c r="CC302" s="116" t="n">
        <v>0</v>
      </c>
      <c r="CD302" s="116" t="n">
        <v>0</v>
      </c>
      <c r="CE302" s="117" t="n">
        <v>0</v>
      </c>
    </row>
    <row r="303" customFormat="false" ht="12.75" hidden="false" customHeight="false" outlineLevel="0" collapsed="false">
      <c r="B303" s="92" t="n">
        <f aca="false">MATCH(YEAR(D303),iSpreads)</f>
        <v>20</v>
      </c>
      <c r="C303" s="0" t="n">
        <f aca="false">MONTH(D303)</f>
        <v>7</v>
      </c>
      <c r="D303" s="93" t="n">
        <f aca="false">+EnergyCurve!D303</f>
        <v>45108</v>
      </c>
      <c r="E303" s="94" t="n">
        <f aca="false">VLOOKUP($D303,tblPriorPrice,2)</f>
        <v>29.8409996032715</v>
      </c>
      <c r="F303" s="95" t="n">
        <f aca="false">G303-E303</f>
        <v>10.6800003967285</v>
      </c>
      <c r="G303" s="264" t="n">
        <f aca="false">IF(EnergyCurve!G303&lt;200,0.001*EnergyCurve!G303+1,1.2)*EnergyCurve!G303</f>
        <v>40.521</v>
      </c>
      <c r="H303" s="96" t="n">
        <f aca="false">IF(EnergyCurve!H303&lt;200,0.001*EnergyCurve!H303+1,1.2)*EnergyCurve!H303</f>
        <v>35.156</v>
      </c>
      <c r="I303" s="96" t="n">
        <f aca="false">IF(EnergyCurve!I303&lt;200,0.001*EnergyCurve!I303+1,1.2)*EnergyCurve!I303</f>
        <v>78.329</v>
      </c>
      <c r="J303" s="94" t="n">
        <f aca="false">VLOOKUP($D303,tblPriorPrice,3)</f>
        <v>0</v>
      </c>
      <c r="K303" s="95" t="n">
        <f aca="false">L303-J303</f>
        <v>0</v>
      </c>
      <c r="L303" s="264" t="n">
        <v>0</v>
      </c>
      <c r="M303" s="96" t="n">
        <f aca="false">L303</f>
        <v>0</v>
      </c>
      <c r="N303" s="96" t="n">
        <f aca="false">L303</f>
        <v>0</v>
      </c>
      <c r="V303" s="161" t="n">
        <f aca="false">D303</f>
        <v>45108</v>
      </c>
      <c r="W303" s="94" t="n">
        <f aca="false">VLOOKUP($D303,tblPriorPrice,4)</f>
        <v>0</v>
      </c>
      <c r="X303" s="162"/>
      <c r="Y303" s="176" t="n">
        <f aca="false">L303</f>
        <v>0</v>
      </c>
      <c r="Z303" s="177" t="n">
        <f aca="false">Y303</f>
        <v>0</v>
      </c>
      <c r="AA303" s="177" t="n">
        <f aca="false">Y303</f>
        <v>0</v>
      </c>
      <c r="AB303" s="94" t="n">
        <f aca="false">VLOOKUP($D303,tblPriorPrice,5)</f>
        <v>0</v>
      </c>
      <c r="AD303" s="176" t="n">
        <f aca="false">L303</f>
        <v>0</v>
      </c>
      <c r="AE303" s="96" t="n">
        <f aca="false">AD303</f>
        <v>0</v>
      </c>
      <c r="AF303" s="97" t="n">
        <f aca="false">AD303</f>
        <v>0</v>
      </c>
      <c r="AG303" s="94" t="n">
        <f aca="false">VLOOKUP($D303,tblPriorPrice,6)</f>
        <v>0</v>
      </c>
      <c r="AH303" s="182"/>
      <c r="AI303" s="189" t="n">
        <f aca="false">AG303+AH303</f>
        <v>0</v>
      </c>
      <c r="AJ303" s="96" t="n">
        <f aca="false">AI303</f>
        <v>0</v>
      </c>
      <c r="AK303" s="97" t="n">
        <f aca="false">AI303</f>
        <v>0</v>
      </c>
      <c r="AL303" s="178" t="n">
        <v>74</v>
      </c>
      <c r="AM303" s="165" t="n">
        <v>0.4</v>
      </c>
      <c r="AN303" s="166" t="n">
        <f aca="false">EnergyCurve!AN303*2</f>
        <v>0</v>
      </c>
      <c r="AO303" s="166" t="n">
        <f aca="false">EnergyCurve!AO303</f>
        <v>0</v>
      </c>
      <c r="AP303" s="166" t="n">
        <f aca="false">AN303*1.25</f>
        <v>0</v>
      </c>
      <c r="AQ303" s="166" t="n">
        <f aca="false">EnergyCurve!AQ303*2</f>
        <v>0</v>
      </c>
      <c r="AR303" s="166" t="n">
        <f aca="false">EnergyCurve!AR303</f>
        <v>0</v>
      </c>
      <c r="AS303" s="166" t="n">
        <f aca="false">EnergyCurve!AS303*1.25</f>
        <v>0</v>
      </c>
      <c r="AT303" s="168" t="n">
        <f aca="false">EnergyCurve!AT303*2*2</f>
        <v>8.27346121695085</v>
      </c>
      <c r="AU303" s="169" t="n">
        <f aca="false">EnergyCurve!AU303</f>
        <v>-0.517091326059428</v>
      </c>
      <c r="AV303" s="169" t="n">
        <f aca="false">AT303*1.25</f>
        <v>10.3418265211886</v>
      </c>
      <c r="AW303" s="168" t="n">
        <f aca="false">EnergyCurve!AW303*2*2</f>
        <v>9.7392</v>
      </c>
      <c r="AX303" s="169" t="n">
        <f aca="false">EnergyCurve!AX303</f>
        <v>-0.6087</v>
      </c>
      <c r="AY303" s="169" t="n">
        <f aca="false">AW303*1.25</f>
        <v>12.174</v>
      </c>
      <c r="AZ303" s="167" t="n">
        <v>0</v>
      </c>
      <c r="BZ303" s="43" t="n">
        <v>45108</v>
      </c>
      <c r="CA303" s="0" t="n">
        <v>40.5209999084473</v>
      </c>
      <c r="CB303" s="116" t="n">
        <v>0</v>
      </c>
      <c r="CC303" s="116" t="n">
        <v>0</v>
      </c>
      <c r="CD303" s="116" t="n">
        <v>0</v>
      </c>
      <c r="CE303" s="117" t="n">
        <v>0</v>
      </c>
    </row>
    <row r="304" customFormat="false" ht="12.75" hidden="false" customHeight="false" outlineLevel="0" collapsed="false">
      <c r="B304" s="92" t="n">
        <f aca="false">MATCH(YEAR(D304),iSpreads)</f>
        <v>20</v>
      </c>
      <c r="C304" s="0" t="n">
        <f aca="false">MONTH(D304)</f>
        <v>8</v>
      </c>
      <c r="D304" s="93" t="n">
        <f aca="false">+EnergyCurve!D304</f>
        <v>45139</v>
      </c>
      <c r="E304" s="94" t="n">
        <f aca="false">VLOOKUP($D304,tblPriorPrice,2)</f>
        <v>29.8409996032715</v>
      </c>
      <c r="F304" s="95" t="n">
        <f aca="false">G304-E304</f>
        <v>12.8400003967285</v>
      </c>
      <c r="G304" s="264" t="n">
        <f aca="false">IF(EnergyCurve!G304&lt;200,0.001*EnergyCurve!G304+1,1.2)*EnergyCurve!G304</f>
        <v>42.681</v>
      </c>
      <c r="H304" s="96" t="n">
        <f aca="false">IF(EnergyCurve!H304&lt;200,0.001*EnergyCurve!H304+1,1.2)*EnergyCurve!H304</f>
        <v>37.296</v>
      </c>
      <c r="I304" s="96" t="n">
        <f aca="false">IF(EnergyCurve!I304&lt;200,0.001*EnergyCurve!I304+1,1.2)*EnergyCurve!I304</f>
        <v>80.625</v>
      </c>
      <c r="J304" s="94" t="n">
        <f aca="false">VLOOKUP($D304,tblPriorPrice,3)</f>
        <v>0</v>
      </c>
      <c r="K304" s="95" t="n">
        <f aca="false">L304-J304</f>
        <v>0</v>
      </c>
      <c r="L304" s="264" t="n">
        <v>0</v>
      </c>
      <c r="M304" s="96" t="n">
        <f aca="false">L304</f>
        <v>0</v>
      </c>
      <c r="N304" s="96" t="n">
        <f aca="false">L304</f>
        <v>0</v>
      </c>
      <c r="V304" s="161" t="n">
        <f aca="false">D304</f>
        <v>45139</v>
      </c>
      <c r="W304" s="94" t="n">
        <f aca="false">VLOOKUP($D304,tblPriorPrice,4)</f>
        <v>0</v>
      </c>
      <c r="X304" s="162"/>
      <c r="Y304" s="176" t="n">
        <f aca="false">L304</f>
        <v>0</v>
      </c>
      <c r="Z304" s="177" t="n">
        <f aca="false">Y304</f>
        <v>0</v>
      </c>
      <c r="AA304" s="177" t="n">
        <f aca="false">Y304</f>
        <v>0</v>
      </c>
      <c r="AB304" s="94" t="n">
        <f aca="false">VLOOKUP($D304,tblPriorPrice,5)</f>
        <v>0</v>
      </c>
      <c r="AD304" s="176" t="n">
        <f aca="false">L304</f>
        <v>0</v>
      </c>
      <c r="AE304" s="96" t="n">
        <f aca="false">AD304</f>
        <v>0</v>
      </c>
      <c r="AF304" s="97" t="n">
        <f aca="false">AD304</f>
        <v>0</v>
      </c>
      <c r="AG304" s="94" t="n">
        <f aca="false">VLOOKUP($D304,tblPriorPrice,6)</f>
        <v>0</v>
      </c>
      <c r="AH304" s="182"/>
      <c r="AI304" s="189" t="n">
        <f aca="false">AG304+AH304</f>
        <v>0</v>
      </c>
      <c r="AJ304" s="96" t="n">
        <f aca="false">AI304</f>
        <v>0</v>
      </c>
      <c r="AK304" s="97" t="n">
        <f aca="false">AI304</f>
        <v>0</v>
      </c>
      <c r="AL304" s="178" t="n">
        <v>74</v>
      </c>
      <c r="AM304" s="165" t="n">
        <v>0.4</v>
      </c>
      <c r="AN304" s="166" t="n">
        <f aca="false">EnergyCurve!AN304*2</f>
        <v>0</v>
      </c>
      <c r="AO304" s="166" t="n">
        <f aca="false">EnergyCurve!AO304</f>
        <v>0</v>
      </c>
      <c r="AP304" s="166" t="n">
        <f aca="false">AN304*1.25</f>
        <v>0</v>
      </c>
      <c r="AQ304" s="166" t="n">
        <f aca="false">EnergyCurve!AQ304*2</f>
        <v>0</v>
      </c>
      <c r="AR304" s="166" t="n">
        <f aca="false">EnergyCurve!AR304</f>
        <v>0</v>
      </c>
      <c r="AS304" s="166" t="n">
        <f aca="false">EnergyCurve!AS304*1.25</f>
        <v>0</v>
      </c>
      <c r="AT304" s="168" t="n">
        <f aca="false">EnergyCurve!AT304*2*2</f>
        <v>8.83433884019377</v>
      </c>
      <c r="AU304" s="169" t="n">
        <f aca="false">EnergyCurve!AU304</f>
        <v>-0.552146177512111</v>
      </c>
      <c r="AV304" s="169" t="n">
        <f aca="false">AT304*1.25</f>
        <v>11.0429235502422</v>
      </c>
      <c r="AW304" s="168" t="n">
        <f aca="false">EnergyCurve!AW304*2*2</f>
        <v>9.5508</v>
      </c>
      <c r="AX304" s="169" t="n">
        <f aca="false">EnergyCurve!AX304</f>
        <v>-0.596925</v>
      </c>
      <c r="AY304" s="169" t="n">
        <f aca="false">AW304*1.25</f>
        <v>11.9385</v>
      </c>
      <c r="AZ304" s="167" t="n">
        <v>0</v>
      </c>
      <c r="BZ304" s="43" t="n">
        <v>45139</v>
      </c>
      <c r="CA304" s="0" t="n">
        <v>42.6809997558594</v>
      </c>
      <c r="CB304" s="116" t="n">
        <v>0</v>
      </c>
      <c r="CC304" s="116" t="n">
        <v>0</v>
      </c>
      <c r="CD304" s="116" t="n">
        <v>0</v>
      </c>
      <c r="CE304" s="117" t="n">
        <v>0</v>
      </c>
    </row>
    <row r="305" customFormat="false" ht="12.75" hidden="false" customHeight="false" outlineLevel="0" collapsed="false">
      <c r="B305" s="92" t="n">
        <f aca="false">MATCH(YEAR(D305),iSpreads)</f>
        <v>20</v>
      </c>
      <c r="C305" s="0" t="n">
        <f aca="false">MONTH(D305)</f>
        <v>9</v>
      </c>
      <c r="D305" s="93" t="n">
        <f aca="false">+EnergyCurve!D305</f>
        <v>45170</v>
      </c>
      <c r="E305" s="94" t="n">
        <f aca="false">VLOOKUP($D305,tblPriorPrice,2)</f>
        <v>29.8409996032715</v>
      </c>
      <c r="F305" s="95" t="n">
        <f aca="false">G305-E305</f>
        <v>6.38400039672851</v>
      </c>
      <c r="G305" s="264" t="n">
        <f aca="false">IF(EnergyCurve!G305&lt;200,0.001*EnergyCurve!G305+1,1.2)*EnergyCurve!G305</f>
        <v>36.225</v>
      </c>
      <c r="H305" s="96" t="n">
        <f aca="false">IF(EnergyCurve!H305&lt;200,0.001*EnergyCurve!H305+1,1.2)*EnergyCurve!H305</f>
        <v>30.9</v>
      </c>
      <c r="I305" s="96" t="n">
        <f aca="false">IF(EnergyCurve!I305&lt;200,0.001*EnergyCurve!I305+1,1.2)*EnergyCurve!I305</f>
        <v>73.761</v>
      </c>
      <c r="J305" s="94" t="n">
        <f aca="false">VLOOKUP($D305,tblPriorPrice,3)</f>
        <v>0</v>
      </c>
      <c r="K305" s="95" t="n">
        <f aca="false">L305-J305</f>
        <v>0</v>
      </c>
      <c r="L305" s="264" t="n">
        <v>0</v>
      </c>
      <c r="M305" s="96" t="n">
        <f aca="false">L305</f>
        <v>0</v>
      </c>
      <c r="N305" s="96" t="n">
        <f aca="false">L305</f>
        <v>0</v>
      </c>
      <c r="V305" s="161" t="n">
        <f aca="false">D305</f>
        <v>45170</v>
      </c>
      <c r="W305" s="94" t="n">
        <f aca="false">VLOOKUP($D305,tblPriorPrice,4)</f>
        <v>0</v>
      </c>
      <c r="X305" s="162"/>
      <c r="Y305" s="176" t="n">
        <f aca="false">L305</f>
        <v>0</v>
      </c>
      <c r="Z305" s="177" t="n">
        <f aca="false">Y305</f>
        <v>0</v>
      </c>
      <c r="AA305" s="177" t="n">
        <f aca="false">Y305</f>
        <v>0</v>
      </c>
      <c r="AB305" s="94" t="n">
        <f aca="false">VLOOKUP($D305,tblPriorPrice,5)</f>
        <v>0</v>
      </c>
      <c r="AD305" s="176" t="n">
        <f aca="false">L305</f>
        <v>0</v>
      </c>
      <c r="AE305" s="96" t="n">
        <f aca="false">AD305</f>
        <v>0</v>
      </c>
      <c r="AF305" s="97" t="n">
        <f aca="false">AD305</f>
        <v>0</v>
      </c>
      <c r="AG305" s="94" t="n">
        <f aca="false">VLOOKUP($D305,tblPriorPrice,6)</f>
        <v>0</v>
      </c>
      <c r="AH305" s="182"/>
      <c r="AI305" s="189" t="n">
        <f aca="false">AG305+AH305</f>
        <v>0</v>
      </c>
      <c r="AJ305" s="96" t="n">
        <f aca="false">AI305</f>
        <v>0</v>
      </c>
      <c r="AK305" s="97" t="n">
        <f aca="false">AI305</f>
        <v>0</v>
      </c>
      <c r="AL305" s="178" t="n">
        <v>74</v>
      </c>
      <c r="AM305" s="165" t="n">
        <v>0.4</v>
      </c>
      <c r="AN305" s="166" t="n">
        <f aca="false">EnergyCurve!AN305*2</f>
        <v>0</v>
      </c>
      <c r="AO305" s="166" t="n">
        <f aca="false">EnergyCurve!AO305</f>
        <v>0</v>
      </c>
      <c r="AP305" s="166" t="n">
        <f aca="false">AN305*1.25</f>
        <v>0</v>
      </c>
      <c r="AQ305" s="166" t="n">
        <f aca="false">EnergyCurve!AQ305*2</f>
        <v>0</v>
      </c>
      <c r="AR305" s="166" t="n">
        <f aca="false">EnergyCurve!AR305</f>
        <v>0</v>
      </c>
      <c r="AS305" s="166" t="n">
        <f aca="false">EnergyCurve!AS305*1.25</f>
        <v>0</v>
      </c>
      <c r="AT305" s="168" t="n">
        <f aca="false">EnergyCurve!AT305*2*2</f>
        <v>7.29020125079811</v>
      </c>
      <c r="AU305" s="169" t="n">
        <f aca="false">EnergyCurve!AU305</f>
        <v>-0.455637578174882</v>
      </c>
      <c r="AV305" s="169" t="n">
        <f aca="false">AT305*1.25</f>
        <v>9.11275156349763</v>
      </c>
      <c r="AW305" s="168" t="n">
        <f aca="false">EnergyCurve!AW305*2*2</f>
        <v>10.116</v>
      </c>
      <c r="AX305" s="169" t="n">
        <f aca="false">EnergyCurve!AX305</f>
        <v>-0.63225</v>
      </c>
      <c r="AY305" s="169" t="n">
        <f aca="false">AW305*1.25</f>
        <v>12.645</v>
      </c>
      <c r="AZ305" s="167" t="n">
        <v>0</v>
      </c>
      <c r="BZ305" s="43" t="n">
        <v>45170</v>
      </c>
      <c r="CA305" s="0" t="n">
        <v>36.2249984741211</v>
      </c>
      <c r="CB305" s="116" t="n">
        <v>0</v>
      </c>
      <c r="CC305" s="116" t="n">
        <v>0</v>
      </c>
      <c r="CD305" s="116" t="n">
        <v>0</v>
      </c>
      <c r="CE305" s="117" t="n">
        <v>0</v>
      </c>
    </row>
    <row r="306" customFormat="false" ht="12.75" hidden="false" customHeight="false" outlineLevel="0" collapsed="false">
      <c r="B306" s="92" t="n">
        <f aca="false">MATCH(YEAR(D306),iSpreads)</f>
        <v>20</v>
      </c>
      <c r="C306" s="0" t="n">
        <f aca="false">MONTH(D306)</f>
        <v>10</v>
      </c>
      <c r="D306" s="93" t="n">
        <f aca="false">+EnergyCurve!D306</f>
        <v>45200</v>
      </c>
      <c r="E306" s="94" t="n">
        <f aca="false">VLOOKUP($D306,tblPriorPrice,2)</f>
        <v>29.8409996032715</v>
      </c>
      <c r="F306" s="95" t="n">
        <f aca="false">G306-E306</f>
        <v>8.52800039672852</v>
      </c>
      <c r="G306" s="264" t="n">
        <f aca="false">IF(EnergyCurve!G306&lt;200,0.001*EnergyCurve!G306+1,1.2)*EnergyCurve!G306</f>
        <v>38.369</v>
      </c>
      <c r="H306" s="96" t="n">
        <f aca="false">IF(EnergyCurve!H306&lt;200,0.001*EnergyCurve!H306+1,1.2)*EnergyCurve!H306</f>
        <v>33.024</v>
      </c>
      <c r="I306" s="96" t="n">
        <f aca="false">IF(EnergyCurve!I306&lt;200,0.001*EnergyCurve!I306+1,1.2)*EnergyCurve!I306</f>
        <v>76.041</v>
      </c>
      <c r="J306" s="94" t="n">
        <f aca="false">VLOOKUP($D306,tblPriorPrice,3)</f>
        <v>0</v>
      </c>
      <c r="K306" s="95" t="n">
        <f aca="false">L306-J306</f>
        <v>0</v>
      </c>
      <c r="L306" s="264" t="n">
        <v>0</v>
      </c>
      <c r="M306" s="96" t="n">
        <f aca="false">L306</f>
        <v>0</v>
      </c>
      <c r="N306" s="96" t="n">
        <f aca="false">L306</f>
        <v>0</v>
      </c>
      <c r="V306" s="161" t="n">
        <f aca="false">D306</f>
        <v>45200</v>
      </c>
      <c r="W306" s="94" t="n">
        <f aca="false">VLOOKUP($D306,tblPriorPrice,4)</f>
        <v>0</v>
      </c>
      <c r="X306" s="162"/>
      <c r="Y306" s="176" t="n">
        <f aca="false">L306</f>
        <v>0</v>
      </c>
      <c r="Z306" s="177" t="n">
        <f aca="false">Y306</f>
        <v>0</v>
      </c>
      <c r="AA306" s="177" t="n">
        <f aca="false">Y306</f>
        <v>0</v>
      </c>
      <c r="AB306" s="94" t="n">
        <f aca="false">VLOOKUP($D306,tblPriorPrice,5)</f>
        <v>0</v>
      </c>
      <c r="AD306" s="176" t="n">
        <f aca="false">L306</f>
        <v>0</v>
      </c>
      <c r="AE306" s="96" t="n">
        <f aca="false">AD306</f>
        <v>0</v>
      </c>
      <c r="AF306" s="97" t="n">
        <f aca="false">AD306</f>
        <v>0</v>
      </c>
      <c r="AG306" s="94" t="n">
        <f aca="false">VLOOKUP($D306,tblPriorPrice,6)</f>
        <v>0</v>
      </c>
      <c r="AH306" s="182"/>
      <c r="AI306" s="189" t="n">
        <f aca="false">AG306+AH306</f>
        <v>0</v>
      </c>
      <c r="AJ306" s="96" t="n">
        <f aca="false">AI306</f>
        <v>0</v>
      </c>
      <c r="AK306" s="97" t="n">
        <f aca="false">AI306</f>
        <v>0</v>
      </c>
      <c r="AL306" s="178" t="n">
        <v>74</v>
      </c>
      <c r="AM306" s="165" t="n">
        <v>0.4</v>
      </c>
      <c r="AN306" s="166" t="n">
        <f aca="false">EnergyCurve!AN306*2</f>
        <v>0</v>
      </c>
      <c r="AO306" s="166" t="n">
        <f aca="false">EnergyCurve!AO306</f>
        <v>0</v>
      </c>
      <c r="AP306" s="166" t="n">
        <f aca="false">AN306*1.25</f>
        <v>0</v>
      </c>
      <c r="AQ306" s="166" t="n">
        <f aca="false">EnergyCurve!AQ306*2</f>
        <v>0</v>
      </c>
      <c r="AR306" s="166" t="n">
        <f aca="false">EnergyCurve!AR306</f>
        <v>0</v>
      </c>
      <c r="AS306" s="166" t="n">
        <f aca="false">EnergyCurve!AS306*1.25</f>
        <v>0</v>
      </c>
      <c r="AT306" s="168" t="n">
        <f aca="false">EnergyCurve!AT306*2*2</f>
        <v>7.75576329559925</v>
      </c>
      <c r="AU306" s="169" t="n">
        <f aca="false">EnergyCurve!AU306</f>
        <v>-0.484735205974953</v>
      </c>
      <c r="AV306" s="169" t="n">
        <f aca="false">AT306*1.25</f>
        <v>9.69470411949907</v>
      </c>
      <c r="AW306" s="168" t="n">
        <f aca="false">EnergyCurve!AW306*2*2</f>
        <v>9.9276</v>
      </c>
      <c r="AX306" s="169" t="n">
        <f aca="false">EnergyCurve!AX306</f>
        <v>-0.620475</v>
      </c>
      <c r="AY306" s="169" t="n">
        <f aca="false">AW306*1.25</f>
        <v>12.4095</v>
      </c>
      <c r="AZ306" s="167" t="n">
        <v>0</v>
      </c>
      <c r="BZ306" s="43" t="n">
        <v>45200</v>
      </c>
      <c r="CA306" s="0" t="n">
        <v>38.3689994812012</v>
      </c>
      <c r="CB306" s="116" t="n">
        <v>0</v>
      </c>
      <c r="CC306" s="116" t="n">
        <v>0</v>
      </c>
      <c r="CD306" s="116" t="n">
        <v>0</v>
      </c>
      <c r="CE306" s="117" t="n">
        <v>0</v>
      </c>
    </row>
    <row r="307" customFormat="false" ht="12.75" hidden="false" customHeight="false" outlineLevel="0" collapsed="false">
      <c r="B307" s="92" t="n">
        <f aca="false">MATCH(YEAR(D307),iSpreads)</f>
        <v>20</v>
      </c>
      <c r="C307" s="0" t="n">
        <f aca="false">MONTH(D307)</f>
        <v>11</v>
      </c>
      <c r="D307" s="93" t="n">
        <f aca="false">+EnergyCurve!D307</f>
        <v>45231</v>
      </c>
      <c r="E307" s="94" t="n">
        <f aca="false">VLOOKUP($D307,tblPriorPrice,2)</f>
        <v>29.8409996032715</v>
      </c>
      <c r="F307" s="95" t="n">
        <f aca="false">G307-E307</f>
        <v>2.12000039672851</v>
      </c>
      <c r="G307" s="264" t="n">
        <f aca="false">IF(EnergyCurve!G307&lt;200,0.001*EnergyCurve!G307+1,1.2)*EnergyCurve!G307</f>
        <v>31.961</v>
      </c>
      <c r="H307" s="96" t="n">
        <f aca="false">IF(EnergyCurve!H307&lt;200,0.001*EnergyCurve!H307+1,1.2)*EnergyCurve!H307</f>
        <v>26.676</v>
      </c>
      <c r="I307" s="96" t="n">
        <f aca="false">IF(EnergyCurve!I307&lt;200,0.001*EnergyCurve!I307+1,1.2)*EnergyCurve!I307</f>
        <v>69.225</v>
      </c>
      <c r="J307" s="94" t="n">
        <f aca="false">VLOOKUP($D307,tblPriorPrice,3)</f>
        <v>0</v>
      </c>
      <c r="K307" s="95" t="n">
        <f aca="false">L307-J307</f>
        <v>0</v>
      </c>
      <c r="L307" s="264" t="n">
        <v>0</v>
      </c>
      <c r="M307" s="96" t="n">
        <f aca="false">L307</f>
        <v>0</v>
      </c>
      <c r="N307" s="96" t="n">
        <f aca="false">L307</f>
        <v>0</v>
      </c>
      <c r="V307" s="161" t="n">
        <f aca="false">D307</f>
        <v>45231</v>
      </c>
      <c r="W307" s="94" t="n">
        <f aca="false">VLOOKUP($D307,tblPriorPrice,4)</f>
        <v>0</v>
      </c>
      <c r="X307" s="162"/>
      <c r="Y307" s="176" t="n">
        <f aca="false">L307</f>
        <v>0</v>
      </c>
      <c r="Z307" s="177" t="n">
        <f aca="false">Y307</f>
        <v>0</v>
      </c>
      <c r="AA307" s="177" t="n">
        <f aca="false">Y307</f>
        <v>0</v>
      </c>
      <c r="AB307" s="94" t="n">
        <f aca="false">VLOOKUP($D307,tblPriorPrice,5)</f>
        <v>0</v>
      </c>
      <c r="AD307" s="176" t="n">
        <f aca="false">L307</f>
        <v>0</v>
      </c>
      <c r="AE307" s="96" t="n">
        <f aca="false">AD307</f>
        <v>0</v>
      </c>
      <c r="AF307" s="97" t="n">
        <f aca="false">AD307</f>
        <v>0</v>
      </c>
      <c r="AG307" s="94" t="n">
        <f aca="false">VLOOKUP($D307,tblPriorPrice,6)</f>
        <v>0</v>
      </c>
      <c r="AH307" s="182"/>
      <c r="AI307" s="189" t="n">
        <f aca="false">AG307+AH307</f>
        <v>0</v>
      </c>
      <c r="AJ307" s="96" t="n">
        <f aca="false">AI307</f>
        <v>0</v>
      </c>
      <c r="AK307" s="97" t="n">
        <f aca="false">AI307</f>
        <v>0</v>
      </c>
      <c r="AL307" s="178" t="n">
        <v>74</v>
      </c>
      <c r="AM307" s="165" t="n">
        <v>0.4</v>
      </c>
      <c r="AN307" s="166" t="n">
        <f aca="false">EnergyCurve!AN307*2</f>
        <v>0</v>
      </c>
      <c r="AO307" s="166" t="n">
        <f aca="false">EnergyCurve!AO307</f>
        <v>0</v>
      </c>
      <c r="AP307" s="166" t="n">
        <f aca="false">AN307*1.25</f>
        <v>0</v>
      </c>
      <c r="AQ307" s="166" t="n">
        <f aca="false">EnergyCurve!AQ307*2</f>
        <v>0</v>
      </c>
      <c r="AR307" s="166" t="n">
        <f aca="false">EnergyCurve!AR307</f>
        <v>0</v>
      </c>
      <c r="AS307" s="166" t="n">
        <f aca="false">EnergyCurve!AS307*1.25</f>
        <v>0</v>
      </c>
      <c r="AT307" s="168" t="n">
        <f aca="false">EnergyCurve!AT307*2*2</f>
        <v>6.56235962744143</v>
      </c>
      <c r="AU307" s="169" t="n">
        <f aca="false">EnergyCurve!AU307</f>
        <v>-0.410147476715089</v>
      </c>
      <c r="AV307" s="169" t="n">
        <f aca="false">AT307*1.25</f>
        <v>8.20294953430178</v>
      </c>
      <c r="AW307" s="168" t="n">
        <f aca="false">EnergyCurve!AW307*2*2</f>
        <v>10.4928</v>
      </c>
      <c r="AX307" s="169" t="n">
        <f aca="false">EnergyCurve!AX307</f>
        <v>-0.6558</v>
      </c>
      <c r="AY307" s="169" t="n">
        <f aca="false">AW307*1.25</f>
        <v>13.116</v>
      </c>
      <c r="AZ307" s="167" t="n">
        <v>0</v>
      </c>
      <c r="BZ307" s="43" t="n">
        <v>45231</v>
      </c>
      <c r="CA307" s="0" t="n">
        <v>31.9610004425049</v>
      </c>
      <c r="CB307" s="116" t="n">
        <v>0</v>
      </c>
      <c r="CC307" s="116" t="n">
        <v>0</v>
      </c>
      <c r="CD307" s="116" t="n">
        <v>0</v>
      </c>
      <c r="CE307" s="117" t="n">
        <v>0</v>
      </c>
    </row>
    <row r="308" customFormat="false" ht="12.75" hidden="false" customHeight="false" outlineLevel="0" collapsed="false">
      <c r="B308" s="92" t="n">
        <f aca="false">MATCH(YEAR(D308),iSpreads)</f>
        <v>20</v>
      </c>
      <c r="C308" s="0" t="n">
        <f aca="false">MONTH(D308)</f>
        <v>12</v>
      </c>
      <c r="D308" s="93" t="n">
        <f aca="false">+EnergyCurve!D308</f>
        <v>45261</v>
      </c>
      <c r="E308" s="94" t="n">
        <f aca="false">VLOOKUP($D308,tblPriorPrice,2)</f>
        <v>29.8409996032715</v>
      </c>
      <c r="F308" s="95" t="n">
        <f aca="false">G308-E308</f>
        <v>3.18300039672852</v>
      </c>
      <c r="G308" s="264" t="n">
        <f aca="false">IF(EnergyCurve!G308&lt;200,0.001*EnergyCurve!G308+1,1.2)*EnergyCurve!G308</f>
        <v>33.024</v>
      </c>
      <c r="H308" s="96" t="n">
        <f aca="false">IF(EnergyCurve!H308&lt;200,0.001*EnergyCurve!H308+1,1.2)*EnergyCurve!H308</f>
        <v>27.729</v>
      </c>
      <c r="I308" s="96" t="n">
        <f aca="false">IF(EnergyCurve!I308&lt;200,0.001*EnergyCurve!I308+1,1.2)*EnergyCurve!I308</f>
        <v>70.356</v>
      </c>
      <c r="J308" s="94" t="n">
        <f aca="false">VLOOKUP($D308,tblPriorPrice,3)</f>
        <v>0</v>
      </c>
      <c r="K308" s="95" t="n">
        <f aca="false">L308-J308</f>
        <v>0</v>
      </c>
      <c r="L308" s="264" t="n">
        <v>0</v>
      </c>
      <c r="M308" s="96" t="n">
        <f aca="false">L308</f>
        <v>0</v>
      </c>
      <c r="N308" s="96" t="n">
        <f aca="false">L308</f>
        <v>0</v>
      </c>
      <c r="V308" s="161" t="n">
        <f aca="false">D308</f>
        <v>45261</v>
      </c>
      <c r="W308" s="94" t="n">
        <f aca="false">VLOOKUP($D308,tblPriorPrice,4)</f>
        <v>0</v>
      </c>
      <c r="X308" s="162"/>
      <c r="Y308" s="176" t="n">
        <f aca="false">L308</f>
        <v>0</v>
      </c>
      <c r="Z308" s="177" t="n">
        <f aca="false">Y308</f>
        <v>0</v>
      </c>
      <c r="AA308" s="177" t="n">
        <f aca="false">Y308</f>
        <v>0</v>
      </c>
      <c r="AB308" s="94" t="n">
        <f aca="false">VLOOKUP($D308,tblPriorPrice,5)</f>
        <v>0</v>
      </c>
      <c r="AD308" s="176" t="n">
        <f aca="false">L308</f>
        <v>0</v>
      </c>
      <c r="AE308" s="96" t="n">
        <f aca="false">AD308</f>
        <v>0</v>
      </c>
      <c r="AF308" s="97" t="n">
        <f aca="false">AD308</f>
        <v>0</v>
      </c>
      <c r="AG308" s="94" t="n">
        <f aca="false">VLOOKUP($D308,tblPriorPrice,6)</f>
        <v>0</v>
      </c>
      <c r="AH308" s="182"/>
      <c r="AI308" s="189" t="n">
        <f aca="false">AG308+AH308</f>
        <v>0</v>
      </c>
      <c r="AJ308" s="96" t="n">
        <f aca="false">AI308</f>
        <v>0</v>
      </c>
      <c r="AK308" s="97" t="n">
        <f aca="false">AI308</f>
        <v>0</v>
      </c>
      <c r="AL308" s="178" t="n">
        <v>74</v>
      </c>
      <c r="AM308" s="165" t="n">
        <v>0.4</v>
      </c>
      <c r="AN308" s="166" t="n">
        <f aca="false">EnergyCurve!AN308*2</f>
        <v>0</v>
      </c>
      <c r="AO308" s="166" t="n">
        <f aca="false">EnergyCurve!AO308</f>
        <v>0</v>
      </c>
      <c r="AP308" s="166" t="n">
        <f aca="false">AN308*1.25</f>
        <v>0</v>
      </c>
      <c r="AQ308" s="166" t="n">
        <f aca="false">EnergyCurve!AQ308*2</f>
        <v>0</v>
      </c>
      <c r="AR308" s="166" t="n">
        <f aca="false">EnergyCurve!AR308</f>
        <v>0</v>
      </c>
      <c r="AS308" s="166" t="n">
        <f aca="false">EnergyCurve!AS308*1.25</f>
        <v>0</v>
      </c>
      <c r="AT308" s="168" t="n">
        <f aca="false">EnergyCurve!AT308*2*2</f>
        <v>6.71448638739126</v>
      </c>
      <c r="AU308" s="169" t="n">
        <f aca="false">EnergyCurve!AU308</f>
        <v>-0.419655399211954</v>
      </c>
      <c r="AV308" s="169" t="n">
        <f aca="false">AT308*1.25</f>
        <v>8.39310798423907</v>
      </c>
      <c r="AW308" s="168" t="n">
        <f aca="false">EnergyCurve!AW308*2*2</f>
        <v>10.6812</v>
      </c>
      <c r="AX308" s="169" t="n">
        <f aca="false">EnergyCurve!AX308</f>
        <v>-0.667575</v>
      </c>
      <c r="AY308" s="169" t="n">
        <f aca="false">AW308*1.25</f>
        <v>13.3515</v>
      </c>
      <c r="AZ308" s="167" t="n">
        <v>0</v>
      </c>
      <c r="BZ308" s="43" t="n">
        <v>45261</v>
      </c>
      <c r="CA308" s="0" t="n">
        <v>33.0239982604981</v>
      </c>
      <c r="CB308" s="116" t="n">
        <v>0</v>
      </c>
      <c r="CC308" s="116" t="n">
        <v>0</v>
      </c>
      <c r="CD308" s="116" t="n">
        <v>0</v>
      </c>
      <c r="CE308" s="117" t="n">
        <v>0</v>
      </c>
    </row>
    <row r="309" customFormat="false" ht="12.75" hidden="false" customHeight="false" outlineLevel="0" collapsed="false">
      <c r="B309" s="92" t="n">
        <f aca="false">MATCH(YEAR(D309),iSpreads)</f>
        <v>20</v>
      </c>
      <c r="C309" s="0" t="n">
        <f aca="false">MONTH(D309)</f>
        <v>1</v>
      </c>
      <c r="D309" s="93" t="n">
        <f aca="false">+EnergyCurve!D309</f>
        <v>45292</v>
      </c>
      <c r="E309" s="94" t="n">
        <f aca="false">VLOOKUP($D309,tblPriorPrice,2)</f>
        <v>29.8409996032715</v>
      </c>
      <c r="F309" s="95" t="n">
        <f aca="false">G309-E309</f>
        <v>4.24800039672851</v>
      </c>
      <c r="G309" s="264" t="n">
        <f aca="false">IF(EnergyCurve!G309&lt;200,0.001*EnergyCurve!G309+1,1.2)*EnergyCurve!G309</f>
        <v>34.089</v>
      </c>
      <c r="H309" s="96" t="n">
        <f aca="false">IF(EnergyCurve!H309&lt;200,0.001*EnergyCurve!H309+1,1.2)*EnergyCurve!H309</f>
        <v>28.784</v>
      </c>
      <c r="I309" s="96" t="n">
        <f aca="false">IF(EnergyCurve!I309&lt;200,0.001*EnergyCurve!I309+1,1.2)*EnergyCurve!I309</f>
        <v>71.489</v>
      </c>
      <c r="J309" s="94" t="n">
        <f aca="false">VLOOKUP($D309,tblPriorPrice,3)</f>
        <v>0</v>
      </c>
      <c r="K309" s="95" t="n">
        <f aca="false">L309-J309</f>
        <v>0</v>
      </c>
      <c r="L309" s="264" t="n">
        <v>0</v>
      </c>
      <c r="M309" s="96" t="n">
        <f aca="false">L309</f>
        <v>0</v>
      </c>
      <c r="N309" s="96" t="n">
        <f aca="false">L309</f>
        <v>0</v>
      </c>
      <c r="V309" s="161" t="n">
        <f aca="false">D309</f>
        <v>45292</v>
      </c>
      <c r="W309" s="94" t="n">
        <f aca="false">VLOOKUP($D309,tblPriorPrice,4)</f>
        <v>0</v>
      </c>
      <c r="X309" s="162"/>
      <c r="Y309" s="176" t="n">
        <f aca="false">L309</f>
        <v>0</v>
      </c>
      <c r="Z309" s="177" t="n">
        <f aca="false">Y309</f>
        <v>0</v>
      </c>
      <c r="AA309" s="177" t="n">
        <f aca="false">Y309</f>
        <v>0</v>
      </c>
      <c r="AB309" s="94" t="n">
        <f aca="false">VLOOKUP($D309,tblPriorPrice,5)</f>
        <v>0</v>
      </c>
      <c r="AD309" s="176" t="n">
        <f aca="false">L309</f>
        <v>0</v>
      </c>
      <c r="AE309" s="96" t="n">
        <f aca="false">AD309</f>
        <v>0</v>
      </c>
      <c r="AF309" s="97" t="n">
        <f aca="false">AD309</f>
        <v>0</v>
      </c>
      <c r="AG309" s="94" t="n">
        <f aca="false">VLOOKUP($D309,tblPriorPrice,6)</f>
        <v>0</v>
      </c>
      <c r="AH309" s="182"/>
      <c r="AI309" s="189" t="n">
        <f aca="false">AG309+AH309</f>
        <v>0</v>
      </c>
      <c r="AJ309" s="96" t="n">
        <f aca="false">AI309</f>
        <v>0</v>
      </c>
      <c r="AK309" s="97" t="n">
        <f aca="false">AI309</f>
        <v>0</v>
      </c>
      <c r="AL309" s="178" t="n">
        <v>74</v>
      </c>
      <c r="AM309" s="165" t="n">
        <v>0.4</v>
      </c>
      <c r="AN309" s="166" t="n">
        <f aca="false">EnergyCurve!AN309*2</f>
        <v>0</v>
      </c>
      <c r="AO309" s="166" t="n">
        <f aca="false">EnergyCurve!AO309</f>
        <v>0</v>
      </c>
      <c r="AP309" s="166" t="n">
        <f aca="false">AN309*1.25</f>
        <v>0</v>
      </c>
      <c r="AQ309" s="166" t="n">
        <f aca="false">EnergyCurve!AQ309*2</f>
        <v>0</v>
      </c>
      <c r="AR309" s="166" t="n">
        <f aca="false">EnergyCurve!AR309</f>
        <v>0</v>
      </c>
      <c r="AS309" s="166" t="n">
        <f aca="false">EnergyCurve!AS309*1.25</f>
        <v>0</v>
      </c>
      <c r="AT309" s="168" t="n">
        <f aca="false">EnergyCurve!AT309*2*2</f>
        <v>6.88781730529552</v>
      </c>
      <c r="AU309" s="169" t="n">
        <f aca="false">EnergyCurve!AU309</f>
        <v>-0.43048858158097</v>
      </c>
      <c r="AV309" s="169" t="n">
        <f aca="false">AT309*1.25</f>
        <v>8.60977163161941</v>
      </c>
      <c r="AW309" s="168" t="n">
        <f aca="false">EnergyCurve!AW309*2*2</f>
        <v>10.4928</v>
      </c>
      <c r="AX309" s="169" t="n">
        <f aca="false">EnergyCurve!AX309</f>
        <v>-0.6558</v>
      </c>
      <c r="AY309" s="169" t="n">
        <f aca="false">AW309*1.25</f>
        <v>13.116</v>
      </c>
      <c r="AZ309" s="167" t="n">
        <v>0</v>
      </c>
      <c r="BZ309" s="43" t="n">
        <v>45292</v>
      </c>
      <c r="CA309" s="0" t="n">
        <v>34.0890007019043</v>
      </c>
      <c r="CB309" s="116" t="n">
        <v>0</v>
      </c>
      <c r="CC309" s="116" t="n">
        <v>0</v>
      </c>
      <c r="CD309" s="116" t="n">
        <v>0</v>
      </c>
      <c r="CE309" s="117" t="n">
        <v>0</v>
      </c>
    </row>
    <row r="310" customFormat="false" ht="12.75" hidden="false" customHeight="false" outlineLevel="0" collapsed="false">
      <c r="B310" s="92" t="n">
        <f aca="false">MATCH(YEAR(D310),iSpreads)</f>
        <v>20</v>
      </c>
      <c r="C310" s="0" t="n">
        <f aca="false">MONTH(D310)</f>
        <v>2</v>
      </c>
      <c r="D310" s="93" t="n">
        <f aca="false">+EnergyCurve!D310</f>
        <v>45323</v>
      </c>
      <c r="E310" s="94" t="n">
        <f aca="false">VLOOKUP($D310,tblPriorPrice,2)</f>
        <v>29.8409996032715</v>
      </c>
      <c r="F310" s="95" t="n">
        <f aca="false">G310-E310</f>
        <v>1.05900039672852</v>
      </c>
      <c r="G310" s="264" t="n">
        <f aca="false">IF(EnergyCurve!G310&lt;200,0.001*EnergyCurve!G310+1,1.2)*EnergyCurve!G310</f>
        <v>30.9</v>
      </c>
      <c r="H310" s="96" t="n">
        <f aca="false">IF(EnergyCurve!H310&lt;200,0.001*EnergyCurve!H310+1,1.2)*EnergyCurve!H310</f>
        <v>25.625</v>
      </c>
      <c r="I310" s="96" t="n">
        <f aca="false">IF(EnergyCurve!I310&lt;200,0.001*EnergyCurve!I310+1,1.2)*EnergyCurve!I310</f>
        <v>68.096</v>
      </c>
      <c r="J310" s="94" t="n">
        <f aca="false">VLOOKUP($D310,tblPriorPrice,3)</f>
        <v>0</v>
      </c>
      <c r="K310" s="95" t="n">
        <f aca="false">L310-J310</f>
        <v>0</v>
      </c>
      <c r="L310" s="264" t="n">
        <v>0</v>
      </c>
      <c r="M310" s="96" t="n">
        <f aca="false">L310</f>
        <v>0</v>
      </c>
      <c r="N310" s="96" t="n">
        <f aca="false">L310</f>
        <v>0</v>
      </c>
      <c r="V310" s="161" t="n">
        <f aca="false">D310</f>
        <v>45323</v>
      </c>
      <c r="W310" s="94" t="n">
        <f aca="false">VLOOKUP($D310,tblPriorPrice,4)</f>
        <v>0</v>
      </c>
      <c r="X310" s="162"/>
      <c r="Y310" s="176" t="n">
        <f aca="false">L310</f>
        <v>0</v>
      </c>
      <c r="Z310" s="177" t="n">
        <f aca="false">Y310</f>
        <v>0</v>
      </c>
      <c r="AA310" s="177" t="n">
        <f aca="false">Y310</f>
        <v>0</v>
      </c>
      <c r="AB310" s="94" t="n">
        <f aca="false">VLOOKUP($D310,tblPriorPrice,5)</f>
        <v>0</v>
      </c>
      <c r="AD310" s="176" t="n">
        <f aca="false">L310</f>
        <v>0</v>
      </c>
      <c r="AE310" s="96" t="n">
        <f aca="false">AD310</f>
        <v>0</v>
      </c>
      <c r="AF310" s="97" t="n">
        <f aca="false">AD310</f>
        <v>0</v>
      </c>
      <c r="AG310" s="94" t="n">
        <f aca="false">VLOOKUP($D310,tblPriorPrice,6)</f>
        <v>0</v>
      </c>
      <c r="AH310" s="182"/>
      <c r="AI310" s="189" t="n">
        <f aca="false">AG310+AH310</f>
        <v>0</v>
      </c>
      <c r="AJ310" s="96" t="n">
        <f aca="false">AI310</f>
        <v>0</v>
      </c>
      <c r="AK310" s="97" t="n">
        <f aca="false">AI310</f>
        <v>0</v>
      </c>
      <c r="AL310" s="178" t="n">
        <v>74</v>
      </c>
      <c r="AM310" s="165" t="n">
        <v>0.4</v>
      </c>
      <c r="AN310" s="166" t="n">
        <f aca="false">EnergyCurve!AN310*2</f>
        <v>0</v>
      </c>
      <c r="AO310" s="166" t="n">
        <f aca="false">EnergyCurve!AO310</f>
        <v>0</v>
      </c>
      <c r="AP310" s="166" t="n">
        <f aca="false">AN310*1.25</f>
        <v>0</v>
      </c>
      <c r="AQ310" s="166" t="n">
        <f aca="false">EnergyCurve!AQ310*2</f>
        <v>0</v>
      </c>
      <c r="AR310" s="166" t="n">
        <f aca="false">EnergyCurve!AR310</f>
        <v>0</v>
      </c>
      <c r="AS310" s="166" t="n">
        <f aca="false">EnergyCurve!AS310*1.25</f>
        <v>0</v>
      </c>
      <c r="AT310" s="168" t="n">
        <f aca="false">EnergyCurve!AT310*2*2</f>
        <v>6.43371807382396</v>
      </c>
      <c r="AU310" s="169" t="n">
        <f aca="false">EnergyCurve!AU310</f>
        <v>-0.402107379613998</v>
      </c>
      <c r="AV310" s="169" t="n">
        <f aca="false">AT310*1.25</f>
        <v>8.04214759227995</v>
      </c>
      <c r="AW310" s="168" t="n">
        <f aca="false">EnergyCurve!AW310*2*2</f>
        <v>10.587</v>
      </c>
      <c r="AX310" s="169" t="n">
        <f aca="false">EnergyCurve!AX310</f>
        <v>-0.6616875</v>
      </c>
      <c r="AY310" s="169" t="n">
        <f aca="false">AW310*1.25</f>
        <v>13.23375</v>
      </c>
      <c r="AZ310" s="167" t="n">
        <v>0</v>
      </c>
      <c r="BZ310" s="43" t="n">
        <v>45323</v>
      </c>
      <c r="CA310" s="0" t="n">
        <v>30.8999996185303</v>
      </c>
      <c r="CB310" s="116" t="n">
        <v>0</v>
      </c>
      <c r="CC310" s="116" t="n">
        <v>0</v>
      </c>
      <c r="CD310" s="116" t="n">
        <v>0</v>
      </c>
      <c r="CE310" s="117" t="n">
        <v>0</v>
      </c>
    </row>
    <row r="311" customFormat="false" ht="12.75" hidden="false" customHeight="false" outlineLevel="0" collapsed="false">
      <c r="B311" s="92" t="n">
        <f aca="false">MATCH(YEAR(D311),iSpreads)</f>
        <v>20</v>
      </c>
      <c r="C311" s="0" t="n">
        <f aca="false">MONTH(D311)</f>
        <v>3</v>
      </c>
      <c r="D311" s="93" t="n">
        <f aca="false">+EnergyCurve!D311</f>
        <v>45352</v>
      </c>
      <c r="E311" s="94" t="n">
        <f aca="false">VLOOKUP($D311,tblPriorPrice,2)</f>
        <v>29.8409996032715</v>
      </c>
      <c r="F311" s="95" t="n">
        <f aca="false">G311-E311</f>
        <v>3.96728513152311E-007</v>
      </c>
      <c r="G311" s="264" t="n">
        <f aca="false">IF(EnergyCurve!G311&lt;200,0.001*EnergyCurve!G311+1,1.2)*EnergyCurve!G311</f>
        <v>29.841</v>
      </c>
      <c r="H311" s="96" t="n">
        <f aca="false">IF(EnergyCurve!H311&lt;200,0.001*EnergyCurve!H311+1,1.2)*EnergyCurve!H311</f>
        <v>24.576</v>
      </c>
      <c r="I311" s="96" t="n">
        <f aca="false">IF(EnergyCurve!I311&lt;200,0.001*EnergyCurve!I311+1,1.2)*EnergyCurve!I311</f>
        <v>66.969</v>
      </c>
      <c r="J311" s="94" t="n">
        <f aca="false">VLOOKUP($D311,tblPriorPrice,3)</f>
        <v>0</v>
      </c>
      <c r="K311" s="95" t="n">
        <f aca="false">L311-J311</f>
        <v>0</v>
      </c>
      <c r="L311" s="264" t="n">
        <v>0</v>
      </c>
      <c r="M311" s="96" t="n">
        <f aca="false">L311</f>
        <v>0</v>
      </c>
      <c r="N311" s="96" t="n">
        <f aca="false">L311</f>
        <v>0</v>
      </c>
      <c r="V311" s="161" t="n">
        <f aca="false">D311</f>
        <v>45352</v>
      </c>
      <c r="W311" s="94" t="n">
        <f aca="false">VLOOKUP($D311,tblPriorPrice,4)</f>
        <v>0</v>
      </c>
      <c r="X311" s="162"/>
      <c r="Y311" s="176" t="n">
        <f aca="false">L311</f>
        <v>0</v>
      </c>
      <c r="Z311" s="177" t="n">
        <f aca="false">Y311</f>
        <v>0</v>
      </c>
      <c r="AA311" s="177" t="n">
        <f aca="false">Y311</f>
        <v>0</v>
      </c>
      <c r="AB311" s="94" t="n">
        <f aca="false">VLOOKUP($D311,tblPriorPrice,5)</f>
        <v>0</v>
      </c>
      <c r="AD311" s="176" t="n">
        <f aca="false">L311</f>
        <v>0</v>
      </c>
      <c r="AE311" s="96" t="n">
        <f aca="false">AD311</f>
        <v>0</v>
      </c>
      <c r="AF311" s="97" t="n">
        <f aca="false">AD311</f>
        <v>0</v>
      </c>
      <c r="AG311" s="94" t="n">
        <f aca="false">VLOOKUP($D311,tblPriorPrice,6)</f>
        <v>0</v>
      </c>
      <c r="AH311" s="182"/>
      <c r="AI311" s="189" t="n">
        <f aca="false">AG311+AH311</f>
        <v>0</v>
      </c>
      <c r="AJ311" s="96" t="n">
        <f aca="false">AI311</f>
        <v>0</v>
      </c>
      <c r="AK311" s="97" t="n">
        <f aca="false">AI311</f>
        <v>0</v>
      </c>
      <c r="AL311" s="178" t="n">
        <v>74</v>
      </c>
      <c r="AM311" s="165" t="n">
        <v>0.4</v>
      </c>
      <c r="AN311" s="166" t="n">
        <f aca="false">EnergyCurve!AN311*2</f>
        <v>0</v>
      </c>
      <c r="AO311" s="166" t="n">
        <f aca="false">EnergyCurve!AO311</f>
        <v>0</v>
      </c>
      <c r="AP311" s="166" t="n">
        <f aca="false">AN311*1.25</f>
        <v>0</v>
      </c>
      <c r="AQ311" s="166" t="n">
        <f aca="false">EnergyCurve!AQ311*2</f>
        <v>0</v>
      </c>
      <c r="AR311" s="166" t="n">
        <f aca="false">EnergyCurve!AR311</f>
        <v>0</v>
      </c>
      <c r="AS311" s="166" t="n">
        <f aca="false">EnergyCurve!AS311*1.25</f>
        <v>0</v>
      </c>
      <c r="AT311" s="168" t="n">
        <f aca="false">EnergyCurve!AT311*2*2</f>
        <v>6.33113623762127</v>
      </c>
      <c r="AU311" s="169" t="n">
        <f aca="false">EnergyCurve!AU311</f>
        <v>-0.395696014851329</v>
      </c>
      <c r="AV311" s="169" t="n">
        <f aca="false">AT311*1.25</f>
        <v>7.91392029702658</v>
      </c>
      <c r="AW311" s="168" t="n">
        <f aca="false">EnergyCurve!AW311*2*2</f>
        <v>10.6812</v>
      </c>
      <c r="AX311" s="169" t="n">
        <f aca="false">EnergyCurve!AX311</f>
        <v>-0.667575</v>
      </c>
      <c r="AY311" s="169" t="n">
        <f aca="false">AW311*1.25</f>
        <v>13.3515</v>
      </c>
      <c r="AZ311" s="167" t="n">
        <v>0</v>
      </c>
      <c r="BZ311" s="43" t="n">
        <v>45352</v>
      </c>
      <c r="CA311" s="0" t="n">
        <v>29.8409996032715</v>
      </c>
      <c r="CB311" s="116" t="n">
        <v>0</v>
      </c>
      <c r="CC311" s="116" t="n">
        <v>0</v>
      </c>
      <c r="CD311" s="116" t="n">
        <v>0</v>
      </c>
      <c r="CE311" s="117" t="n">
        <v>0</v>
      </c>
    </row>
    <row r="312" customFormat="false" ht="12.75" hidden="false" customHeight="false" outlineLevel="0" collapsed="false">
      <c r="B312" s="92" t="n">
        <f aca="false">MATCH(YEAR(D312),iSpreads)</f>
        <v>20</v>
      </c>
      <c r="C312" s="0" t="n">
        <f aca="false">MONTH(D312)</f>
        <v>4</v>
      </c>
      <c r="D312" s="93" t="n">
        <f aca="false">+EnergyCurve!D312</f>
        <v>45383</v>
      </c>
      <c r="E312" s="94" t="n">
        <f aca="false">VLOOKUP($D312,tblPriorPrice,2)</f>
        <v>29.8409996032715</v>
      </c>
      <c r="F312" s="95" t="n">
        <f aca="false">G312-E312</f>
        <v>3.96728513152311E-007</v>
      </c>
      <c r="G312" s="264" t="n">
        <f aca="false">IF(EnergyCurve!G312&lt;200,0.001*EnergyCurve!G312+1,1.2)*EnergyCurve!G312</f>
        <v>29.841</v>
      </c>
      <c r="H312" s="96" t="n">
        <f aca="false">IF(EnergyCurve!H312&lt;200,0.001*EnergyCurve!H312+1,1.2)*EnergyCurve!H312</f>
        <v>24.576</v>
      </c>
      <c r="I312" s="96" t="n">
        <f aca="false">IF(EnergyCurve!I312&lt;200,0.001*EnergyCurve!I312+1,1.2)*EnergyCurve!I312</f>
        <v>66.969</v>
      </c>
      <c r="J312" s="94" t="n">
        <f aca="false">VLOOKUP($D312,tblPriorPrice,3)</f>
        <v>0</v>
      </c>
      <c r="K312" s="95" t="n">
        <f aca="false">L312-J312</f>
        <v>0</v>
      </c>
      <c r="L312" s="264" t="n">
        <v>0</v>
      </c>
      <c r="M312" s="96" t="n">
        <f aca="false">L312</f>
        <v>0</v>
      </c>
      <c r="N312" s="96" t="n">
        <f aca="false">L312</f>
        <v>0</v>
      </c>
      <c r="V312" s="161" t="n">
        <f aca="false">D312</f>
        <v>45383</v>
      </c>
      <c r="W312" s="94" t="n">
        <f aca="false">VLOOKUP($D312,tblPriorPrice,4)</f>
        <v>0</v>
      </c>
      <c r="X312" s="162"/>
      <c r="Y312" s="176" t="n">
        <f aca="false">L312</f>
        <v>0</v>
      </c>
      <c r="Z312" s="177" t="n">
        <f aca="false">Y312</f>
        <v>0</v>
      </c>
      <c r="AA312" s="177" t="n">
        <f aca="false">Y312</f>
        <v>0</v>
      </c>
      <c r="AB312" s="94" t="n">
        <f aca="false">VLOOKUP($D312,tblPriorPrice,5)</f>
        <v>0</v>
      </c>
      <c r="AD312" s="176" t="n">
        <f aca="false">L312</f>
        <v>0</v>
      </c>
      <c r="AE312" s="96" t="n">
        <f aca="false">AD312</f>
        <v>0</v>
      </c>
      <c r="AF312" s="97" t="n">
        <f aca="false">AD312</f>
        <v>0</v>
      </c>
      <c r="AG312" s="94" t="n">
        <f aca="false">VLOOKUP($D312,tblPriorPrice,6)</f>
        <v>0</v>
      </c>
      <c r="AH312" s="182"/>
      <c r="AI312" s="189" t="n">
        <f aca="false">AG312+AH312</f>
        <v>0</v>
      </c>
      <c r="AJ312" s="96" t="n">
        <f aca="false">AI312</f>
        <v>0</v>
      </c>
      <c r="AK312" s="97" t="n">
        <f aca="false">AI312</f>
        <v>0</v>
      </c>
      <c r="AL312" s="178" t="n">
        <v>74</v>
      </c>
      <c r="AM312" s="165" t="n">
        <v>0.4</v>
      </c>
      <c r="AN312" s="166" t="n">
        <f aca="false">EnergyCurve!AN312*2</f>
        <v>0</v>
      </c>
      <c r="AO312" s="166" t="n">
        <f aca="false">EnergyCurve!AO312</f>
        <v>0</v>
      </c>
      <c r="AP312" s="166" t="n">
        <f aca="false">AN312*1.25</f>
        <v>0</v>
      </c>
      <c r="AQ312" s="166" t="n">
        <f aca="false">EnergyCurve!AQ312*2</f>
        <v>0</v>
      </c>
      <c r="AR312" s="166" t="n">
        <f aca="false">EnergyCurve!AR312</f>
        <v>0</v>
      </c>
      <c r="AS312" s="166" t="n">
        <f aca="false">EnergyCurve!AS312*1.25</f>
        <v>0</v>
      </c>
      <c r="AT312" s="168" t="n">
        <f aca="false">EnergyCurve!AT312*2*2</f>
        <v>6.33113623762127</v>
      </c>
      <c r="AU312" s="169" t="n">
        <f aca="false">EnergyCurve!AU312</f>
        <v>-0.395696014851329</v>
      </c>
      <c r="AV312" s="169" t="n">
        <f aca="false">AT312*1.25</f>
        <v>7.91392029702658</v>
      </c>
      <c r="AW312" s="168" t="n">
        <f aca="false">EnergyCurve!AW312*2*2</f>
        <v>10.6812</v>
      </c>
      <c r="AX312" s="169" t="n">
        <f aca="false">EnergyCurve!AX312</f>
        <v>-0.667575</v>
      </c>
      <c r="AY312" s="169" t="n">
        <f aca="false">AW312*1.25</f>
        <v>13.3515</v>
      </c>
      <c r="AZ312" s="167" t="n">
        <v>0</v>
      </c>
      <c r="BZ312" s="43" t="n">
        <v>45383</v>
      </c>
      <c r="CA312" s="0" t="n">
        <v>29.8409996032715</v>
      </c>
      <c r="CB312" s="116" t="n">
        <v>0</v>
      </c>
      <c r="CC312" s="116" t="n">
        <v>0</v>
      </c>
      <c r="CD312" s="116" t="n">
        <v>0</v>
      </c>
      <c r="CE312" s="117" t="n">
        <v>0</v>
      </c>
    </row>
    <row r="313" customFormat="false" ht="12.75" hidden="false" customHeight="false" outlineLevel="0" collapsed="false">
      <c r="B313" s="92" t="n">
        <f aca="false">MATCH(YEAR(D313),iSpreads)</f>
        <v>20</v>
      </c>
      <c r="C313" s="0" t="n">
        <f aca="false">MONTH(D313)</f>
        <v>5</v>
      </c>
      <c r="D313" s="93" t="n">
        <f aca="false">+EnergyCurve!D313</f>
        <v>45413</v>
      </c>
      <c r="E313" s="94" t="n">
        <f aca="false">VLOOKUP($D313,tblPriorPrice,2)</f>
        <v>29.8409996032715</v>
      </c>
      <c r="F313" s="95" t="n">
        <f aca="false">G313-E313</f>
        <v>3.18300039672852</v>
      </c>
      <c r="G313" s="264" t="n">
        <f aca="false">IF(EnergyCurve!G313&lt;200,0.001*EnergyCurve!G313+1,1.2)*EnergyCurve!G313</f>
        <v>33.024</v>
      </c>
      <c r="H313" s="96" t="n">
        <f aca="false">IF(EnergyCurve!H313&lt;200,0.001*EnergyCurve!H313+1,1.2)*EnergyCurve!H313</f>
        <v>27.729</v>
      </c>
      <c r="I313" s="96" t="n">
        <f aca="false">IF(EnergyCurve!I313&lt;200,0.001*EnergyCurve!I313+1,1.2)*EnergyCurve!I313</f>
        <v>70.356</v>
      </c>
      <c r="J313" s="94" t="n">
        <f aca="false">VLOOKUP($D313,tblPriorPrice,3)</f>
        <v>0</v>
      </c>
      <c r="K313" s="95" t="n">
        <f aca="false">L313-J313</f>
        <v>0</v>
      </c>
      <c r="L313" s="264" t="n">
        <v>0</v>
      </c>
      <c r="M313" s="96" t="n">
        <f aca="false">L313</f>
        <v>0</v>
      </c>
      <c r="N313" s="96" t="n">
        <f aca="false">L313</f>
        <v>0</v>
      </c>
      <c r="V313" s="161" t="n">
        <f aca="false">D313</f>
        <v>45413</v>
      </c>
      <c r="W313" s="94" t="n">
        <f aca="false">VLOOKUP($D313,tblPriorPrice,4)</f>
        <v>0</v>
      </c>
      <c r="X313" s="162"/>
      <c r="Y313" s="176" t="n">
        <f aca="false">L313</f>
        <v>0</v>
      </c>
      <c r="Z313" s="177" t="n">
        <f aca="false">Y313</f>
        <v>0</v>
      </c>
      <c r="AA313" s="177" t="n">
        <f aca="false">Y313</f>
        <v>0</v>
      </c>
      <c r="AB313" s="94" t="n">
        <f aca="false">VLOOKUP($D313,tblPriorPrice,5)</f>
        <v>0</v>
      </c>
      <c r="AD313" s="176" t="n">
        <f aca="false">L313</f>
        <v>0</v>
      </c>
      <c r="AE313" s="96" t="n">
        <f aca="false">AD313</f>
        <v>0</v>
      </c>
      <c r="AF313" s="97" t="n">
        <f aca="false">AD313</f>
        <v>0</v>
      </c>
      <c r="AG313" s="94" t="n">
        <f aca="false">VLOOKUP($D313,tblPriorPrice,6)</f>
        <v>0</v>
      </c>
      <c r="AH313" s="182"/>
      <c r="AI313" s="189" t="n">
        <f aca="false">AG313+AH313</f>
        <v>0</v>
      </c>
      <c r="AJ313" s="96" t="n">
        <f aca="false">AI313</f>
        <v>0</v>
      </c>
      <c r="AK313" s="97" t="n">
        <f aca="false">AI313</f>
        <v>0</v>
      </c>
      <c r="AL313" s="178" t="n">
        <v>74</v>
      </c>
      <c r="AM313" s="165" t="n">
        <v>0.4</v>
      </c>
      <c r="AN313" s="166" t="n">
        <f aca="false">EnergyCurve!AN313*2</f>
        <v>0</v>
      </c>
      <c r="AO313" s="166" t="n">
        <f aca="false">EnergyCurve!AO313</f>
        <v>0</v>
      </c>
      <c r="AP313" s="166" t="n">
        <f aca="false">AN313*1.25</f>
        <v>0</v>
      </c>
      <c r="AQ313" s="166" t="n">
        <f aca="false">EnergyCurve!AQ313*2</f>
        <v>0</v>
      </c>
      <c r="AR313" s="166" t="n">
        <f aca="false">EnergyCurve!AR313</f>
        <v>0</v>
      </c>
      <c r="AS313" s="166" t="n">
        <f aca="false">EnergyCurve!AS313*1.25</f>
        <v>0</v>
      </c>
      <c r="AT313" s="168" t="n">
        <f aca="false">EnergyCurve!AT313*2*2</f>
        <v>6.71448638739126</v>
      </c>
      <c r="AU313" s="169" t="n">
        <f aca="false">EnergyCurve!AU313</f>
        <v>-0.419655399211954</v>
      </c>
      <c r="AV313" s="169" t="n">
        <f aca="false">AT313*1.25</f>
        <v>8.39310798423907</v>
      </c>
      <c r="AW313" s="168" t="n">
        <f aca="false">EnergyCurve!AW313*2*2</f>
        <v>10.3986</v>
      </c>
      <c r="AX313" s="169" t="n">
        <f aca="false">EnergyCurve!AX313</f>
        <v>-0.6499125</v>
      </c>
      <c r="AY313" s="169" t="n">
        <f aca="false">AW313*1.25</f>
        <v>12.99825</v>
      </c>
      <c r="AZ313" s="167" t="n">
        <v>0</v>
      </c>
      <c r="BZ313" s="43" t="n">
        <v>45413</v>
      </c>
      <c r="CA313" s="0" t="n">
        <v>33.0239982604981</v>
      </c>
      <c r="CB313" s="116" t="n">
        <v>0</v>
      </c>
      <c r="CC313" s="116" t="n">
        <v>0</v>
      </c>
      <c r="CD313" s="116" t="n">
        <v>0</v>
      </c>
      <c r="CE313" s="117" t="n">
        <v>0</v>
      </c>
    </row>
    <row r="314" customFormat="false" ht="12.75" hidden="false" customHeight="false" outlineLevel="0" collapsed="false">
      <c r="B314" s="92" t="n">
        <f aca="false">MATCH(YEAR(D314),iSpreads)</f>
        <v>20</v>
      </c>
      <c r="C314" s="0" t="n">
        <f aca="false">MONTH(D314)</f>
        <v>6</v>
      </c>
      <c r="D314" s="93" t="n">
        <f aca="false">+EnergyCurve!D314</f>
        <v>45444</v>
      </c>
      <c r="E314" s="94" t="n">
        <f aca="false">VLOOKUP($D314,tblPriorPrice,2)</f>
        <v>29.8409996032715</v>
      </c>
      <c r="F314" s="95" t="n">
        <f aca="false">G314-E314</f>
        <v>10.6800003967285</v>
      </c>
      <c r="G314" s="264" t="n">
        <f aca="false">IF(EnergyCurve!G314&lt;200,0.001*EnergyCurve!G314+1,1.2)*EnergyCurve!G314</f>
        <v>40.521</v>
      </c>
      <c r="H314" s="96" t="n">
        <f aca="false">IF(EnergyCurve!H314&lt;200,0.001*EnergyCurve!H314+1,1.2)*EnergyCurve!H314</f>
        <v>35.156</v>
      </c>
      <c r="I314" s="96" t="n">
        <f aca="false">IF(EnergyCurve!I314&lt;200,0.001*EnergyCurve!I314+1,1.2)*EnergyCurve!I314</f>
        <v>78.329</v>
      </c>
      <c r="J314" s="94" t="n">
        <f aca="false">VLOOKUP($D314,tblPriorPrice,3)</f>
        <v>0</v>
      </c>
      <c r="K314" s="95" t="n">
        <f aca="false">L314-J314</f>
        <v>0</v>
      </c>
      <c r="L314" s="264" t="n">
        <v>0</v>
      </c>
      <c r="M314" s="96" t="n">
        <f aca="false">L314</f>
        <v>0</v>
      </c>
      <c r="N314" s="96" t="n">
        <f aca="false">L314</f>
        <v>0</v>
      </c>
      <c r="V314" s="161" t="n">
        <f aca="false">D314</f>
        <v>45444</v>
      </c>
      <c r="W314" s="94" t="n">
        <f aca="false">VLOOKUP($D314,tblPriorPrice,4)</f>
        <v>0</v>
      </c>
      <c r="X314" s="162"/>
      <c r="Y314" s="176" t="n">
        <f aca="false">L314</f>
        <v>0</v>
      </c>
      <c r="Z314" s="177" t="n">
        <f aca="false">Y314</f>
        <v>0</v>
      </c>
      <c r="AA314" s="177" t="n">
        <f aca="false">Y314</f>
        <v>0</v>
      </c>
      <c r="AB314" s="94" t="n">
        <f aca="false">VLOOKUP($D314,tblPriorPrice,5)</f>
        <v>0</v>
      </c>
      <c r="AD314" s="176" t="n">
        <f aca="false">L314</f>
        <v>0</v>
      </c>
      <c r="AE314" s="96" t="n">
        <f aca="false">AD314</f>
        <v>0</v>
      </c>
      <c r="AF314" s="97" t="n">
        <f aca="false">AD314</f>
        <v>0</v>
      </c>
      <c r="AG314" s="94" t="n">
        <f aca="false">VLOOKUP($D314,tblPriorPrice,6)</f>
        <v>0</v>
      </c>
      <c r="AH314" s="182"/>
      <c r="AI314" s="189" t="n">
        <f aca="false">AG314+AH314</f>
        <v>0</v>
      </c>
      <c r="AJ314" s="96" t="n">
        <f aca="false">AI314</f>
        <v>0</v>
      </c>
      <c r="AK314" s="97" t="n">
        <f aca="false">AI314</f>
        <v>0</v>
      </c>
      <c r="AL314" s="178" t="n">
        <v>74</v>
      </c>
      <c r="AM314" s="165" t="n">
        <v>0.4</v>
      </c>
      <c r="AN314" s="166" t="n">
        <f aca="false">EnergyCurve!AN314*2</f>
        <v>0</v>
      </c>
      <c r="AO314" s="166" t="n">
        <f aca="false">EnergyCurve!AO314</f>
        <v>0</v>
      </c>
      <c r="AP314" s="166" t="n">
        <f aca="false">AN314*1.25</f>
        <v>0</v>
      </c>
      <c r="AQ314" s="166" t="n">
        <f aca="false">EnergyCurve!AQ314*2</f>
        <v>0</v>
      </c>
      <c r="AR314" s="166" t="n">
        <f aca="false">EnergyCurve!AR314</f>
        <v>0</v>
      </c>
      <c r="AS314" s="166" t="n">
        <f aca="false">EnergyCurve!AS314*1.25</f>
        <v>0</v>
      </c>
      <c r="AT314" s="168" t="n">
        <f aca="false">EnergyCurve!AT314*2*2</f>
        <v>8.27346121695085</v>
      </c>
      <c r="AU314" s="169" t="n">
        <f aca="false">EnergyCurve!AU314</f>
        <v>-0.517091326059428</v>
      </c>
      <c r="AV314" s="169" t="n">
        <f aca="false">AT314*1.25</f>
        <v>10.3418265211886</v>
      </c>
      <c r="AW314" s="168" t="n">
        <f aca="false">EnergyCurve!AW314*2*2</f>
        <v>9.7392</v>
      </c>
      <c r="AX314" s="169" t="n">
        <f aca="false">EnergyCurve!AX314</f>
        <v>-0.6087</v>
      </c>
      <c r="AY314" s="169" t="n">
        <f aca="false">AW314*1.25</f>
        <v>12.174</v>
      </c>
      <c r="AZ314" s="167" t="n">
        <v>0</v>
      </c>
      <c r="BZ314" s="43" t="n">
        <v>45444</v>
      </c>
      <c r="CA314" s="0" t="n">
        <v>40.5209999084473</v>
      </c>
      <c r="CB314" s="116" t="n">
        <v>0</v>
      </c>
      <c r="CC314" s="116" t="n">
        <v>0</v>
      </c>
      <c r="CD314" s="116" t="n">
        <v>0</v>
      </c>
      <c r="CE314" s="117" t="n">
        <v>0</v>
      </c>
    </row>
    <row r="315" customFormat="false" ht="12.75" hidden="false" customHeight="false" outlineLevel="0" collapsed="false">
      <c r="B315" s="92" t="n">
        <f aca="false">MATCH(YEAR(D315),iSpreads)</f>
        <v>20</v>
      </c>
      <c r="C315" s="0" t="n">
        <f aca="false">MONTH(D315)</f>
        <v>7</v>
      </c>
      <c r="D315" s="93" t="n">
        <f aca="false">+EnergyCurve!D315</f>
        <v>45474</v>
      </c>
      <c r="E315" s="94" t="n">
        <f aca="false">VLOOKUP($D315,tblPriorPrice,2)</f>
        <v>29.8409996032715</v>
      </c>
      <c r="F315" s="95" t="n">
        <f aca="false">G315-E315</f>
        <v>10.6800003967285</v>
      </c>
      <c r="G315" s="264" t="n">
        <f aca="false">IF(EnergyCurve!G315&lt;200,0.001*EnergyCurve!G315+1,1.2)*EnergyCurve!G315</f>
        <v>40.521</v>
      </c>
      <c r="H315" s="96" t="n">
        <f aca="false">IF(EnergyCurve!H315&lt;200,0.001*EnergyCurve!H315+1,1.2)*EnergyCurve!H315</f>
        <v>35.156</v>
      </c>
      <c r="I315" s="96" t="n">
        <f aca="false">IF(EnergyCurve!I315&lt;200,0.001*EnergyCurve!I315+1,1.2)*EnergyCurve!I315</f>
        <v>78.329</v>
      </c>
      <c r="J315" s="94" t="n">
        <f aca="false">VLOOKUP($D315,tblPriorPrice,3)</f>
        <v>0</v>
      </c>
      <c r="K315" s="95" t="n">
        <f aca="false">L315-J315</f>
        <v>0</v>
      </c>
      <c r="L315" s="264" t="n">
        <v>0</v>
      </c>
      <c r="M315" s="96" t="n">
        <f aca="false">L315</f>
        <v>0</v>
      </c>
      <c r="N315" s="96" t="n">
        <f aca="false">L315</f>
        <v>0</v>
      </c>
      <c r="V315" s="161" t="n">
        <f aca="false">D315</f>
        <v>45474</v>
      </c>
      <c r="W315" s="94" t="n">
        <f aca="false">VLOOKUP($D315,tblPriorPrice,4)</f>
        <v>0</v>
      </c>
      <c r="X315" s="162"/>
      <c r="Y315" s="176" t="n">
        <f aca="false">L315</f>
        <v>0</v>
      </c>
      <c r="Z315" s="177" t="n">
        <f aca="false">Y315</f>
        <v>0</v>
      </c>
      <c r="AA315" s="177" t="n">
        <f aca="false">Y315</f>
        <v>0</v>
      </c>
      <c r="AB315" s="94" t="n">
        <f aca="false">VLOOKUP($D315,tblPriorPrice,5)</f>
        <v>0</v>
      </c>
      <c r="AD315" s="176" t="n">
        <f aca="false">L315</f>
        <v>0</v>
      </c>
      <c r="AE315" s="96" t="n">
        <f aca="false">AD315</f>
        <v>0</v>
      </c>
      <c r="AF315" s="97" t="n">
        <f aca="false">AD315</f>
        <v>0</v>
      </c>
      <c r="AG315" s="94" t="n">
        <f aca="false">VLOOKUP($D315,tblPriorPrice,6)</f>
        <v>0</v>
      </c>
      <c r="AH315" s="182"/>
      <c r="AI315" s="189" t="n">
        <f aca="false">AG315+AH315</f>
        <v>0</v>
      </c>
      <c r="AJ315" s="96" t="n">
        <f aca="false">AI315</f>
        <v>0</v>
      </c>
      <c r="AK315" s="97" t="n">
        <f aca="false">AI315</f>
        <v>0</v>
      </c>
      <c r="AL315" s="178" t="n">
        <v>74</v>
      </c>
      <c r="AM315" s="165" t="n">
        <v>0.4</v>
      </c>
      <c r="AN315" s="166" t="n">
        <f aca="false">EnergyCurve!AN315*2</f>
        <v>0</v>
      </c>
      <c r="AO315" s="166" t="n">
        <f aca="false">EnergyCurve!AO315</f>
        <v>0</v>
      </c>
      <c r="AP315" s="166" t="n">
        <f aca="false">AN315*1.25</f>
        <v>0</v>
      </c>
      <c r="AQ315" s="166" t="n">
        <f aca="false">EnergyCurve!AQ315*2</f>
        <v>0</v>
      </c>
      <c r="AR315" s="166" t="n">
        <f aca="false">EnergyCurve!AR315</f>
        <v>0</v>
      </c>
      <c r="AS315" s="166" t="n">
        <f aca="false">EnergyCurve!AS315*1.25</f>
        <v>0</v>
      </c>
      <c r="AT315" s="168" t="n">
        <f aca="false">EnergyCurve!AT315*2*2</f>
        <v>8.27346121695085</v>
      </c>
      <c r="AU315" s="169" t="n">
        <f aca="false">EnergyCurve!AU315</f>
        <v>-0.517091326059428</v>
      </c>
      <c r="AV315" s="169" t="n">
        <f aca="false">AT315*1.25</f>
        <v>10.3418265211886</v>
      </c>
      <c r="AW315" s="168" t="n">
        <f aca="false">EnergyCurve!AW315*2*2</f>
        <v>9.7392</v>
      </c>
      <c r="AX315" s="169" t="n">
        <f aca="false">EnergyCurve!AX315</f>
        <v>-0.6087</v>
      </c>
      <c r="AY315" s="169" t="n">
        <f aca="false">AW315*1.25</f>
        <v>12.174</v>
      </c>
      <c r="AZ315" s="167" t="n">
        <v>0</v>
      </c>
      <c r="BZ315" s="43" t="n">
        <v>45474</v>
      </c>
      <c r="CA315" s="0" t="n">
        <v>40.5209999084473</v>
      </c>
      <c r="CB315" s="116" t="n">
        <v>0</v>
      </c>
      <c r="CC315" s="116" t="n">
        <v>0</v>
      </c>
      <c r="CD315" s="116" t="n">
        <v>0</v>
      </c>
      <c r="CE315" s="117" t="n">
        <v>0</v>
      </c>
    </row>
    <row r="316" customFormat="false" ht="12.75" hidden="false" customHeight="false" outlineLevel="0" collapsed="false">
      <c r="B316" s="92" t="n">
        <f aca="false">MATCH(YEAR(D316),iSpreads)</f>
        <v>20</v>
      </c>
      <c r="C316" s="0" t="n">
        <f aca="false">MONTH(D316)</f>
        <v>8</v>
      </c>
      <c r="D316" s="93" t="n">
        <f aca="false">+EnergyCurve!D316</f>
        <v>45505</v>
      </c>
      <c r="E316" s="94" t="n">
        <f aca="false">VLOOKUP($D316,tblPriorPrice,2)</f>
        <v>29.8409996032715</v>
      </c>
      <c r="F316" s="95" t="n">
        <f aca="false">G316-E316</f>
        <v>12.8400003967285</v>
      </c>
      <c r="G316" s="264" t="n">
        <f aca="false">IF(EnergyCurve!G316&lt;200,0.001*EnergyCurve!G316+1,1.2)*EnergyCurve!G316</f>
        <v>42.681</v>
      </c>
      <c r="H316" s="96" t="n">
        <f aca="false">IF(EnergyCurve!H316&lt;200,0.001*EnergyCurve!H316+1,1.2)*EnergyCurve!H316</f>
        <v>37.296</v>
      </c>
      <c r="I316" s="96" t="n">
        <f aca="false">IF(EnergyCurve!I316&lt;200,0.001*EnergyCurve!I316+1,1.2)*EnergyCurve!I316</f>
        <v>80.625</v>
      </c>
      <c r="J316" s="94" t="n">
        <f aca="false">VLOOKUP($D316,tblPriorPrice,3)</f>
        <v>0</v>
      </c>
      <c r="K316" s="95" t="n">
        <f aca="false">L316-J316</f>
        <v>0</v>
      </c>
      <c r="L316" s="264" t="n">
        <v>0</v>
      </c>
      <c r="M316" s="96" t="n">
        <f aca="false">L316</f>
        <v>0</v>
      </c>
      <c r="N316" s="96" t="n">
        <f aca="false">L316</f>
        <v>0</v>
      </c>
      <c r="V316" s="161" t="n">
        <f aca="false">D316</f>
        <v>45505</v>
      </c>
      <c r="W316" s="94" t="n">
        <f aca="false">VLOOKUP($D316,tblPriorPrice,4)</f>
        <v>0</v>
      </c>
      <c r="X316" s="162"/>
      <c r="Y316" s="176" t="n">
        <f aca="false">L316</f>
        <v>0</v>
      </c>
      <c r="Z316" s="177" t="n">
        <f aca="false">Y316</f>
        <v>0</v>
      </c>
      <c r="AA316" s="177" t="n">
        <f aca="false">Y316</f>
        <v>0</v>
      </c>
      <c r="AB316" s="94" t="n">
        <f aca="false">VLOOKUP($D316,tblPriorPrice,5)</f>
        <v>0</v>
      </c>
      <c r="AD316" s="176" t="n">
        <f aca="false">L316</f>
        <v>0</v>
      </c>
      <c r="AE316" s="96" t="n">
        <f aca="false">AD316</f>
        <v>0</v>
      </c>
      <c r="AF316" s="97" t="n">
        <f aca="false">AD316</f>
        <v>0</v>
      </c>
      <c r="AG316" s="94" t="n">
        <f aca="false">VLOOKUP($D316,tblPriorPrice,6)</f>
        <v>0</v>
      </c>
      <c r="AH316" s="182"/>
      <c r="AI316" s="189" t="n">
        <f aca="false">AG316+AH316</f>
        <v>0</v>
      </c>
      <c r="AJ316" s="96" t="n">
        <f aca="false">AI316</f>
        <v>0</v>
      </c>
      <c r="AK316" s="97" t="n">
        <f aca="false">AI316</f>
        <v>0</v>
      </c>
      <c r="AL316" s="178" t="n">
        <v>74</v>
      </c>
      <c r="AM316" s="165" t="n">
        <v>0.4</v>
      </c>
      <c r="AN316" s="166" t="n">
        <f aca="false">EnergyCurve!AN316*2</f>
        <v>0</v>
      </c>
      <c r="AO316" s="166" t="n">
        <f aca="false">EnergyCurve!AO316</f>
        <v>0</v>
      </c>
      <c r="AP316" s="166" t="n">
        <f aca="false">AN316*1.25</f>
        <v>0</v>
      </c>
      <c r="AQ316" s="166" t="n">
        <f aca="false">EnergyCurve!AQ316*2</f>
        <v>0</v>
      </c>
      <c r="AR316" s="166" t="n">
        <f aca="false">EnergyCurve!AR316</f>
        <v>0</v>
      </c>
      <c r="AS316" s="166" t="n">
        <f aca="false">EnergyCurve!AS316*1.25</f>
        <v>0</v>
      </c>
      <c r="AT316" s="168" t="n">
        <f aca="false">EnergyCurve!AT316*2*2</f>
        <v>8.83433884019377</v>
      </c>
      <c r="AU316" s="169" t="n">
        <f aca="false">EnergyCurve!AU316</f>
        <v>-0.552146177512111</v>
      </c>
      <c r="AV316" s="169" t="n">
        <f aca="false">AT316*1.25</f>
        <v>11.0429235502422</v>
      </c>
      <c r="AW316" s="168" t="n">
        <f aca="false">EnergyCurve!AW316*2*2</f>
        <v>9.5508</v>
      </c>
      <c r="AX316" s="169" t="n">
        <f aca="false">EnergyCurve!AX316</f>
        <v>-0.596925</v>
      </c>
      <c r="AY316" s="169" t="n">
        <f aca="false">AW316*1.25</f>
        <v>11.9385</v>
      </c>
      <c r="AZ316" s="167" t="n">
        <v>0</v>
      </c>
      <c r="BZ316" s="43" t="n">
        <v>45505</v>
      </c>
      <c r="CA316" s="0" t="n">
        <v>42.6809997558594</v>
      </c>
      <c r="CB316" s="116" t="n">
        <v>0</v>
      </c>
      <c r="CC316" s="116" t="n">
        <v>0</v>
      </c>
      <c r="CD316" s="116" t="n">
        <v>0</v>
      </c>
      <c r="CE316" s="117" t="n">
        <v>0</v>
      </c>
    </row>
    <row r="317" customFormat="false" ht="12.75" hidden="false" customHeight="false" outlineLevel="0" collapsed="false">
      <c r="B317" s="92" t="n">
        <f aca="false">MATCH(YEAR(D317),iSpreads)</f>
        <v>20</v>
      </c>
      <c r="C317" s="0" t="n">
        <f aca="false">MONTH(D317)</f>
        <v>9</v>
      </c>
      <c r="D317" s="93" t="n">
        <f aca="false">+EnergyCurve!D317</f>
        <v>45536</v>
      </c>
      <c r="E317" s="94" t="n">
        <f aca="false">VLOOKUP($D317,tblPriorPrice,2)</f>
        <v>29.8409996032715</v>
      </c>
      <c r="F317" s="95" t="n">
        <f aca="false">G317-E317</f>
        <v>6.38400039672851</v>
      </c>
      <c r="G317" s="264" t="n">
        <f aca="false">IF(EnergyCurve!G317&lt;200,0.001*EnergyCurve!G317+1,1.2)*EnergyCurve!G317</f>
        <v>36.225</v>
      </c>
      <c r="H317" s="96" t="n">
        <f aca="false">IF(EnergyCurve!H317&lt;200,0.001*EnergyCurve!H317+1,1.2)*EnergyCurve!H317</f>
        <v>30.9</v>
      </c>
      <c r="I317" s="96" t="n">
        <f aca="false">IF(EnergyCurve!I317&lt;200,0.001*EnergyCurve!I317+1,1.2)*EnergyCurve!I317</f>
        <v>73.761</v>
      </c>
      <c r="J317" s="94" t="n">
        <f aca="false">VLOOKUP($D317,tblPriorPrice,3)</f>
        <v>0</v>
      </c>
      <c r="K317" s="95" t="n">
        <f aca="false">L317-J317</f>
        <v>0</v>
      </c>
      <c r="L317" s="264" t="n">
        <v>0</v>
      </c>
      <c r="M317" s="96" t="n">
        <f aca="false">L317</f>
        <v>0</v>
      </c>
      <c r="N317" s="96" t="n">
        <f aca="false">L317</f>
        <v>0</v>
      </c>
      <c r="V317" s="161" t="n">
        <f aca="false">D317</f>
        <v>45536</v>
      </c>
      <c r="W317" s="94" t="n">
        <f aca="false">VLOOKUP($D317,tblPriorPrice,4)</f>
        <v>0</v>
      </c>
      <c r="X317" s="162"/>
      <c r="Y317" s="176" t="n">
        <f aca="false">L317</f>
        <v>0</v>
      </c>
      <c r="Z317" s="177" t="n">
        <f aca="false">Y317</f>
        <v>0</v>
      </c>
      <c r="AA317" s="177" t="n">
        <f aca="false">Y317</f>
        <v>0</v>
      </c>
      <c r="AB317" s="94" t="n">
        <f aca="false">VLOOKUP($D317,tblPriorPrice,5)</f>
        <v>0</v>
      </c>
      <c r="AD317" s="176" t="n">
        <f aca="false">L317</f>
        <v>0</v>
      </c>
      <c r="AE317" s="96" t="n">
        <f aca="false">AD317</f>
        <v>0</v>
      </c>
      <c r="AF317" s="97" t="n">
        <f aca="false">AD317</f>
        <v>0</v>
      </c>
      <c r="AG317" s="94" t="n">
        <f aca="false">VLOOKUP($D317,tblPriorPrice,6)</f>
        <v>0</v>
      </c>
      <c r="AH317" s="182"/>
      <c r="AI317" s="189" t="n">
        <f aca="false">AG317+AH317</f>
        <v>0</v>
      </c>
      <c r="AJ317" s="96" t="n">
        <f aca="false">AI317</f>
        <v>0</v>
      </c>
      <c r="AK317" s="97" t="n">
        <f aca="false">AI317</f>
        <v>0</v>
      </c>
      <c r="AL317" s="178" t="n">
        <v>74</v>
      </c>
      <c r="AM317" s="165" t="n">
        <v>0.4</v>
      </c>
      <c r="AN317" s="166" t="n">
        <f aca="false">EnergyCurve!AN317*2</f>
        <v>0</v>
      </c>
      <c r="AO317" s="166" t="n">
        <f aca="false">EnergyCurve!AO317</f>
        <v>0</v>
      </c>
      <c r="AP317" s="166" t="n">
        <f aca="false">AN317*1.25</f>
        <v>0</v>
      </c>
      <c r="AQ317" s="166" t="n">
        <f aca="false">EnergyCurve!AQ317*2</f>
        <v>0</v>
      </c>
      <c r="AR317" s="166" t="n">
        <f aca="false">EnergyCurve!AR317</f>
        <v>0</v>
      </c>
      <c r="AS317" s="166" t="n">
        <f aca="false">EnergyCurve!AS317*1.25</f>
        <v>0</v>
      </c>
      <c r="AT317" s="168" t="n">
        <f aca="false">EnergyCurve!AT317*2*2</f>
        <v>7.29020125079811</v>
      </c>
      <c r="AU317" s="169" t="n">
        <f aca="false">EnergyCurve!AU317</f>
        <v>-0.455637578174882</v>
      </c>
      <c r="AV317" s="169" t="n">
        <f aca="false">AT317*1.25</f>
        <v>9.11275156349763</v>
      </c>
      <c r="AW317" s="168" t="n">
        <f aca="false">EnergyCurve!AW317*2*2</f>
        <v>10.116</v>
      </c>
      <c r="AX317" s="169" t="n">
        <f aca="false">EnergyCurve!AX317</f>
        <v>-0.63225</v>
      </c>
      <c r="AY317" s="169" t="n">
        <f aca="false">AW317*1.25</f>
        <v>12.645</v>
      </c>
      <c r="AZ317" s="167" t="n">
        <v>0</v>
      </c>
      <c r="BZ317" s="43" t="n">
        <v>45536</v>
      </c>
      <c r="CA317" s="0" t="n">
        <v>36.2249984741211</v>
      </c>
      <c r="CB317" s="116" t="n">
        <v>0</v>
      </c>
      <c r="CC317" s="116" t="n">
        <v>0</v>
      </c>
      <c r="CD317" s="116" t="n">
        <v>0</v>
      </c>
      <c r="CE317" s="117" t="n">
        <v>0</v>
      </c>
    </row>
    <row r="318" customFormat="false" ht="12.75" hidden="false" customHeight="false" outlineLevel="0" collapsed="false">
      <c r="B318" s="92" t="n">
        <f aca="false">MATCH(YEAR(D318),iSpreads)</f>
        <v>20</v>
      </c>
      <c r="C318" s="0" t="n">
        <f aca="false">MONTH(D318)</f>
        <v>10</v>
      </c>
      <c r="D318" s="93" t="n">
        <f aca="false">+EnergyCurve!D318</f>
        <v>45566</v>
      </c>
      <c r="E318" s="94" t="n">
        <f aca="false">VLOOKUP($D318,tblPriorPrice,2)</f>
        <v>29.8409996032715</v>
      </c>
      <c r="F318" s="95" t="n">
        <f aca="false">G318-E318</f>
        <v>8.52800039672852</v>
      </c>
      <c r="G318" s="264" t="n">
        <f aca="false">IF(EnergyCurve!G318&lt;200,0.001*EnergyCurve!G318+1,1.2)*EnergyCurve!G318</f>
        <v>38.369</v>
      </c>
      <c r="H318" s="96" t="n">
        <f aca="false">IF(EnergyCurve!H318&lt;200,0.001*EnergyCurve!H318+1,1.2)*EnergyCurve!H318</f>
        <v>33.024</v>
      </c>
      <c r="I318" s="96" t="n">
        <f aca="false">IF(EnergyCurve!I318&lt;200,0.001*EnergyCurve!I318+1,1.2)*EnergyCurve!I318</f>
        <v>76.041</v>
      </c>
      <c r="J318" s="94" t="n">
        <f aca="false">VLOOKUP($D318,tblPriorPrice,3)</f>
        <v>0</v>
      </c>
      <c r="K318" s="95" t="n">
        <f aca="false">L318-J318</f>
        <v>0</v>
      </c>
      <c r="L318" s="264" t="n">
        <v>0</v>
      </c>
      <c r="M318" s="96" t="n">
        <f aca="false">L318</f>
        <v>0</v>
      </c>
      <c r="N318" s="96" t="n">
        <f aca="false">L318</f>
        <v>0</v>
      </c>
      <c r="V318" s="161" t="n">
        <f aca="false">D318</f>
        <v>45566</v>
      </c>
      <c r="W318" s="94" t="n">
        <f aca="false">VLOOKUP($D318,tblPriorPrice,4)</f>
        <v>0</v>
      </c>
      <c r="X318" s="162"/>
      <c r="Y318" s="176" t="n">
        <f aca="false">L318</f>
        <v>0</v>
      </c>
      <c r="Z318" s="177" t="n">
        <f aca="false">Y318</f>
        <v>0</v>
      </c>
      <c r="AA318" s="177" t="n">
        <f aca="false">Y318</f>
        <v>0</v>
      </c>
      <c r="AB318" s="94" t="n">
        <f aca="false">VLOOKUP($D318,tblPriorPrice,5)</f>
        <v>0</v>
      </c>
      <c r="AD318" s="176" t="n">
        <f aca="false">L318</f>
        <v>0</v>
      </c>
      <c r="AE318" s="96" t="n">
        <f aca="false">AD318</f>
        <v>0</v>
      </c>
      <c r="AF318" s="97" t="n">
        <f aca="false">AD318</f>
        <v>0</v>
      </c>
      <c r="AG318" s="94" t="n">
        <f aca="false">VLOOKUP($D318,tblPriorPrice,6)</f>
        <v>0</v>
      </c>
      <c r="AH318" s="182"/>
      <c r="AI318" s="189" t="n">
        <f aca="false">AG318+AH318</f>
        <v>0</v>
      </c>
      <c r="AJ318" s="96" t="n">
        <f aca="false">AI318</f>
        <v>0</v>
      </c>
      <c r="AK318" s="97" t="n">
        <f aca="false">AI318</f>
        <v>0</v>
      </c>
      <c r="AL318" s="178" t="n">
        <v>74</v>
      </c>
      <c r="AM318" s="165" t="n">
        <v>0.4</v>
      </c>
      <c r="AN318" s="166" t="n">
        <f aca="false">EnergyCurve!AN318*2</f>
        <v>0</v>
      </c>
      <c r="AO318" s="166" t="n">
        <f aca="false">EnergyCurve!AO318</f>
        <v>0</v>
      </c>
      <c r="AP318" s="166" t="n">
        <f aca="false">AN318*1.25</f>
        <v>0</v>
      </c>
      <c r="AQ318" s="166" t="n">
        <f aca="false">EnergyCurve!AQ318*2</f>
        <v>0</v>
      </c>
      <c r="AR318" s="166" t="n">
        <f aca="false">EnergyCurve!AR318</f>
        <v>0</v>
      </c>
      <c r="AS318" s="166" t="n">
        <f aca="false">EnergyCurve!AS318*1.25</f>
        <v>0</v>
      </c>
      <c r="AT318" s="168" t="n">
        <f aca="false">EnergyCurve!AT318*2*2</f>
        <v>7.75576329559925</v>
      </c>
      <c r="AU318" s="169" t="n">
        <f aca="false">EnergyCurve!AU318</f>
        <v>-0.484735205974953</v>
      </c>
      <c r="AV318" s="169" t="n">
        <f aca="false">AT318*1.25</f>
        <v>9.69470411949907</v>
      </c>
      <c r="AW318" s="168" t="n">
        <f aca="false">EnergyCurve!AW318*2*2</f>
        <v>9.9276</v>
      </c>
      <c r="AX318" s="169" t="n">
        <f aca="false">EnergyCurve!AX318</f>
        <v>-0.620475</v>
      </c>
      <c r="AY318" s="169" t="n">
        <f aca="false">AW318*1.25</f>
        <v>12.4095</v>
      </c>
      <c r="AZ318" s="167" t="n">
        <v>0</v>
      </c>
      <c r="BZ318" s="43" t="n">
        <v>45566</v>
      </c>
      <c r="CA318" s="0" t="n">
        <v>38.3689994812012</v>
      </c>
      <c r="CB318" s="116" t="n">
        <v>0</v>
      </c>
      <c r="CC318" s="116" t="n">
        <v>0</v>
      </c>
      <c r="CD318" s="116" t="n">
        <v>0</v>
      </c>
      <c r="CE318" s="117" t="n">
        <v>0</v>
      </c>
    </row>
    <row r="319" customFormat="false" ht="12.75" hidden="false" customHeight="false" outlineLevel="0" collapsed="false">
      <c r="B319" s="92" t="n">
        <f aca="false">MATCH(YEAR(D319),iSpreads)</f>
        <v>20</v>
      </c>
      <c r="C319" s="0" t="n">
        <f aca="false">MONTH(D319)</f>
        <v>11</v>
      </c>
      <c r="D319" s="93" t="n">
        <f aca="false">+EnergyCurve!D319</f>
        <v>45597</v>
      </c>
      <c r="E319" s="94" t="n">
        <f aca="false">VLOOKUP($D319,tblPriorPrice,2)</f>
        <v>29.8409996032715</v>
      </c>
      <c r="F319" s="95" t="n">
        <f aca="false">G319-E319</f>
        <v>2.12000039672851</v>
      </c>
      <c r="G319" s="264" t="n">
        <f aca="false">IF(EnergyCurve!G319&lt;200,0.001*EnergyCurve!G319+1,1.2)*EnergyCurve!G319</f>
        <v>31.961</v>
      </c>
      <c r="H319" s="96" t="n">
        <f aca="false">IF(EnergyCurve!H319&lt;200,0.001*EnergyCurve!H319+1,1.2)*EnergyCurve!H319</f>
        <v>26.676</v>
      </c>
      <c r="I319" s="96" t="n">
        <f aca="false">IF(EnergyCurve!I319&lt;200,0.001*EnergyCurve!I319+1,1.2)*EnergyCurve!I319</f>
        <v>69.225</v>
      </c>
      <c r="J319" s="94" t="n">
        <f aca="false">VLOOKUP($D319,tblPriorPrice,3)</f>
        <v>0</v>
      </c>
      <c r="K319" s="95" t="n">
        <f aca="false">L319-J319</f>
        <v>0</v>
      </c>
      <c r="L319" s="264" t="n">
        <v>0</v>
      </c>
      <c r="M319" s="96" t="n">
        <f aca="false">L319</f>
        <v>0</v>
      </c>
      <c r="N319" s="96" t="n">
        <f aca="false">L319</f>
        <v>0</v>
      </c>
      <c r="V319" s="161" t="n">
        <f aca="false">D319</f>
        <v>45597</v>
      </c>
      <c r="W319" s="94" t="n">
        <f aca="false">VLOOKUP($D319,tblPriorPrice,4)</f>
        <v>0</v>
      </c>
      <c r="X319" s="162"/>
      <c r="Y319" s="176" t="n">
        <f aca="false">L319</f>
        <v>0</v>
      </c>
      <c r="Z319" s="177" t="n">
        <f aca="false">Y319</f>
        <v>0</v>
      </c>
      <c r="AA319" s="177" t="n">
        <f aca="false">Y319</f>
        <v>0</v>
      </c>
      <c r="AB319" s="94" t="n">
        <f aca="false">VLOOKUP($D319,tblPriorPrice,5)</f>
        <v>0</v>
      </c>
      <c r="AD319" s="176" t="n">
        <f aca="false">L319</f>
        <v>0</v>
      </c>
      <c r="AE319" s="96" t="n">
        <f aca="false">AD319</f>
        <v>0</v>
      </c>
      <c r="AF319" s="97" t="n">
        <f aca="false">AD319</f>
        <v>0</v>
      </c>
      <c r="AG319" s="94" t="n">
        <f aca="false">VLOOKUP($D319,tblPriorPrice,6)</f>
        <v>0</v>
      </c>
      <c r="AH319" s="182"/>
      <c r="AI319" s="189" t="n">
        <f aca="false">AG319+AH319</f>
        <v>0</v>
      </c>
      <c r="AJ319" s="96" t="n">
        <f aca="false">AI319</f>
        <v>0</v>
      </c>
      <c r="AK319" s="97" t="n">
        <f aca="false">AI319</f>
        <v>0</v>
      </c>
      <c r="AL319" s="178" t="n">
        <v>74</v>
      </c>
      <c r="AM319" s="165" t="n">
        <v>0.4</v>
      </c>
      <c r="AN319" s="166" t="n">
        <f aca="false">EnergyCurve!AN319*2</f>
        <v>0</v>
      </c>
      <c r="AO319" s="166" t="n">
        <f aca="false">EnergyCurve!AO319</f>
        <v>0</v>
      </c>
      <c r="AP319" s="166" t="n">
        <f aca="false">AN319*1.25</f>
        <v>0</v>
      </c>
      <c r="AQ319" s="166" t="n">
        <f aca="false">EnergyCurve!AQ319*2</f>
        <v>0</v>
      </c>
      <c r="AR319" s="166" t="n">
        <f aca="false">EnergyCurve!AR319</f>
        <v>0</v>
      </c>
      <c r="AS319" s="166" t="n">
        <f aca="false">EnergyCurve!AS319*1.25</f>
        <v>0</v>
      </c>
      <c r="AT319" s="168" t="n">
        <f aca="false">EnergyCurve!AT319*2*2</f>
        <v>6.56235962744143</v>
      </c>
      <c r="AU319" s="169" t="n">
        <f aca="false">EnergyCurve!AU319</f>
        <v>-0.410147476715089</v>
      </c>
      <c r="AV319" s="169" t="n">
        <f aca="false">AT319*1.25</f>
        <v>8.20294953430178</v>
      </c>
      <c r="AW319" s="168" t="n">
        <f aca="false">EnergyCurve!AW319*2*2</f>
        <v>10.4928</v>
      </c>
      <c r="AX319" s="169" t="n">
        <f aca="false">EnergyCurve!AX319</f>
        <v>-0.6558</v>
      </c>
      <c r="AY319" s="169" t="n">
        <f aca="false">AW319*1.25</f>
        <v>13.116</v>
      </c>
      <c r="AZ319" s="167" t="n">
        <v>0</v>
      </c>
      <c r="BZ319" s="43" t="n">
        <v>45597</v>
      </c>
      <c r="CA319" s="0" t="n">
        <v>31.9610004425049</v>
      </c>
      <c r="CB319" s="116" t="n">
        <v>0</v>
      </c>
      <c r="CC319" s="116" t="n">
        <v>0</v>
      </c>
      <c r="CD319" s="116" t="n">
        <v>0</v>
      </c>
      <c r="CE319" s="117" t="n">
        <v>0</v>
      </c>
    </row>
    <row r="320" customFormat="false" ht="12.75" hidden="false" customHeight="false" outlineLevel="0" collapsed="false">
      <c r="B320" s="92" t="n">
        <f aca="false">MATCH(YEAR(D320),iSpreads)</f>
        <v>20</v>
      </c>
      <c r="C320" s="0" t="n">
        <f aca="false">MONTH(D320)</f>
        <v>12</v>
      </c>
      <c r="D320" s="93" t="n">
        <f aca="false">+EnergyCurve!D320</f>
        <v>45627</v>
      </c>
      <c r="E320" s="94" t="n">
        <f aca="false">VLOOKUP($D320,tblPriorPrice,2)</f>
        <v>29.8409996032715</v>
      </c>
      <c r="F320" s="95" t="n">
        <f aca="false">G320-E320</f>
        <v>3.18300039672852</v>
      </c>
      <c r="G320" s="264" t="n">
        <f aca="false">IF(EnergyCurve!G320&lt;200,0.001*EnergyCurve!G320+1,1.2)*EnergyCurve!G320</f>
        <v>33.024</v>
      </c>
      <c r="H320" s="96" t="n">
        <f aca="false">IF(EnergyCurve!H320&lt;200,0.001*EnergyCurve!H320+1,1.2)*EnergyCurve!H320</f>
        <v>27.729</v>
      </c>
      <c r="I320" s="96" t="n">
        <f aca="false">IF(EnergyCurve!I320&lt;200,0.001*EnergyCurve!I320+1,1.2)*EnergyCurve!I320</f>
        <v>70.356</v>
      </c>
      <c r="J320" s="94" t="n">
        <f aca="false">VLOOKUP($D320,tblPriorPrice,3)</f>
        <v>0</v>
      </c>
      <c r="K320" s="95" t="n">
        <f aca="false">L320-J320</f>
        <v>0</v>
      </c>
      <c r="L320" s="264" t="n">
        <v>0</v>
      </c>
      <c r="M320" s="96" t="n">
        <f aca="false">L320</f>
        <v>0</v>
      </c>
      <c r="N320" s="96" t="n">
        <f aca="false">L320</f>
        <v>0</v>
      </c>
      <c r="V320" s="161" t="n">
        <f aca="false">D320</f>
        <v>45627</v>
      </c>
      <c r="W320" s="94" t="n">
        <f aca="false">VLOOKUP($D320,tblPriorPrice,4)</f>
        <v>0</v>
      </c>
      <c r="X320" s="162"/>
      <c r="Y320" s="176" t="n">
        <f aca="false">L320</f>
        <v>0</v>
      </c>
      <c r="Z320" s="177" t="n">
        <f aca="false">Y320</f>
        <v>0</v>
      </c>
      <c r="AA320" s="177" t="n">
        <f aca="false">Y320</f>
        <v>0</v>
      </c>
      <c r="AB320" s="94" t="n">
        <f aca="false">VLOOKUP($D320,tblPriorPrice,5)</f>
        <v>0</v>
      </c>
      <c r="AD320" s="176" t="n">
        <f aca="false">L320</f>
        <v>0</v>
      </c>
      <c r="AE320" s="96" t="n">
        <f aca="false">AD320</f>
        <v>0</v>
      </c>
      <c r="AF320" s="97" t="n">
        <f aca="false">AD320</f>
        <v>0</v>
      </c>
      <c r="AG320" s="94" t="n">
        <f aca="false">VLOOKUP($D320,tblPriorPrice,6)</f>
        <v>0</v>
      </c>
      <c r="AH320" s="182"/>
      <c r="AI320" s="189" t="n">
        <f aca="false">AG320+AH320</f>
        <v>0</v>
      </c>
      <c r="AJ320" s="96" t="n">
        <f aca="false">AI320</f>
        <v>0</v>
      </c>
      <c r="AK320" s="97" t="n">
        <f aca="false">AI320</f>
        <v>0</v>
      </c>
      <c r="AL320" s="178" t="n">
        <v>74</v>
      </c>
      <c r="AM320" s="165" t="n">
        <v>0.4</v>
      </c>
      <c r="AN320" s="166" t="n">
        <f aca="false">EnergyCurve!AN320*2</f>
        <v>0</v>
      </c>
      <c r="AO320" s="166" t="n">
        <f aca="false">EnergyCurve!AO320</f>
        <v>0</v>
      </c>
      <c r="AP320" s="166" t="n">
        <f aca="false">AN320*1.25</f>
        <v>0</v>
      </c>
      <c r="AQ320" s="166" t="n">
        <f aca="false">EnergyCurve!AQ320*2</f>
        <v>0</v>
      </c>
      <c r="AR320" s="166" t="n">
        <f aca="false">EnergyCurve!AR320</f>
        <v>0</v>
      </c>
      <c r="AS320" s="166" t="n">
        <f aca="false">EnergyCurve!AS320*1.25</f>
        <v>0</v>
      </c>
      <c r="AT320" s="168" t="n">
        <f aca="false">EnergyCurve!AT320*2*2</f>
        <v>6.71448638739126</v>
      </c>
      <c r="AU320" s="169" t="n">
        <f aca="false">EnergyCurve!AU320</f>
        <v>-0.419655399211954</v>
      </c>
      <c r="AV320" s="169" t="n">
        <f aca="false">AT320*1.25</f>
        <v>8.39310798423907</v>
      </c>
      <c r="AW320" s="168" t="n">
        <f aca="false">EnergyCurve!AW320*2*2</f>
        <v>10.6812</v>
      </c>
      <c r="AX320" s="169" t="n">
        <f aca="false">EnergyCurve!AX320</f>
        <v>-0.667575</v>
      </c>
      <c r="AY320" s="169" t="n">
        <f aca="false">AW320*1.25</f>
        <v>13.3515</v>
      </c>
      <c r="AZ320" s="167" t="n">
        <v>0</v>
      </c>
      <c r="BZ320" s="43" t="n">
        <v>45627</v>
      </c>
      <c r="CA320" s="0" t="n">
        <v>33.0239982604981</v>
      </c>
      <c r="CB320" s="116" t="n">
        <v>0</v>
      </c>
      <c r="CC320" s="116" t="n">
        <v>0</v>
      </c>
      <c r="CD320" s="116" t="n">
        <v>0</v>
      </c>
      <c r="CE320" s="117" t="n">
        <v>0</v>
      </c>
    </row>
    <row r="321" customFormat="false" ht="12.75" hidden="false" customHeight="false" outlineLevel="0" collapsed="false">
      <c r="B321" s="92" t="n">
        <f aca="false">MATCH(YEAR(D321),iSpreads)</f>
        <v>20</v>
      </c>
      <c r="C321" s="0" t="n">
        <f aca="false">MONTH(D321)</f>
        <v>1</v>
      </c>
      <c r="D321" s="93" t="n">
        <f aca="false">+EnergyCurve!D321</f>
        <v>45658</v>
      </c>
      <c r="E321" s="94" t="n">
        <f aca="false">VLOOKUP($D321,tblPriorPrice,2)</f>
        <v>29.8409996032715</v>
      </c>
      <c r="F321" s="95" t="n">
        <f aca="false">G321-E321</f>
        <v>4.24800039672851</v>
      </c>
      <c r="G321" s="264" t="n">
        <f aca="false">IF(EnergyCurve!G321&lt;200,0.001*EnergyCurve!G321+1,1.2)*EnergyCurve!G321</f>
        <v>34.089</v>
      </c>
      <c r="H321" s="96" t="n">
        <f aca="false">IF(EnergyCurve!H321&lt;200,0.001*EnergyCurve!H321+1,1.2)*EnergyCurve!H321</f>
        <v>28.784</v>
      </c>
      <c r="I321" s="96" t="n">
        <f aca="false">IF(EnergyCurve!I321&lt;200,0.001*EnergyCurve!I321+1,1.2)*EnergyCurve!I321</f>
        <v>71.489</v>
      </c>
      <c r="J321" s="94" t="n">
        <f aca="false">VLOOKUP($D321,tblPriorPrice,3)</f>
        <v>0</v>
      </c>
      <c r="K321" s="95" t="n">
        <f aca="false">L321-J321</f>
        <v>0</v>
      </c>
      <c r="L321" s="264" t="n">
        <v>0</v>
      </c>
      <c r="M321" s="96" t="n">
        <f aca="false">L321</f>
        <v>0</v>
      </c>
      <c r="N321" s="96" t="n">
        <f aca="false">L321</f>
        <v>0</v>
      </c>
      <c r="V321" s="161" t="n">
        <f aca="false">D321</f>
        <v>45658</v>
      </c>
      <c r="W321" s="94" t="n">
        <f aca="false">VLOOKUP($D321,tblPriorPrice,4)</f>
        <v>0</v>
      </c>
      <c r="X321" s="162"/>
      <c r="Y321" s="176" t="n">
        <f aca="false">L321</f>
        <v>0</v>
      </c>
      <c r="Z321" s="177" t="n">
        <f aca="false">Y321</f>
        <v>0</v>
      </c>
      <c r="AA321" s="177" t="n">
        <f aca="false">Y321</f>
        <v>0</v>
      </c>
      <c r="AB321" s="94" t="n">
        <f aca="false">VLOOKUP($D321,tblPriorPrice,5)</f>
        <v>0</v>
      </c>
      <c r="AD321" s="176" t="n">
        <f aca="false">L321</f>
        <v>0</v>
      </c>
      <c r="AE321" s="96" t="n">
        <f aca="false">AD321</f>
        <v>0</v>
      </c>
      <c r="AF321" s="97" t="n">
        <f aca="false">AD321</f>
        <v>0</v>
      </c>
      <c r="AG321" s="94" t="n">
        <f aca="false">VLOOKUP($D321,tblPriorPrice,6)</f>
        <v>0</v>
      </c>
      <c r="AH321" s="182"/>
      <c r="AI321" s="189" t="n">
        <f aca="false">AG321+AH321</f>
        <v>0</v>
      </c>
      <c r="AJ321" s="96" t="n">
        <f aca="false">AI321</f>
        <v>0</v>
      </c>
      <c r="AK321" s="97" t="n">
        <f aca="false">AI321</f>
        <v>0</v>
      </c>
      <c r="AL321" s="178" t="n">
        <v>74</v>
      </c>
      <c r="AM321" s="165" t="n">
        <v>0.4</v>
      </c>
      <c r="AN321" s="166" t="n">
        <f aca="false">EnergyCurve!AN321*2</f>
        <v>0</v>
      </c>
      <c r="AO321" s="166" t="n">
        <f aca="false">EnergyCurve!AO321</f>
        <v>0</v>
      </c>
      <c r="AP321" s="166" t="n">
        <f aca="false">AN321*1.25</f>
        <v>0</v>
      </c>
      <c r="AQ321" s="166" t="n">
        <f aca="false">EnergyCurve!AQ321*2</f>
        <v>0</v>
      </c>
      <c r="AR321" s="166" t="n">
        <f aca="false">EnergyCurve!AR321</f>
        <v>0</v>
      </c>
      <c r="AS321" s="166" t="n">
        <f aca="false">EnergyCurve!AS321*1.25</f>
        <v>0</v>
      </c>
      <c r="AT321" s="168" t="n">
        <f aca="false">EnergyCurve!AT321*2*2</f>
        <v>6.88781730529552</v>
      </c>
      <c r="AU321" s="169" t="n">
        <f aca="false">EnergyCurve!AU321</f>
        <v>-0.43048858158097</v>
      </c>
      <c r="AV321" s="169" t="n">
        <f aca="false">AT321*1.25</f>
        <v>8.60977163161941</v>
      </c>
      <c r="AW321" s="168" t="n">
        <f aca="false">EnergyCurve!AW321*2*2</f>
        <v>10.4928</v>
      </c>
      <c r="AX321" s="169" t="n">
        <f aca="false">EnergyCurve!AX321</f>
        <v>-0.6558</v>
      </c>
      <c r="AY321" s="169" t="n">
        <f aca="false">AW321*1.25</f>
        <v>13.116</v>
      </c>
      <c r="AZ321" s="167" t="n">
        <v>0</v>
      </c>
      <c r="BZ321" s="43" t="n">
        <v>45658</v>
      </c>
      <c r="CA321" s="0" t="n">
        <v>34.0890007019043</v>
      </c>
      <c r="CB321" s="116" t="n">
        <v>0</v>
      </c>
      <c r="CC321" s="116" t="n">
        <v>0</v>
      </c>
      <c r="CD321" s="116" t="n">
        <v>0</v>
      </c>
      <c r="CE321" s="117" t="n">
        <v>0</v>
      </c>
    </row>
    <row r="322" customFormat="false" ht="12.75" hidden="false" customHeight="false" outlineLevel="0" collapsed="false">
      <c r="B322" s="92" t="n">
        <f aca="false">MATCH(YEAR(D322),iSpreads)</f>
        <v>20</v>
      </c>
      <c r="C322" s="0" t="n">
        <f aca="false">MONTH(D322)</f>
        <v>2</v>
      </c>
      <c r="D322" s="93" t="n">
        <f aca="false">+EnergyCurve!D322</f>
        <v>45689</v>
      </c>
      <c r="E322" s="94" t="n">
        <f aca="false">VLOOKUP($D322,tblPriorPrice,2)</f>
        <v>29.8409996032715</v>
      </c>
      <c r="F322" s="95" t="n">
        <f aca="false">G322-E322</f>
        <v>1.05900039672852</v>
      </c>
      <c r="G322" s="264" t="n">
        <f aca="false">IF(EnergyCurve!G322&lt;200,0.001*EnergyCurve!G322+1,1.2)*EnergyCurve!G322</f>
        <v>30.9</v>
      </c>
      <c r="H322" s="96" t="n">
        <f aca="false">IF(EnergyCurve!H322&lt;200,0.001*EnergyCurve!H322+1,1.2)*EnergyCurve!H322</f>
        <v>25.625</v>
      </c>
      <c r="I322" s="96" t="n">
        <f aca="false">IF(EnergyCurve!I322&lt;200,0.001*EnergyCurve!I322+1,1.2)*EnergyCurve!I322</f>
        <v>68.096</v>
      </c>
      <c r="J322" s="94" t="n">
        <f aca="false">VLOOKUP($D322,tblPriorPrice,3)</f>
        <v>0</v>
      </c>
      <c r="K322" s="95" t="n">
        <f aca="false">L322-J322</f>
        <v>0</v>
      </c>
      <c r="L322" s="264" t="n">
        <v>0</v>
      </c>
      <c r="M322" s="96" t="n">
        <f aca="false">L322</f>
        <v>0</v>
      </c>
      <c r="N322" s="96" t="n">
        <f aca="false">L322</f>
        <v>0</v>
      </c>
      <c r="V322" s="161" t="n">
        <f aca="false">D322</f>
        <v>45689</v>
      </c>
      <c r="W322" s="94" t="n">
        <f aca="false">VLOOKUP($D322,tblPriorPrice,4)</f>
        <v>0</v>
      </c>
      <c r="X322" s="162"/>
      <c r="Y322" s="176" t="n">
        <f aca="false">L322</f>
        <v>0</v>
      </c>
      <c r="Z322" s="177" t="n">
        <f aca="false">Y322</f>
        <v>0</v>
      </c>
      <c r="AA322" s="177" t="n">
        <f aca="false">Y322</f>
        <v>0</v>
      </c>
      <c r="AB322" s="94" t="n">
        <f aca="false">VLOOKUP($D322,tblPriorPrice,5)</f>
        <v>0</v>
      </c>
      <c r="AD322" s="176" t="n">
        <f aca="false">L322</f>
        <v>0</v>
      </c>
      <c r="AE322" s="96" t="n">
        <f aca="false">AD322</f>
        <v>0</v>
      </c>
      <c r="AF322" s="97" t="n">
        <f aca="false">AD322</f>
        <v>0</v>
      </c>
      <c r="AG322" s="94" t="n">
        <f aca="false">VLOOKUP($D322,tblPriorPrice,6)</f>
        <v>0</v>
      </c>
      <c r="AH322" s="182"/>
      <c r="AI322" s="189" t="n">
        <f aca="false">AG322+AH322</f>
        <v>0</v>
      </c>
      <c r="AJ322" s="96" t="n">
        <f aca="false">AI322</f>
        <v>0</v>
      </c>
      <c r="AK322" s="97" t="n">
        <f aca="false">AI322</f>
        <v>0</v>
      </c>
      <c r="AL322" s="178" t="n">
        <v>74</v>
      </c>
      <c r="AM322" s="165" t="n">
        <v>0.4</v>
      </c>
      <c r="AN322" s="166" t="n">
        <f aca="false">EnergyCurve!AN322*2</f>
        <v>0</v>
      </c>
      <c r="AO322" s="166" t="n">
        <f aca="false">EnergyCurve!AO322</f>
        <v>0</v>
      </c>
      <c r="AP322" s="166" t="n">
        <f aca="false">AN322*1.25</f>
        <v>0</v>
      </c>
      <c r="AQ322" s="166" t="n">
        <f aca="false">EnergyCurve!AQ322*2</f>
        <v>0</v>
      </c>
      <c r="AR322" s="166" t="n">
        <f aca="false">EnergyCurve!AR322</f>
        <v>0</v>
      </c>
      <c r="AS322" s="166" t="n">
        <f aca="false">EnergyCurve!AS322*1.25</f>
        <v>0</v>
      </c>
      <c r="AT322" s="168" t="n">
        <f aca="false">EnergyCurve!AT322*2*2</f>
        <v>6.43371807382396</v>
      </c>
      <c r="AU322" s="169" t="n">
        <f aca="false">EnergyCurve!AU322</f>
        <v>-0.402107379613998</v>
      </c>
      <c r="AV322" s="169" t="n">
        <f aca="false">AT322*1.25</f>
        <v>8.04214759227995</v>
      </c>
      <c r="AW322" s="168" t="n">
        <f aca="false">EnergyCurve!AW322*2*2</f>
        <v>10.587</v>
      </c>
      <c r="AX322" s="169" t="n">
        <f aca="false">EnergyCurve!AX322</f>
        <v>-0.6616875</v>
      </c>
      <c r="AY322" s="169" t="n">
        <f aca="false">AW322*1.25</f>
        <v>13.23375</v>
      </c>
      <c r="AZ322" s="167" t="n">
        <v>0</v>
      </c>
      <c r="BZ322" s="43" t="n">
        <v>45689</v>
      </c>
      <c r="CA322" s="0" t="n">
        <v>30.8999996185303</v>
      </c>
      <c r="CB322" s="116" t="n">
        <v>0</v>
      </c>
      <c r="CC322" s="116" t="n">
        <v>0</v>
      </c>
      <c r="CD322" s="116" t="n">
        <v>0</v>
      </c>
      <c r="CE322" s="117" t="n">
        <v>0</v>
      </c>
    </row>
    <row r="323" customFormat="false" ht="12.75" hidden="false" customHeight="false" outlineLevel="0" collapsed="false">
      <c r="D323" s="0"/>
      <c r="E323" s="0"/>
      <c r="F323" s="0"/>
      <c r="G323" s="0"/>
      <c r="H323" s="0"/>
      <c r="I323" s="0"/>
      <c r="J323" s="0"/>
      <c r="AG323" s="94"/>
      <c r="AH323" s="182"/>
      <c r="AI323" s="189"/>
      <c r="AJ323" s="96"/>
      <c r="AK323" s="97"/>
      <c r="AL323" s="178"/>
      <c r="AM323" s="165"/>
      <c r="AN323" s="168"/>
      <c r="AO323" s="166"/>
      <c r="AP323" s="166"/>
      <c r="AQ323" s="168"/>
      <c r="AR323" s="166"/>
      <c r="AS323" s="166"/>
      <c r="AT323" s="168"/>
      <c r="AU323" s="169"/>
      <c r="AV323" s="169"/>
      <c r="AW323" s="168"/>
      <c r="AX323" s="169"/>
      <c r="AY323" s="169"/>
      <c r="AZ323" s="167"/>
    </row>
    <row r="324" customFormat="false" ht="12.75" hidden="false" customHeight="false" outlineLevel="0" collapsed="false">
      <c r="D324" s="0"/>
      <c r="E324" s="0"/>
      <c r="F324" s="0"/>
      <c r="G324" s="0"/>
      <c r="H324" s="0"/>
      <c r="I324" s="0"/>
      <c r="J324" s="0"/>
    </row>
    <row r="325" customFormat="false" ht="12.75" hidden="false" customHeight="false" outlineLevel="0" collapsed="false">
      <c r="D325" s="0"/>
      <c r="E325" s="0"/>
      <c r="F325" s="0"/>
      <c r="G325" s="0"/>
      <c r="H325" s="0"/>
      <c r="I325" s="0"/>
      <c r="J325" s="0"/>
    </row>
    <row r="326" customFormat="false" ht="12.75" hidden="false" customHeight="false" outlineLevel="0" collapsed="false">
      <c r="D326" s="0"/>
      <c r="E326" s="0"/>
      <c r="F326" s="0"/>
      <c r="G326" s="0"/>
      <c r="H326" s="0"/>
      <c r="I326" s="0"/>
      <c r="J326" s="0"/>
    </row>
    <row r="327" customFormat="false" ht="12.75" hidden="false" customHeight="false" outlineLevel="0" collapsed="false">
      <c r="D327" s="0"/>
      <c r="E327" s="0"/>
      <c r="F327" s="0"/>
      <c r="G327" s="0"/>
      <c r="H327" s="0"/>
      <c r="I327" s="0"/>
      <c r="J327" s="0"/>
    </row>
    <row r="328" customFormat="false" ht="12.75" hidden="false" customHeight="false" outlineLevel="0" collapsed="false">
      <c r="D328" s="0"/>
      <c r="E328" s="0"/>
      <c r="F328" s="0"/>
      <c r="G328" s="0"/>
      <c r="H328" s="0"/>
      <c r="I328" s="0"/>
      <c r="J328" s="0"/>
    </row>
    <row r="329" customFormat="false" ht="12.75" hidden="false" customHeight="false" outlineLevel="0" collapsed="false">
      <c r="D329" s="0"/>
      <c r="E329" s="0"/>
      <c r="F329" s="0"/>
      <c r="G329" s="0"/>
      <c r="H329" s="0"/>
      <c r="I329" s="0"/>
      <c r="J329" s="0"/>
    </row>
    <row r="330" customFormat="false" ht="12.75" hidden="false" customHeight="false" outlineLevel="0" collapsed="false">
      <c r="D330" s="0"/>
      <c r="E330" s="0"/>
      <c r="F330" s="0"/>
      <c r="G330" s="0"/>
      <c r="H330" s="0"/>
      <c r="I330" s="0"/>
      <c r="J330" s="0"/>
    </row>
    <row r="331" customFormat="false" ht="12.75" hidden="false" customHeight="false" outlineLevel="0" collapsed="false">
      <c r="D331" s="0"/>
      <c r="E331" s="0"/>
      <c r="F331" s="0"/>
      <c r="G331" s="0"/>
      <c r="H331" s="0"/>
      <c r="I331" s="0"/>
      <c r="J331" s="0"/>
    </row>
    <row r="332" customFormat="false" ht="12.75" hidden="false" customHeight="false" outlineLevel="0" collapsed="false">
      <c r="D332" s="0"/>
      <c r="E332" s="0"/>
      <c r="F332" s="0"/>
      <c r="G332" s="0"/>
      <c r="H332" s="0"/>
      <c r="I332" s="0"/>
      <c r="J332" s="0"/>
    </row>
    <row r="333" customFormat="false" ht="12.75" hidden="false" customHeight="false" outlineLevel="0" collapsed="false">
      <c r="D333" s="0"/>
      <c r="E333" s="0"/>
      <c r="F333" s="0"/>
      <c r="G333" s="0"/>
      <c r="H333" s="0"/>
      <c r="I333" s="0"/>
      <c r="J333" s="0"/>
    </row>
    <row r="334" customFormat="false" ht="12.75" hidden="false" customHeight="false" outlineLevel="0" collapsed="false">
      <c r="D334" s="0"/>
      <c r="E334" s="0"/>
      <c r="F334" s="0"/>
      <c r="G334" s="0"/>
      <c r="H334" s="0"/>
      <c r="I334" s="0"/>
      <c r="J334" s="0"/>
    </row>
    <row r="335" customFormat="false" ht="12.75" hidden="false" customHeight="false" outlineLevel="0" collapsed="false">
      <c r="D335" s="0"/>
      <c r="E335" s="0"/>
      <c r="F335" s="0"/>
      <c r="G335" s="0"/>
      <c r="H335" s="0"/>
      <c r="I335" s="0"/>
      <c r="J335" s="0"/>
    </row>
    <row r="336" customFormat="false" ht="12.75" hidden="false" customHeight="false" outlineLevel="0" collapsed="false">
      <c r="D336" s="0"/>
      <c r="E336" s="0"/>
      <c r="F336" s="0"/>
      <c r="G336" s="0"/>
      <c r="H336" s="0"/>
      <c r="I336" s="0"/>
      <c r="J336" s="0"/>
    </row>
    <row r="337" customFormat="false" ht="12.75" hidden="false" customHeight="false" outlineLevel="0" collapsed="false">
      <c r="D337" s="0"/>
      <c r="E337" s="0"/>
      <c r="F337" s="0"/>
      <c r="G337" s="0"/>
      <c r="H337" s="0"/>
      <c r="I337" s="0"/>
      <c r="J337" s="0"/>
    </row>
    <row r="338" customFormat="false" ht="12.75" hidden="false" customHeight="false" outlineLevel="0" collapsed="false">
      <c r="D338" s="0"/>
      <c r="E338" s="0"/>
      <c r="F338" s="0"/>
      <c r="G338" s="0"/>
      <c r="H338" s="0"/>
      <c r="I338" s="0"/>
      <c r="J338" s="0"/>
    </row>
    <row r="339" customFormat="false" ht="12.75" hidden="false" customHeight="false" outlineLevel="0" collapsed="false">
      <c r="D339" s="0"/>
      <c r="E339" s="0"/>
      <c r="F339" s="0"/>
      <c r="G339" s="0"/>
      <c r="H339" s="0"/>
      <c r="I339" s="0"/>
      <c r="J339" s="0"/>
    </row>
    <row r="340" customFormat="false" ht="12.75" hidden="false" customHeight="false" outlineLevel="0" collapsed="false">
      <c r="D340" s="0"/>
      <c r="E340" s="0"/>
      <c r="F340" s="0"/>
      <c r="G340" s="0"/>
      <c r="H340" s="0"/>
      <c r="I340" s="0"/>
      <c r="J340" s="0"/>
    </row>
    <row r="341" customFormat="false" ht="12.75" hidden="false" customHeight="false" outlineLevel="0" collapsed="false">
      <c r="D341" s="0"/>
      <c r="E341" s="0"/>
      <c r="F341" s="0"/>
      <c r="G341" s="0"/>
      <c r="H341" s="0"/>
      <c r="I341" s="0"/>
      <c r="J341" s="0"/>
    </row>
    <row r="342" customFormat="false" ht="12.75" hidden="false" customHeight="false" outlineLevel="0" collapsed="false">
      <c r="D342" s="0"/>
      <c r="E342" s="0"/>
      <c r="F342" s="0"/>
      <c r="G342" s="0"/>
      <c r="H342" s="0"/>
      <c r="I342" s="0"/>
      <c r="J342" s="0"/>
    </row>
  </sheetData>
  <sheetProtection sheet="true" objects="true" scenarios="true"/>
  <mergeCells count="16">
    <mergeCell ref="BC7:BE7"/>
    <mergeCell ref="BF7:BH7"/>
    <mergeCell ref="BC32:BE32"/>
    <mergeCell ref="BF32:BH32"/>
    <mergeCell ref="BI32:BK32"/>
    <mergeCell ref="BL32:BN32"/>
    <mergeCell ref="BC55:BE55"/>
    <mergeCell ref="BF55:BH55"/>
    <mergeCell ref="BI55:BK55"/>
    <mergeCell ref="BL55:BN55"/>
    <mergeCell ref="BC74:BE74"/>
    <mergeCell ref="BF74:BH74"/>
    <mergeCell ref="BI74:BK74"/>
    <mergeCell ref="BL74:BN74"/>
    <mergeCell ref="BB112:BD112"/>
    <mergeCell ref="BB117:BN11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5" scale="5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F32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2" width="12.56"/>
    <col collapsed="false" customWidth="true" hidden="false" outlineLevel="0" max="3" min="2" style="62" width="12.28"/>
    <col collapsed="false" customWidth="true" hidden="false" outlineLevel="0" max="4" min="4" style="62" width="14.28"/>
    <col collapsed="false" customWidth="false" hidden="false" outlineLevel="0" max="5" min="5" style="62" width="9.14"/>
    <col collapsed="false" customWidth="true" hidden="false" outlineLevel="0" max="8" min="6" style="62" width="12.28"/>
    <col collapsed="false" customWidth="false" hidden="false" outlineLevel="0" max="9" min="9" style="62" width="9.14"/>
    <col collapsed="false" customWidth="true" hidden="false" outlineLevel="0" max="10" min="10" style="267" width="9.41"/>
    <col collapsed="false" customWidth="true" hidden="false" outlineLevel="0" max="13" min="11" style="62" width="12.28"/>
    <col collapsed="false" customWidth="false" hidden="false" outlineLevel="0" max="14" min="14" style="62" width="9.14"/>
    <col collapsed="false" customWidth="true" hidden="false" outlineLevel="0" max="17" min="15" style="62" width="12.28"/>
    <col collapsed="false" customWidth="false" hidden="false" outlineLevel="0" max="18" min="18" style="62" width="9.14"/>
    <col collapsed="false" customWidth="true" hidden="false" outlineLevel="0" max="21" min="19" style="62" width="12.28"/>
    <col collapsed="false" customWidth="false" hidden="false" outlineLevel="0" max="56" min="22" style="62" width="9.14"/>
    <col collapsed="false" customWidth="true" hidden="false" outlineLevel="0" max="57" min="57" style="267" width="9.41"/>
    <col collapsed="false" customWidth="false" hidden="false" outlineLevel="0" max="257" min="58" style="62" width="9.14"/>
  </cols>
  <sheetData>
    <row r="1" customFormat="false" ht="12.75" hidden="false" customHeight="false" outlineLevel="0" collapsed="false">
      <c r="A1" s="268" t="str">
        <f aca="false">"REGION "&amp;REPLACE(OperatingCurve!fRegion,1,1,"")</f>
        <v>REGION 22</v>
      </c>
      <c r="B1" s="269" t="str">
        <f aca="false">INDEX(RegionTable,MATCH(OperatingCurve!fRegion,RegionList,0),2)</f>
        <v>Operating - Alberta</v>
      </c>
      <c r="C1" s="270"/>
      <c r="D1" s="271" t="n">
        <f aca="false">TopCurrDate</f>
        <v>36908</v>
      </c>
      <c r="E1" s="272"/>
      <c r="I1" s="273"/>
    </row>
    <row r="2" customFormat="false" ht="12.75" hidden="false" customHeight="false" outlineLevel="0" collapsed="false">
      <c r="A2" s="274"/>
      <c r="B2" s="275"/>
      <c r="C2" s="275"/>
      <c r="D2" s="275"/>
      <c r="E2" s="273"/>
      <c r="I2" s="273"/>
      <c r="W2" s="62" t="s">
        <v>142</v>
      </c>
      <c r="AE2" s="62" t="s">
        <v>143</v>
      </c>
    </row>
    <row r="3" customFormat="false" ht="12.75" hidden="false" customHeight="false" outlineLevel="0" collapsed="false">
      <c r="A3" s="273"/>
      <c r="B3" s="273"/>
      <c r="C3" s="273" t="s">
        <v>144</v>
      </c>
      <c r="D3" s="273"/>
      <c r="E3" s="273"/>
      <c r="F3" s="273"/>
      <c r="G3" s="273" t="s">
        <v>145</v>
      </c>
      <c r="H3" s="273"/>
      <c r="I3" s="273"/>
      <c r="K3" s="273"/>
      <c r="L3" s="273" t="s">
        <v>84</v>
      </c>
      <c r="M3" s="273"/>
      <c r="N3" s="273"/>
      <c r="O3" s="273"/>
      <c r="P3" s="273" t="s">
        <v>53</v>
      </c>
      <c r="Q3" s="273"/>
      <c r="R3" s="273"/>
      <c r="S3" s="273"/>
      <c r="T3" s="273" t="s">
        <v>85</v>
      </c>
      <c r="U3" s="273"/>
      <c r="W3" s="273"/>
      <c r="X3" s="273" t="s">
        <v>51</v>
      </c>
      <c r="Y3" s="273"/>
      <c r="AA3" s="273"/>
      <c r="AB3" s="273" t="s">
        <v>52</v>
      </c>
      <c r="AC3" s="273"/>
      <c r="AE3" s="273"/>
      <c r="AF3" s="273" t="s">
        <v>51</v>
      </c>
      <c r="AG3" s="273"/>
      <c r="AI3" s="273"/>
      <c r="AJ3" s="273" t="s">
        <v>52</v>
      </c>
      <c r="AK3" s="273"/>
      <c r="AM3" s="273" t="s">
        <v>146</v>
      </c>
      <c r="AN3" s="273" t="s">
        <v>147</v>
      </c>
      <c r="BF3" s="273" t="s">
        <v>73</v>
      </c>
    </row>
    <row r="4" customFormat="false" ht="12.75" hidden="false" customHeight="false" outlineLevel="0" collapsed="false">
      <c r="A4" s="276"/>
      <c r="B4" s="277" t="s">
        <v>82</v>
      </c>
      <c r="C4" s="277" t="s">
        <v>89</v>
      </c>
      <c r="D4" s="278" t="s">
        <v>83</v>
      </c>
      <c r="E4" s="279"/>
      <c r="F4" s="275" t="s">
        <v>82</v>
      </c>
      <c r="G4" s="275" t="s">
        <v>89</v>
      </c>
      <c r="H4" s="275" t="s">
        <v>83</v>
      </c>
      <c r="I4" s="273"/>
      <c r="K4" s="277" t="s">
        <v>82</v>
      </c>
      <c r="L4" s="277" t="s">
        <v>89</v>
      </c>
      <c r="M4" s="278" t="s">
        <v>83</v>
      </c>
      <c r="N4" s="278"/>
      <c r="O4" s="277" t="s">
        <v>82</v>
      </c>
      <c r="P4" s="277" t="s">
        <v>89</v>
      </c>
      <c r="Q4" s="278" t="s">
        <v>83</v>
      </c>
      <c r="R4" s="278"/>
      <c r="S4" s="277" t="s">
        <v>82</v>
      </c>
      <c r="T4" s="277" t="s">
        <v>89</v>
      </c>
      <c r="U4" s="278" t="s">
        <v>83</v>
      </c>
      <c r="W4" s="277" t="s">
        <v>82</v>
      </c>
      <c r="X4" s="277" t="s">
        <v>89</v>
      </c>
      <c r="Y4" s="278" t="s">
        <v>83</v>
      </c>
      <c r="AA4" s="277" t="s">
        <v>82</v>
      </c>
      <c r="AB4" s="277" t="s">
        <v>89</v>
      </c>
      <c r="AC4" s="278" t="s">
        <v>83</v>
      </c>
      <c r="AE4" s="277" t="s">
        <v>82</v>
      </c>
      <c r="AF4" s="277" t="s">
        <v>89</v>
      </c>
      <c r="AG4" s="278" t="s">
        <v>83</v>
      </c>
      <c r="AI4" s="277" t="s">
        <v>82</v>
      </c>
      <c r="AJ4" s="277" t="s">
        <v>89</v>
      </c>
      <c r="AK4" s="278" t="s">
        <v>83</v>
      </c>
      <c r="AM4" s="273" t="s">
        <v>148</v>
      </c>
      <c r="AN4" s="273" t="s">
        <v>88</v>
      </c>
      <c r="AP4" s="273"/>
      <c r="AQ4" s="275" t="s">
        <v>131</v>
      </c>
      <c r="AR4" s="275" t="s">
        <v>132</v>
      </c>
      <c r="AS4" s="273"/>
      <c r="AT4" s="273"/>
      <c r="AU4" s="273"/>
      <c r="AV4" s="273"/>
      <c r="AW4" s="273"/>
      <c r="AX4" s="273"/>
      <c r="AY4" s="273"/>
      <c r="AZ4" s="273"/>
      <c r="BA4" s="273"/>
      <c r="BB4" s="273"/>
      <c r="BC4" s="273"/>
      <c r="BF4" s="273" t="s">
        <v>90</v>
      </c>
    </row>
    <row r="5" customFormat="false" ht="12.75" hidden="false" customHeight="false" outlineLevel="0" collapsed="false">
      <c r="A5" s="273"/>
      <c r="B5" s="273" t="s">
        <v>149</v>
      </c>
      <c r="C5" s="273" t="s">
        <v>149</v>
      </c>
      <c r="D5" s="273" t="s">
        <v>149</v>
      </c>
      <c r="E5" s="279"/>
      <c r="F5" s="273" t="s">
        <v>149</v>
      </c>
      <c r="G5" s="273" t="s">
        <v>149</v>
      </c>
      <c r="H5" s="273" t="s">
        <v>149</v>
      </c>
      <c r="I5" s="273"/>
      <c r="K5" s="273" t="s">
        <v>149</v>
      </c>
      <c r="L5" s="273" t="s">
        <v>149</v>
      </c>
      <c r="M5" s="273" t="s">
        <v>149</v>
      </c>
      <c r="N5" s="273"/>
      <c r="O5" s="273" t="s">
        <v>149</v>
      </c>
      <c r="P5" s="273" t="s">
        <v>149</v>
      </c>
      <c r="Q5" s="273" t="s">
        <v>149</v>
      </c>
      <c r="R5" s="273"/>
      <c r="S5" s="273" t="s">
        <v>150</v>
      </c>
      <c r="T5" s="273" t="s">
        <v>150</v>
      </c>
      <c r="U5" s="273" t="s">
        <v>150</v>
      </c>
      <c r="W5" s="273"/>
      <c r="X5" s="273"/>
      <c r="Y5" s="273"/>
      <c r="AA5" s="273"/>
      <c r="AB5" s="273"/>
      <c r="AC5" s="273"/>
      <c r="AE5" s="273"/>
      <c r="AF5" s="273"/>
      <c r="AG5" s="273"/>
      <c r="AI5" s="273"/>
      <c r="AJ5" s="273"/>
      <c r="AK5" s="273"/>
      <c r="AP5" s="278" t="s">
        <v>51</v>
      </c>
      <c r="AQ5" s="280" t="n">
        <f aca="false">OperatingCurve!BC116</f>
        <v>700</v>
      </c>
      <c r="AR5" s="280" t="n">
        <f aca="false">OperatingCurve!BD116</f>
        <v>2200</v>
      </c>
      <c r="AS5" s="273"/>
      <c r="AT5" s="273"/>
      <c r="AU5" s="273"/>
      <c r="AV5" s="273"/>
      <c r="AW5" s="273"/>
      <c r="AX5" s="273"/>
      <c r="AY5" s="273"/>
      <c r="AZ5" s="273"/>
      <c r="BA5" s="273"/>
      <c r="BB5" s="273"/>
      <c r="BC5" s="273"/>
    </row>
    <row r="6" customFormat="false" ht="12.75" hidden="false" customHeight="false" outlineLevel="0" collapsed="false">
      <c r="A6" s="275" t="s">
        <v>77</v>
      </c>
      <c r="B6" s="275"/>
      <c r="C6" s="275"/>
      <c r="D6" s="275"/>
      <c r="E6" s="278"/>
      <c r="F6" s="275"/>
      <c r="G6" s="278"/>
      <c r="H6" s="278"/>
      <c r="I6" s="273"/>
      <c r="J6" s="267" t="s">
        <v>77</v>
      </c>
      <c r="AP6" s="281" t="s">
        <v>134</v>
      </c>
      <c r="AQ6" s="281"/>
      <c r="AR6" s="281"/>
      <c r="AS6" s="281"/>
      <c r="AT6" s="281"/>
      <c r="AU6" s="281"/>
      <c r="AV6" s="281"/>
      <c r="AW6" s="281"/>
      <c r="AX6" s="281"/>
      <c r="AY6" s="281"/>
      <c r="AZ6" s="281"/>
      <c r="BA6" s="281"/>
      <c r="BB6" s="281"/>
      <c r="BC6" s="281"/>
      <c r="BE6" s="267" t="s">
        <v>77</v>
      </c>
    </row>
    <row r="7" customFormat="false" ht="12.75" hidden="false" customHeight="false" outlineLevel="0" collapsed="false">
      <c r="A7" s="282" t="n">
        <f aca="false">OperatingCurve!D3</f>
        <v>36909</v>
      </c>
      <c r="B7" s="283" t="n">
        <f aca="false">OperatingCurve!H3</f>
        <v>135.641</v>
      </c>
      <c r="C7" s="283" t="n">
        <f aca="false">OperatingCurve!G3</f>
        <v>141.876</v>
      </c>
      <c r="D7" s="283" t="n">
        <f aca="false">OperatingCurve!I3</f>
        <v>173.801</v>
      </c>
      <c r="E7" s="278"/>
      <c r="F7" s="283" t="n">
        <f aca="false">OperatingCurve!M3</f>
        <v>0</v>
      </c>
      <c r="G7" s="283" t="n">
        <f aca="false">OperatingCurve!L3</f>
        <v>0</v>
      </c>
      <c r="H7" s="283" t="n">
        <f aca="false">OperatingCurve!N3</f>
        <v>0</v>
      </c>
      <c r="I7" s="273"/>
      <c r="J7" s="284" t="n">
        <f aca="false">OperatingCurve!V32</f>
        <v>36861</v>
      </c>
      <c r="K7" s="285" t="n">
        <f aca="false">OperatingCurve!Z32</f>
        <v>0</v>
      </c>
      <c r="L7" s="285" t="n">
        <f aca="false">OperatingCurve!Y32</f>
        <v>0</v>
      </c>
      <c r="M7" s="285" t="n">
        <f aca="false">OperatingCurve!AA32</f>
        <v>0</v>
      </c>
      <c r="O7" s="285" t="n">
        <f aca="false">OperatingCurve!AE32</f>
        <v>0</v>
      </c>
      <c r="P7" s="285" t="n">
        <f aca="false">OperatingCurve!AD32</f>
        <v>0</v>
      </c>
      <c r="Q7" s="285" t="n">
        <f aca="false">OperatingCurve!AF32</f>
        <v>0</v>
      </c>
      <c r="S7" s="285" t="n">
        <f aca="false">OperatingCurve!AJ32</f>
        <v>0</v>
      </c>
      <c r="T7" s="285" t="n">
        <f aca="false">OperatingCurve!AI32</f>
        <v>0</v>
      </c>
      <c r="U7" s="285" t="n">
        <f aca="false">OperatingCurve!AK32</f>
        <v>0</v>
      </c>
      <c r="W7" s="285" t="n">
        <f aca="false">OperatingCurve!AO32</f>
        <v>0</v>
      </c>
      <c r="X7" s="285" t="n">
        <f aca="false">OperatingCurve!AN32</f>
        <v>0</v>
      </c>
      <c r="Y7" s="285" t="n">
        <f aca="false">OperatingCurve!AP32</f>
        <v>0</v>
      </c>
      <c r="AA7" s="285" t="n">
        <f aca="false">OperatingCurve!AR32</f>
        <v>0</v>
      </c>
      <c r="AB7" s="285" t="n">
        <f aca="false">OperatingCurve!AQ32</f>
        <v>0</v>
      </c>
      <c r="AC7" s="285" t="n">
        <f aca="false">OperatingCurve!AS32</f>
        <v>0</v>
      </c>
      <c r="AE7" s="285" t="n">
        <f aca="false">OperatingCurve!AU32</f>
        <v>0</v>
      </c>
      <c r="AF7" s="285" t="n">
        <f aca="false">OperatingCurve!AT32</f>
        <v>0</v>
      </c>
      <c r="AG7" s="285" t="n">
        <f aca="false">OperatingCurve!AV32</f>
        <v>0</v>
      </c>
      <c r="AI7" s="285" t="n">
        <f aca="false">OperatingCurve!AX32</f>
        <v>0</v>
      </c>
      <c r="AJ7" s="285" t="n">
        <f aca="false">OperatingCurve!AW32</f>
        <v>0</v>
      </c>
      <c r="AK7" s="285" t="n">
        <f aca="false">OperatingCurve!AY32</f>
        <v>0</v>
      </c>
      <c r="AM7" s="286" t="n">
        <f aca="false">OperatingCurve!AL32</f>
        <v>0</v>
      </c>
      <c r="AN7" s="287" t="n">
        <f aca="false">OperatingCurve!AM32</f>
        <v>0</v>
      </c>
      <c r="AP7" s="288"/>
      <c r="AQ7" s="288" t="s">
        <v>100</v>
      </c>
      <c r="AR7" s="288" t="s">
        <v>101</v>
      </c>
      <c r="AS7" s="288" t="s">
        <v>102</v>
      </c>
      <c r="AT7" s="288" t="s">
        <v>103</v>
      </c>
      <c r="AU7" s="288" t="s">
        <v>104</v>
      </c>
      <c r="AV7" s="288" t="s">
        <v>105</v>
      </c>
      <c r="AW7" s="288" t="s">
        <v>106</v>
      </c>
      <c r="AX7" s="288" t="s">
        <v>107</v>
      </c>
      <c r="AY7" s="288" t="s">
        <v>108</v>
      </c>
      <c r="AZ7" s="288" t="s">
        <v>109</v>
      </c>
      <c r="BA7" s="288" t="s">
        <v>110</v>
      </c>
      <c r="BB7" s="288" t="s">
        <v>111</v>
      </c>
      <c r="BC7" s="288"/>
      <c r="BE7" s="284" t="n">
        <f aca="false">OperatingCurve!V32</f>
        <v>36861</v>
      </c>
      <c r="BF7" s="289" t="n">
        <f aca="false">OperatingCurve!AZ32</f>
        <v>0</v>
      </c>
    </row>
    <row r="8" customFormat="false" ht="12.75" hidden="false" customHeight="false" outlineLevel="0" collapsed="false">
      <c r="A8" s="282" t="n">
        <f aca="false">OperatingCurve!D4</f>
        <v>36910</v>
      </c>
      <c r="B8" s="283" t="n">
        <f aca="false">OperatingCurve!H4</f>
        <v>150.689</v>
      </c>
      <c r="C8" s="283" t="n">
        <f aca="false">OperatingCurve!G4</f>
        <v>157.044</v>
      </c>
      <c r="D8" s="283" t="n">
        <f aca="false">OperatingCurve!I4</f>
        <v>189.569</v>
      </c>
      <c r="E8" s="278"/>
      <c r="F8" s="283" t="n">
        <f aca="false">OperatingCurve!M4</f>
        <v>0</v>
      </c>
      <c r="G8" s="283" t="n">
        <f aca="false">OperatingCurve!L4</f>
        <v>0</v>
      </c>
      <c r="H8" s="283" t="n">
        <f aca="false">OperatingCurve!N4</f>
        <v>0</v>
      </c>
      <c r="I8" s="273"/>
      <c r="J8" s="284" t="n">
        <f aca="false">OperatingCurve!V33</f>
        <v>36892</v>
      </c>
      <c r="K8" s="285" t="n">
        <f aca="false">OperatingCurve!Z33</f>
        <v>0</v>
      </c>
      <c r="L8" s="285" t="n">
        <f aca="false">OperatingCurve!Y33</f>
        <v>0</v>
      </c>
      <c r="M8" s="285" t="n">
        <f aca="false">OperatingCurve!AA33</f>
        <v>0</v>
      </c>
      <c r="O8" s="285" t="n">
        <f aca="false">OperatingCurve!AE33</f>
        <v>0</v>
      </c>
      <c r="P8" s="285" t="n">
        <f aca="false">OperatingCurve!AD33</f>
        <v>0</v>
      </c>
      <c r="Q8" s="285" t="n">
        <f aca="false">OperatingCurve!AF33</f>
        <v>0</v>
      </c>
      <c r="S8" s="285" t="n">
        <f aca="false">OperatingCurve!AJ33</f>
        <v>0</v>
      </c>
      <c r="T8" s="285" t="n">
        <f aca="false">OperatingCurve!AI33</f>
        <v>0</v>
      </c>
      <c r="U8" s="285" t="n">
        <f aca="false">OperatingCurve!AK33</f>
        <v>0</v>
      </c>
      <c r="W8" s="285" t="n">
        <f aca="false">OperatingCurve!AO33</f>
        <v>0</v>
      </c>
      <c r="X8" s="285" t="n">
        <f aca="false">OperatingCurve!AN33</f>
        <v>0</v>
      </c>
      <c r="Y8" s="285" t="n">
        <f aca="false">OperatingCurve!AP33</f>
        <v>0</v>
      </c>
      <c r="AA8" s="285" t="n">
        <f aca="false">OperatingCurve!AR33</f>
        <v>0</v>
      </c>
      <c r="AB8" s="285" t="n">
        <f aca="false">OperatingCurve!AQ33</f>
        <v>0</v>
      </c>
      <c r="AC8" s="285" t="n">
        <f aca="false">OperatingCurve!AS33</f>
        <v>0</v>
      </c>
      <c r="AE8" s="285" t="n">
        <f aca="false">OperatingCurve!AU33</f>
        <v>0</v>
      </c>
      <c r="AF8" s="285" t="n">
        <f aca="false">OperatingCurve!AT33</f>
        <v>0</v>
      </c>
      <c r="AG8" s="285" t="n">
        <f aca="false">OperatingCurve!AV33</f>
        <v>0</v>
      </c>
      <c r="AI8" s="285" t="n">
        <f aca="false">OperatingCurve!AX33</f>
        <v>0</v>
      </c>
      <c r="AJ8" s="285" t="n">
        <f aca="false">OperatingCurve!AW33</f>
        <v>0</v>
      </c>
      <c r="AK8" s="285" t="n">
        <f aca="false">OperatingCurve!AY33</f>
        <v>0</v>
      </c>
      <c r="AM8" s="286" t="n">
        <f aca="false">OperatingCurve!AL33</f>
        <v>1</v>
      </c>
      <c r="AN8" s="287" t="n">
        <f aca="false">OperatingCurve!AM33</f>
        <v>0</v>
      </c>
      <c r="AP8" s="278" t="s">
        <v>135</v>
      </c>
      <c r="AQ8" s="278"/>
      <c r="AR8" s="278"/>
      <c r="AS8" s="278"/>
      <c r="AT8" s="278"/>
      <c r="AU8" s="278"/>
      <c r="AV8" s="278"/>
      <c r="AW8" s="278"/>
      <c r="AX8" s="278"/>
      <c r="AY8" s="278"/>
      <c r="AZ8" s="278"/>
      <c r="BA8" s="278"/>
      <c r="BB8" s="278"/>
      <c r="BC8" s="278" t="s">
        <v>136</v>
      </c>
      <c r="BE8" s="284" t="n">
        <f aca="false">OperatingCurve!V33</f>
        <v>36892</v>
      </c>
      <c r="BF8" s="289" t="n">
        <f aca="false">OperatingCurve!AZ33</f>
        <v>0</v>
      </c>
    </row>
    <row r="9" customFormat="false" ht="12.75" hidden="false" customHeight="false" outlineLevel="0" collapsed="false">
      <c r="A9" s="282" t="n">
        <f aca="false">OperatingCurve!D5</f>
        <v>36911</v>
      </c>
      <c r="B9" s="283" t="n">
        <f aca="false">OperatingCurve!H5</f>
        <v>128.225</v>
      </c>
      <c r="C9" s="283" t="n">
        <f aca="false">OperatingCurve!G5</f>
        <v>134.4</v>
      </c>
      <c r="D9" s="283" t="n">
        <f aca="false">OperatingCurve!I5</f>
        <v>166.025</v>
      </c>
      <c r="E9" s="278"/>
      <c r="F9" s="283" t="n">
        <f aca="false">OperatingCurve!M5</f>
        <v>0</v>
      </c>
      <c r="G9" s="283" t="n">
        <f aca="false">OperatingCurve!L5</f>
        <v>0</v>
      </c>
      <c r="H9" s="283" t="n">
        <f aca="false">OperatingCurve!N5</f>
        <v>0</v>
      </c>
      <c r="I9" s="273"/>
      <c r="J9" s="284" t="n">
        <f aca="false">OperatingCurve!V34</f>
        <v>36923</v>
      </c>
      <c r="K9" s="285" t="n">
        <f aca="false">OperatingCurve!Z34</f>
        <v>0</v>
      </c>
      <c r="L9" s="285" t="n">
        <f aca="false">OperatingCurve!Y34</f>
        <v>0</v>
      </c>
      <c r="M9" s="285" t="n">
        <f aca="false">OperatingCurve!AA34</f>
        <v>0</v>
      </c>
      <c r="O9" s="285" t="n">
        <f aca="false">OperatingCurve!AE34</f>
        <v>0</v>
      </c>
      <c r="P9" s="285" t="n">
        <f aca="false">OperatingCurve!AD34</f>
        <v>0</v>
      </c>
      <c r="Q9" s="285" t="n">
        <f aca="false">OperatingCurve!AF34</f>
        <v>0</v>
      </c>
      <c r="S9" s="285" t="n">
        <f aca="false">OperatingCurve!AJ34</f>
        <v>0</v>
      </c>
      <c r="T9" s="285" t="n">
        <f aca="false">OperatingCurve!AI34</f>
        <v>0</v>
      </c>
      <c r="U9" s="285" t="n">
        <f aca="false">OperatingCurve!AK34</f>
        <v>0</v>
      </c>
      <c r="W9" s="285" t="n">
        <f aca="false">OperatingCurve!AO34</f>
        <v>0.72</v>
      </c>
      <c r="X9" s="285" t="n">
        <f aca="false">OperatingCurve!AN34</f>
        <v>1.6</v>
      </c>
      <c r="Y9" s="285" t="n">
        <f aca="false">OperatingCurve!AP34</f>
        <v>2</v>
      </c>
      <c r="AA9" s="285" t="n">
        <f aca="false">OperatingCurve!AR34</f>
        <v>0.64</v>
      </c>
      <c r="AB9" s="285" t="n">
        <f aca="false">OperatingCurve!AQ34</f>
        <v>1.6</v>
      </c>
      <c r="AC9" s="285" t="n">
        <f aca="false">OperatingCurve!AS34</f>
        <v>1.2</v>
      </c>
      <c r="AE9" s="285" t="n">
        <f aca="false">OperatingCurve!AU34</f>
        <v>-1.771875</v>
      </c>
      <c r="AF9" s="285" t="n">
        <f aca="false">OperatingCurve!AT34</f>
        <v>28.35</v>
      </c>
      <c r="AG9" s="285" t="n">
        <f aca="false">OperatingCurve!AV34</f>
        <v>35.4375</v>
      </c>
      <c r="AI9" s="285" t="n">
        <f aca="false">OperatingCurve!AX34</f>
        <v>-0.337875</v>
      </c>
      <c r="AJ9" s="285" t="n">
        <f aca="false">OperatingCurve!AW34</f>
        <v>5.406</v>
      </c>
      <c r="AK9" s="285" t="n">
        <f aca="false">OperatingCurve!AY34</f>
        <v>6.7575</v>
      </c>
      <c r="AM9" s="286" t="n">
        <f aca="false">OperatingCurve!AL34</f>
        <v>1</v>
      </c>
      <c r="AN9" s="287" t="n">
        <f aca="false">OperatingCurve!AM34</f>
        <v>0</v>
      </c>
      <c r="AP9" s="286" t="n">
        <f aca="false">OperatingCurve!BB119</f>
        <v>100</v>
      </c>
      <c r="AQ9" s="290" t="n">
        <f aca="false">OperatingCurve!BC119</f>
        <v>1</v>
      </c>
      <c r="AR9" s="290" t="n">
        <f aca="false">OperatingCurve!BD119</f>
        <v>1</v>
      </c>
      <c r="AS9" s="290" t="n">
        <f aca="false">OperatingCurve!BE119</f>
        <v>1</v>
      </c>
      <c r="AT9" s="290" t="n">
        <f aca="false">OperatingCurve!BF119</f>
        <v>1</v>
      </c>
      <c r="AU9" s="290" t="n">
        <f aca="false">OperatingCurve!BG119</f>
        <v>1</v>
      </c>
      <c r="AV9" s="290" t="n">
        <f aca="false">OperatingCurve!BH119</f>
        <v>1</v>
      </c>
      <c r="AW9" s="290" t="n">
        <f aca="false">OperatingCurve!BI119</f>
        <v>1</v>
      </c>
      <c r="AX9" s="290" t="n">
        <f aca="false">OperatingCurve!BJ119</f>
        <v>1</v>
      </c>
      <c r="AY9" s="290" t="n">
        <f aca="false">OperatingCurve!BK119</f>
        <v>1</v>
      </c>
      <c r="AZ9" s="290" t="n">
        <f aca="false">OperatingCurve!BL119</f>
        <v>1</v>
      </c>
      <c r="BA9" s="290" t="n">
        <f aca="false">OperatingCurve!BM119</f>
        <v>1</v>
      </c>
      <c r="BB9" s="290" t="n">
        <f aca="false">OperatingCurve!BN119</f>
        <v>1</v>
      </c>
      <c r="BC9" s="286" t="str">
        <f aca="false">OperatingCurve!BO119</f>
        <v>2</v>
      </c>
      <c r="BE9" s="284" t="n">
        <f aca="false">OperatingCurve!V34</f>
        <v>36923</v>
      </c>
      <c r="BF9" s="289" t="n">
        <f aca="false">OperatingCurve!AZ34</f>
        <v>0</v>
      </c>
    </row>
    <row r="10" customFormat="false" ht="12.75" hidden="false" customHeight="false" outlineLevel="0" collapsed="false">
      <c r="A10" s="282" t="n">
        <f aca="false">OperatingCurve!D6</f>
        <v>36912</v>
      </c>
      <c r="B10" s="283" t="n">
        <f aca="false">OperatingCurve!H6</f>
        <v>116.025</v>
      </c>
      <c r="C10" s="283" t="n">
        <f aca="false">OperatingCurve!G6</f>
        <v>122.1</v>
      </c>
      <c r="D10" s="283" t="n">
        <f aca="false">OperatingCurve!I6</f>
        <v>153.225</v>
      </c>
      <c r="E10" s="278"/>
      <c r="F10" s="283" t="n">
        <f aca="false">OperatingCurve!M6</f>
        <v>0</v>
      </c>
      <c r="G10" s="283" t="n">
        <f aca="false">OperatingCurve!L6</f>
        <v>0</v>
      </c>
      <c r="H10" s="283" t="n">
        <f aca="false">OperatingCurve!N6</f>
        <v>0</v>
      </c>
      <c r="I10" s="273"/>
      <c r="J10" s="284" t="n">
        <f aca="false">OperatingCurve!V35</f>
        <v>36951</v>
      </c>
      <c r="K10" s="285" t="n">
        <f aca="false">OperatingCurve!Z35</f>
        <v>0</v>
      </c>
      <c r="L10" s="285" t="n">
        <f aca="false">OperatingCurve!Y35</f>
        <v>0</v>
      </c>
      <c r="M10" s="285" t="n">
        <f aca="false">OperatingCurve!AA35</f>
        <v>0</v>
      </c>
      <c r="O10" s="285" t="n">
        <f aca="false">OperatingCurve!AE35</f>
        <v>0</v>
      </c>
      <c r="P10" s="285" t="n">
        <f aca="false">OperatingCurve!AD35</f>
        <v>0</v>
      </c>
      <c r="Q10" s="285" t="n">
        <f aca="false">OperatingCurve!AF35</f>
        <v>0</v>
      </c>
      <c r="S10" s="285" t="n">
        <f aca="false">OperatingCurve!AJ35</f>
        <v>0</v>
      </c>
      <c r="T10" s="285" t="n">
        <f aca="false">OperatingCurve!AI35</f>
        <v>0</v>
      </c>
      <c r="U10" s="285" t="n">
        <f aca="false">OperatingCurve!AK35</f>
        <v>0</v>
      </c>
      <c r="W10" s="285" t="n">
        <f aca="false">OperatingCurve!AO35</f>
        <v>0.756</v>
      </c>
      <c r="X10" s="285" t="n">
        <f aca="false">OperatingCurve!AN35</f>
        <v>1.68</v>
      </c>
      <c r="Y10" s="285" t="n">
        <f aca="false">OperatingCurve!AP35</f>
        <v>2.1</v>
      </c>
      <c r="AA10" s="285" t="n">
        <f aca="false">OperatingCurve!AR35</f>
        <v>0.672</v>
      </c>
      <c r="AB10" s="285" t="n">
        <f aca="false">OperatingCurve!AQ35</f>
        <v>1.68</v>
      </c>
      <c r="AC10" s="285" t="n">
        <f aca="false">OperatingCurve!AS35</f>
        <v>1.26</v>
      </c>
      <c r="AE10" s="285" t="n">
        <f aca="false">OperatingCurve!AU35</f>
        <v>-1.792375</v>
      </c>
      <c r="AF10" s="285" t="n">
        <f aca="false">OperatingCurve!AT35</f>
        <v>28.678</v>
      </c>
      <c r="AG10" s="285" t="n">
        <f aca="false">OperatingCurve!AV35</f>
        <v>35.8475</v>
      </c>
      <c r="AI10" s="285" t="n">
        <f aca="false">OperatingCurve!AX35</f>
        <v>-0.3673125</v>
      </c>
      <c r="AJ10" s="285" t="n">
        <f aca="false">OperatingCurve!AW35</f>
        <v>5.877</v>
      </c>
      <c r="AK10" s="285" t="n">
        <f aca="false">OperatingCurve!AY35</f>
        <v>7.34625</v>
      </c>
      <c r="AM10" s="286" t="n">
        <f aca="false">OperatingCurve!AL35</f>
        <v>1</v>
      </c>
      <c r="AN10" s="287" t="n">
        <f aca="false">OperatingCurve!AM35</f>
        <v>0</v>
      </c>
      <c r="AP10" s="286" t="n">
        <f aca="false">OperatingCurve!BB120</f>
        <v>200</v>
      </c>
      <c r="AQ10" s="290" t="n">
        <f aca="false">OperatingCurve!BC120</f>
        <v>1</v>
      </c>
      <c r="AR10" s="290" t="n">
        <f aca="false">OperatingCurve!BD120</f>
        <v>1</v>
      </c>
      <c r="AS10" s="290" t="n">
        <f aca="false">OperatingCurve!BE120</f>
        <v>1</v>
      </c>
      <c r="AT10" s="290" t="n">
        <f aca="false">OperatingCurve!BF120</f>
        <v>1</v>
      </c>
      <c r="AU10" s="290" t="n">
        <f aca="false">OperatingCurve!BG120</f>
        <v>1</v>
      </c>
      <c r="AV10" s="290" t="n">
        <f aca="false">OperatingCurve!BH120</f>
        <v>1</v>
      </c>
      <c r="AW10" s="290" t="n">
        <f aca="false">OperatingCurve!BI120</f>
        <v>1</v>
      </c>
      <c r="AX10" s="290" t="n">
        <f aca="false">OperatingCurve!BJ120</f>
        <v>1</v>
      </c>
      <c r="AY10" s="290" t="n">
        <f aca="false">OperatingCurve!BK120</f>
        <v>1</v>
      </c>
      <c r="AZ10" s="290" t="n">
        <f aca="false">OperatingCurve!BL120</f>
        <v>1</v>
      </c>
      <c r="BA10" s="290" t="n">
        <f aca="false">OperatingCurve!BM120</f>
        <v>1</v>
      </c>
      <c r="BB10" s="290" t="n">
        <f aca="false">OperatingCurve!BN120</f>
        <v>1</v>
      </c>
      <c r="BC10" s="286" t="str">
        <f aca="false">OperatingCurve!BO120</f>
        <v>2</v>
      </c>
      <c r="BE10" s="284" t="n">
        <f aca="false">OperatingCurve!V35</f>
        <v>36951</v>
      </c>
      <c r="BF10" s="289" t="n">
        <f aca="false">OperatingCurve!AZ35</f>
        <v>0</v>
      </c>
    </row>
    <row r="11" customFormat="false" ht="12.75" hidden="false" customHeight="false" outlineLevel="0" collapsed="false">
      <c r="A11" s="282" t="n">
        <f aca="false">OperatingCurve!D7</f>
        <v>36913</v>
      </c>
      <c r="B11" s="283" t="n">
        <f aca="false">OperatingCurve!H7</f>
        <v>150.689</v>
      </c>
      <c r="C11" s="283" t="n">
        <f aca="false">OperatingCurve!G7</f>
        <v>157.044</v>
      </c>
      <c r="D11" s="283" t="n">
        <f aca="false">OperatingCurve!I7</f>
        <v>189.569</v>
      </c>
      <c r="E11" s="278"/>
      <c r="F11" s="283" t="n">
        <f aca="false">OperatingCurve!M7</f>
        <v>0</v>
      </c>
      <c r="G11" s="283" t="n">
        <f aca="false">OperatingCurve!L7</f>
        <v>0</v>
      </c>
      <c r="H11" s="283" t="n">
        <f aca="false">OperatingCurve!N7</f>
        <v>0</v>
      </c>
      <c r="I11" s="273"/>
      <c r="J11" s="284" t="n">
        <f aca="false">OperatingCurve!V36</f>
        <v>36982</v>
      </c>
      <c r="K11" s="285" t="n">
        <f aca="false">OperatingCurve!Z36</f>
        <v>0</v>
      </c>
      <c r="L11" s="285" t="n">
        <f aca="false">OperatingCurve!Y36</f>
        <v>0</v>
      </c>
      <c r="M11" s="285" t="n">
        <f aca="false">OperatingCurve!AA36</f>
        <v>0</v>
      </c>
      <c r="O11" s="285" t="n">
        <f aca="false">OperatingCurve!AE36</f>
        <v>0</v>
      </c>
      <c r="P11" s="285" t="n">
        <f aca="false">OperatingCurve!AD36</f>
        <v>0</v>
      </c>
      <c r="Q11" s="285" t="n">
        <f aca="false">OperatingCurve!AF36</f>
        <v>0</v>
      </c>
      <c r="S11" s="285" t="n">
        <f aca="false">OperatingCurve!AJ36</f>
        <v>0</v>
      </c>
      <c r="T11" s="285" t="n">
        <f aca="false">OperatingCurve!AI36</f>
        <v>0</v>
      </c>
      <c r="U11" s="285" t="n">
        <f aca="false">OperatingCurve!AK36</f>
        <v>0</v>
      </c>
      <c r="W11" s="285" t="n">
        <f aca="false">OperatingCurve!AO36</f>
        <v>0.549</v>
      </c>
      <c r="X11" s="285" t="n">
        <f aca="false">OperatingCurve!AN36</f>
        <v>1.22</v>
      </c>
      <c r="Y11" s="285" t="n">
        <f aca="false">OperatingCurve!AP36</f>
        <v>1.525</v>
      </c>
      <c r="AA11" s="285" t="n">
        <f aca="false">OperatingCurve!AR36</f>
        <v>0.488</v>
      </c>
      <c r="AB11" s="285" t="n">
        <f aca="false">OperatingCurve!AQ36</f>
        <v>1.22</v>
      </c>
      <c r="AC11" s="285" t="n">
        <f aca="false">OperatingCurve!AS36</f>
        <v>0.915</v>
      </c>
      <c r="AE11" s="285" t="n">
        <f aca="false">OperatingCurve!AU36</f>
        <v>-1.76675</v>
      </c>
      <c r="AF11" s="285" t="n">
        <f aca="false">OperatingCurve!AT36</f>
        <v>28.268</v>
      </c>
      <c r="AG11" s="285" t="n">
        <f aca="false">OperatingCurve!AV36</f>
        <v>35.335</v>
      </c>
      <c r="AI11" s="285" t="n">
        <f aca="false">OperatingCurve!AX36</f>
        <v>-0.34965</v>
      </c>
      <c r="AJ11" s="285" t="n">
        <f aca="false">OperatingCurve!AW36</f>
        <v>5.5944</v>
      </c>
      <c r="AK11" s="285" t="n">
        <f aca="false">OperatingCurve!AY36</f>
        <v>6.993</v>
      </c>
      <c r="AM11" s="286" t="n">
        <f aca="false">OperatingCurve!AL36</f>
        <v>2</v>
      </c>
      <c r="AN11" s="287" t="n">
        <f aca="false">OperatingCurve!AM36</f>
        <v>0</v>
      </c>
      <c r="AP11" s="286" t="n">
        <f aca="false">OperatingCurve!BB121</f>
        <v>300</v>
      </c>
      <c r="AQ11" s="290" t="n">
        <f aca="false">OperatingCurve!BC121</f>
        <v>1</v>
      </c>
      <c r="AR11" s="290" t="n">
        <f aca="false">OperatingCurve!BD121</f>
        <v>1</v>
      </c>
      <c r="AS11" s="290" t="n">
        <f aca="false">OperatingCurve!BE121</f>
        <v>1</v>
      </c>
      <c r="AT11" s="290" t="n">
        <f aca="false">OperatingCurve!BF121</f>
        <v>1</v>
      </c>
      <c r="AU11" s="290" t="n">
        <f aca="false">OperatingCurve!BG121</f>
        <v>1</v>
      </c>
      <c r="AV11" s="290" t="n">
        <f aca="false">OperatingCurve!BH121</f>
        <v>1</v>
      </c>
      <c r="AW11" s="290" t="n">
        <f aca="false">OperatingCurve!BI121</f>
        <v>1</v>
      </c>
      <c r="AX11" s="290" t="n">
        <f aca="false">OperatingCurve!BJ121</f>
        <v>1</v>
      </c>
      <c r="AY11" s="290" t="n">
        <f aca="false">OperatingCurve!BK121</f>
        <v>1</v>
      </c>
      <c r="AZ11" s="290" t="n">
        <f aca="false">OperatingCurve!BL121</f>
        <v>1</v>
      </c>
      <c r="BA11" s="290" t="n">
        <f aca="false">OperatingCurve!BM121</f>
        <v>1</v>
      </c>
      <c r="BB11" s="290" t="n">
        <f aca="false">OperatingCurve!BN121</f>
        <v>1</v>
      </c>
      <c r="BC11" s="286" t="str">
        <f aca="false">OperatingCurve!BO121</f>
        <v>2</v>
      </c>
      <c r="BE11" s="284" t="n">
        <f aca="false">OperatingCurve!V36</f>
        <v>36982</v>
      </c>
      <c r="BF11" s="289" t="n">
        <f aca="false">OperatingCurve!AZ36</f>
        <v>0</v>
      </c>
    </row>
    <row r="12" customFormat="false" ht="12.75" hidden="false" customHeight="false" outlineLevel="0" collapsed="false">
      <c r="A12" s="282" t="n">
        <f aca="false">OperatingCurve!D8</f>
        <v>36914</v>
      </c>
      <c r="B12" s="283" t="n">
        <f aca="false">OperatingCurve!H8</f>
        <v>150.689</v>
      </c>
      <c r="C12" s="283" t="n">
        <f aca="false">OperatingCurve!G8</f>
        <v>157.044</v>
      </c>
      <c r="D12" s="283" t="n">
        <f aca="false">OperatingCurve!I8</f>
        <v>189.569</v>
      </c>
      <c r="E12" s="278"/>
      <c r="F12" s="283" t="n">
        <f aca="false">OperatingCurve!M8</f>
        <v>0</v>
      </c>
      <c r="G12" s="283" t="n">
        <f aca="false">OperatingCurve!L8</f>
        <v>0</v>
      </c>
      <c r="H12" s="283" t="n">
        <f aca="false">OperatingCurve!N8</f>
        <v>0</v>
      </c>
      <c r="I12" s="273"/>
      <c r="J12" s="284" t="n">
        <f aca="false">OperatingCurve!V37</f>
        <v>37012</v>
      </c>
      <c r="K12" s="285" t="n">
        <f aca="false">OperatingCurve!Z37</f>
        <v>0</v>
      </c>
      <c r="L12" s="285" t="n">
        <f aca="false">OperatingCurve!Y37</f>
        <v>0</v>
      </c>
      <c r="M12" s="285" t="n">
        <f aca="false">OperatingCurve!AA37</f>
        <v>0</v>
      </c>
      <c r="O12" s="285" t="n">
        <f aca="false">OperatingCurve!AE37</f>
        <v>0</v>
      </c>
      <c r="P12" s="285" t="n">
        <f aca="false">OperatingCurve!AD37</f>
        <v>0</v>
      </c>
      <c r="Q12" s="285" t="n">
        <f aca="false">OperatingCurve!AF37</f>
        <v>0</v>
      </c>
      <c r="S12" s="285" t="n">
        <f aca="false">OperatingCurve!AJ37</f>
        <v>0</v>
      </c>
      <c r="T12" s="285" t="n">
        <f aca="false">OperatingCurve!AI37</f>
        <v>0</v>
      </c>
      <c r="U12" s="285" t="n">
        <f aca="false">OperatingCurve!AK37</f>
        <v>0</v>
      </c>
      <c r="W12" s="285" t="n">
        <f aca="false">OperatingCurve!AO37</f>
        <v>0.4365</v>
      </c>
      <c r="X12" s="285" t="n">
        <f aca="false">OperatingCurve!AN37</f>
        <v>0.97</v>
      </c>
      <c r="Y12" s="285" t="n">
        <f aca="false">OperatingCurve!AP37</f>
        <v>1.2125</v>
      </c>
      <c r="AA12" s="285" t="n">
        <f aca="false">OperatingCurve!AR37</f>
        <v>0.388</v>
      </c>
      <c r="AB12" s="285" t="n">
        <f aca="false">OperatingCurve!AQ37</f>
        <v>0.97</v>
      </c>
      <c r="AC12" s="285" t="n">
        <f aca="false">OperatingCurve!AS37</f>
        <v>0.7275</v>
      </c>
      <c r="AE12" s="285" t="n">
        <f aca="false">OperatingCurve!AU37</f>
        <v>-1.864125</v>
      </c>
      <c r="AF12" s="285" t="n">
        <f aca="false">OperatingCurve!AT37</f>
        <v>29.826</v>
      </c>
      <c r="AG12" s="285" t="n">
        <f aca="false">OperatingCurve!AV37</f>
        <v>37.2825</v>
      </c>
      <c r="AI12" s="285" t="n">
        <f aca="false">OperatingCurve!AX37</f>
        <v>-0.3790875</v>
      </c>
      <c r="AJ12" s="285" t="n">
        <f aca="false">OperatingCurve!AW37</f>
        <v>6.0654</v>
      </c>
      <c r="AK12" s="285" t="n">
        <f aca="false">OperatingCurve!AY37</f>
        <v>7.58175</v>
      </c>
      <c r="AM12" s="286" t="n">
        <f aca="false">OperatingCurve!AL37</f>
        <v>2</v>
      </c>
      <c r="AN12" s="287" t="n">
        <f aca="false">OperatingCurve!AM37</f>
        <v>0</v>
      </c>
      <c r="AP12" s="286" t="n">
        <f aca="false">OperatingCurve!BB122</f>
        <v>400</v>
      </c>
      <c r="AQ12" s="290" t="n">
        <f aca="false">OperatingCurve!BC122</f>
        <v>1</v>
      </c>
      <c r="AR12" s="290" t="n">
        <f aca="false">OperatingCurve!BD122</f>
        <v>1</v>
      </c>
      <c r="AS12" s="290" t="n">
        <f aca="false">OperatingCurve!BE122</f>
        <v>1</v>
      </c>
      <c r="AT12" s="290" t="n">
        <f aca="false">OperatingCurve!BF122</f>
        <v>1</v>
      </c>
      <c r="AU12" s="290" t="n">
        <f aca="false">OperatingCurve!BG122</f>
        <v>1</v>
      </c>
      <c r="AV12" s="290" t="n">
        <f aca="false">OperatingCurve!BH122</f>
        <v>1</v>
      </c>
      <c r="AW12" s="290" t="n">
        <f aca="false">OperatingCurve!BI122</f>
        <v>1</v>
      </c>
      <c r="AX12" s="290" t="n">
        <f aca="false">OperatingCurve!BJ122</f>
        <v>1</v>
      </c>
      <c r="AY12" s="290" t="n">
        <f aca="false">OperatingCurve!BK122</f>
        <v>1</v>
      </c>
      <c r="AZ12" s="290" t="n">
        <f aca="false">OperatingCurve!BL122</f>
        <v>1</v>
      </c>
      <c r="BA12" s="290" t="n">
        <f aca="false">OperatingCurve!BM122</f>
        <v>1</v>
      </c>
      <c r="BB12" s="290" t="n">
        <f aca="false">OperatingCurve!BN122</f>
        <v>1</v>
      </c>
      <c r="BC12" s="286" t="str">
        <f aca="false">OperatingCurve!BO122</f>
        <v>2</v>
      </c>
      <c r="BE12" s="284" t="n">
        <f aca="false">OperatingCurve!V37</f>
        <v>37012</v>
      </c>
      <c r="BF12" s="289" t="n">
        <f aca="false">OperatingCurve!AZ37</f>
        <v>0</v>
      </c>
    </row>
    <row r="13" customFormat="false" ht="12.75" hidden="false" customHeight="false" outlineLevel="0" collapsed="false">
      <c r="A13" s="282" t="n">
        <f aca="false">OperatingCurve!D9</f>
        <v>36915</v>
      </c>
      <c r="B13" s="283" t="n">
        <f aca="false">OperatingCurve!H9</f>
        <v>150.689</v>
      </c>
      <c r="C13" s="283" t="n">
        <f aca="false">OperatingCurve!G9</f>
        <v>157.044</v>
      </c>
      <c r="D13" s="283" t="n">
        <f aca="false">OperatingCurve!I9</f>
        <v>189.569</v>
      </c>
      <c r="E13" s="278"/>
      <c r="F13" s="283" t="n">
        <f aca="false">OperatingCurve!M9</f>
        <v>0</v>
      </c>
      <c r="G13" s="283" t="n">
        <f aca="false">OperatingCurve!L9</f>
        <v>0</v>
      </c>
      <c r="H13" s="283" t="n">
        <f aca="false">OperatingCurve!N9</f>
        <v>0</v>
      </c>
      <c r="I13" s="273"/>
      <c r="J13" s="284" t="n">
        <f aca="false">OperatingCurve!V38</f>
        <v>37043</v>
      </c>
      <c r="K13" s="285" t="n">
        <f aca="false">OperatingCurve!Z38</f>
        <v>0</v>
      </c>
      <c r="L13" s="285" t="n">
        <f aca="false">OperatingCurve!Y38</f>
        <v>0</v>
      </c>
      <c r="M13" s="285" t="n">
        <f aca="false">OperatingCurve!AA38</f>
        <v>0</v>
      </c>
      <c r="O13" s="285" t="n">
        <f aca="false">OperatingCurve!AE38</f>
        <v>0</v>
      </c>
      <c r="P13" s="285" t="n">
        <f aca="false">OperatingCurve!AD38</f>
        <v>0</v>
      </c>
      <c r="Q13" s="285" t="n">
        <f aca="false">OperatingCurve!AF38</f>
        <v>0</v>
      </c>
      <c r="S13" s="285" t="n">
        <f aca="false">OperatingCurve!AJ38</f>
        <v>0</v>
      </c>
      <c r="T13" s="285" t="n">
        <f aca="false">OperatingCurve!AI38</f>
        <v>0</v>
      </c>
      <c r="U13" s="285" t="n">
        <f aca="false">OperatingCurve!AK38</f>
        <v>0</v>
      </c>
      <c r="W13" s="285" t="n">
        <f aca="false">OperatingCurve!AO38</f>
        <v>0.4275</v>
      </c>
      <c r="X13" s="285" t="n">
        <f aca="false">OperatingCurve!AN38</f>
        <v>0.95</v>
      </c>
      <c r="Y13" s="285" t="n">
        <f aca="false">OperatingCurve!AP38</f>
        <v>1.1875</v>
      </c>
      <c r="AA13" s="285" t="n">
        <f aca="false">OperatingCurve!AR38</f>
        <v>0.38</v>
      </c>
      <c r="AB13" s="285" t="n">
        <f aca="false">OperatingCurve!AQ38</f>
        <v>0.95</v>
      </c>
      <c r="AC13" s="285" t="n">
        <f aca="false">OperatingCurve!AS38</f>
        <v>0.7125</v>
      </c>
      <c r="AE13" s="285" t="n">
        <f aca="false">OperatingCurve!AU38</f>
        <v>-1.76675</v>
      </c>
      <c r="AF13" s="285" t="n">
        <f aca="false">OperatingCurve!AT38</f>
        <v>28.268</v>
      </c>
      <c r="AG13" s="285" t="n">
        <f aca="false">OperatingCurve!AV38</f>
        <v>35.335</v>
      </c>
      <c r="AI13" s="285" t="n">
        <f aca="false">OperatingCurve!AX38</f>
        <v>-0.3437625</v>
      </c>
      <c r="AJ13" s="285" t="n">
        <f aca="false">OperatingCurve!AW38</f>
        <v>5.5002</v>
      </c>
      <c r="AK13" s="285" t="n">
        <f aca="false">OperatingCurve!AY38</f>
        <v>6.87525</v>
      </c>
      <c r="AM13" s="286" t="n">
        <f aca="false">OperatingCurve!AL38</f>
        <v>2</v>
      </c>
      <c r="AN13" s="287" t="n">
        <f aca="false">OperatingCurve!AM38</f>
        <v>0</v>
      </c>
      <c r="AP13" s="286" t="n">
        <f aca="false">OperatingCurve!BB123</f>
        <v>500</v>
      </c>
      <c r="AQ13" s="290" t="n">
        <f aca="false">OperatingCurve!BC123</f>
        <v>1</v>
      </c>
      <c r="AR13" s="290" t="n">
        <f aca="false">OperatingCurve!BD123</f>
        <v>1</v>
      </c>
      <c r="AS13" s="290" t="n">
        <f aca="false">OperatingCurve!BE123</f>
        <v>1</v>
      </c>
      <c r="AT13" s="290" t="n">
        <f aca="false">OperatingCurve!BF123</f>
        <v>1</v>
      </c>
      <c r="AU13" s="290" t="n">
        <f aca="false">OperatingCurve!BG123</f>
        <v>1</v>
      </c>
      <c r="AV13" s="290" t="n">
        <f aca="false">OperatingCurve!BH123</f>
        <v>1</v>
      </c>
      <c r="AW13" s="290" t="n">
        <f aca="false">OperatingCurve!BI123</f>
        <v>1</v>
      </c>
      <c r="AX13" s="290" t="n">
        <f aca="false">OperatingCurve!BJ123</f>
        <v>1</v>
      </c>
      <c r="AY13" s="290" t="n">
        <f aca="false">OperatingCurve!BK123</f>
        <v>1</v>
      </c>
      <c r="AZ13" s="290" t="n">
        <f aca="false">OperatingCurve!BL123</f>
        <v>1</v>
      </c>
      <c r="BA13" s="290" t="n">
        <f aca="false">OperatingCurve!BM123</f>
        <v>1</v>
      </c>
      <c r="BB13" s="290" t="n">
        <f aca="false">OperatingCurve!BN123</f>
        <v>1</v>
      </c>
      <c r="BC13" s="286" t="str">
        <f aca="false">OperatingCurve!BO123</f>
        <v>2</v>
      </c>
      <c r="BE13" s="284" t="n">
        <f aca="false">OperatingCurve!V38</f>
        <v>37043</v>
      </c>
      <c r="BF13" s="289" t="n">
        <f aca="false">OperatingCurve!AZ38</f>
        <v>0</v>
      </c>
    </row>
    <row r="14" customFormat="false" ht="12.75" hidden="false" customHeight="false" outlineLevel="0" collapsed="false">
      <c r="A14" s="282" t="n">
        <f aca="false">OperatingCurve!D10</f>
        <v>36916</v>
      </c>
      <c r="B14" s="283" t="n">
        <f aca="false">OperatingCurve!H10</f>
        <v>150.689</v>
      </c>
      <c r="C14" s="283" t="n">
        <f aca="false">OperatingCurve!G10</f>
        <v>157.044</v>
      </c>
      <c r="D14" s="283" t="n">
        <f aca="false">OperatingCurve!I10</f>
        <v>189.569</v>
      </c>
      <c r="E14" s="278"/>
      <c r="F14" s="283" t="n">
        <f aca="false">OperatingCurve!M10</f>
        <v>0</v>
      </c>
      <c r="G14" s="283" t="n">
        <f aca="false">OperatingCurve!L10</f>
        <v>0</v>
      </c>
      <c r="H14" s="283" t="n">
        <f aca="false">OperatingCurve!N10</f>
        <v>0</v>
      </c>
      <c r="I14" s="273"/>
      <c r="J14" s="284" t="n">
        <f aca="false">OperatingCurve!V39</f>
        <v>37073</v>
      </c>
      <c r="K14" s="285" t="n">
        <f aca="false">OperatingCurve!Z39</f>
        <v>0</v>
      </c>
      <c r="L14" s="285" t="n">
        <f aca="false">OperatingCurve!Y39</f>
        <v>0</v>
      </c>
      <c r="M14" s="285" t="n">
        <f aca="false">OperatingCurve!AA39</f>
        <v>0</v>
      </c>
      <c r="O14" s="285" t="n">
        <f aca="false">OperatingCurve!AE39</f>
        <v>0</v>
      </c>
      <c r="P14" s="285" t="n">
        <f aca="false">OperatingCurve!AD39</f>
        <v>0</v>
      </c>
      <c r="Q14" s="285" t="n">
        <f aca="false">OperatingCurve!AF39</f>
        <v>0</v>
      </c>
      <c r="S14" s="285" t="n">
        <f aca="false">OperatingCurve!AJ39</f>
        <v>0</v>
      </c>
      <c r="T14" s="285" t="n">
        <f aca="false">OperatingCurve!AI39</f>
        <v>0</v>
      </c>
      <c r="U14" s="285" t="n">
        <f aca="false">OperatingCurve!AK39</f>
        <v>0</v>
      </c>
      <c r="W14" s="285" t="n">
        <f aca="false">OperatingCurve!AO39</f>
        <v>0.4275</v>
      </c>
      <c r="X14" s="285" t="n">
        <f aca="false">OperatingCurve!AN39</f>
        <v>0.95</v>
      </c>
      <c r="Y14" s="285" t="n">
        <f aca="false">OperatingCurve!AP39</f>
        <v>1.1875</v>
      </c>
      <c r="AA14" s="285" t="n">
        <f aca="false">OperatingCurve!AR39</f>
        <v>0.38</v>
      </c>
      <c r="AB14" s="285" t="n">
        <f aca="false">OperatingCurve!AQ39</f>
        <v>0.95</v>
      </c>
      <c r="AC14" s="285" t="n">
        <f aca="false">OperatingCurve!AS39</f>
        <v>0.7125</v>
      </c>
      <c r="AE14" s="285" t="n">
        <f aca="false">OperatingCurve!AU39</f>
        <v>-1.669375</v>
      </c>
      <c r="AF14" s="285" t="n">
        <f aca="false">OperatingCurve!AT39</f>
        <v>26.71</v>
      </c>
      <c r="AG14" s="285" t="n">
        <f aca="false">OperatingCurve!AV39</f>
        <v>33.3875</v>
      </c>
      <c r="AI14" s="285" t="n">
        <f aca="false">OperatingCurve!AX39</f>
        <v>-0.4261875</v>
      </c>
      <c r="AJ14" s="285" t="n">
        <f aca="false">OperatingCurve!AW39</f>
        <v>6.819</v>
      </c>
      <c r="AK14" s="285" t="n">
        <f aca="false">OperatingCurve!AY39</f>
        <v>8.52375</v>
      </c>
      <c r="AM14" s="286" t="n">
        <f aca="false">OperatingCurve!AL39</f>
        <v>3</v>
      </c>
      <c r="AN14" s="287" t="n">
        <f aca="false">OperatingCurve!AM39</f>
        <v>0</v>
      </c>
      <c r="AP14" s="286" t="n">
        <f aca="false">OperatingCurve!BB124</f>
        <v>600</v>
      </c>
      <c r="AQ14" s="290" t="n">
        <f aca="false">OperatingCurve!BC124</f>
        <v>1</v>
      </c>
      <c r="AR14" s="290" t="n">
        <f aca="false">OperatingCurve!BD124</f>
        <v>1</v>
      </c>
      <c r="AS14" s="290" t="n">
        <f aca="false">OperatingCurve!BE124</f>
        <v>1</v>
      </c>
      <c r="AT14" s="290" t="n">
        <f aca="false">OperatingCurve!BF124</f>
        <v>1</v>
      </c>
      <c r="AU14" s="290" t="n">
        <f aca="false">OperatingCurve!BG124</f>
        <v>1</v>
      </c>
      <c r="AV14" s="290" t="n">
        <f aca="false">OperatingCurve!BH124</f>
        <v>1</v>
      </c>
      <c r="AW14" s="290" t="n">
        <f aca="false">OperatingCurve!BI124</f>
        <v>1</v>
      </c>
      <c r="AX14" s="290" t="n">
        <f aca="false">OperatingCurve!BJ124</f>
        <v>1</v>
      </c>
      <c r="AY14" s="290" t="n">
        <f aca="false">OperatingCurve!BK124</f>
        <v>1</v>
      </c>
      <c r="AZ14" s="290" t="n">
        <f aca="false">OperatingCurve!BL124</f>
        <v>1</v>
      </c>
      <c r="BA14" s="290" t="n">
        <f aca="false">OperatingCurve!BM124</f>
        <v>1</v>
      </c>
      <c r="BB14" s="290" t="n">
        <f aca="false">OperatingCurve!BN124</f>
        <v>1</v>
      </c>
      <c r="BC14" s="286" t="str">
        <f aca="false">OperatingCurve!BO124</f>
        <v>2</v>
      </c>
      <c r="BE14" s="284" t="n">
        <f aca="false">OperatingCurve!V39</f>
        <v>37073</v>
      </c>
      <c r="BF14" s="289" t="n">
        <f aca="false">OperatingCurve!AZ39</f>
        <v>0</v>
      </c>
    </row>
    <row r="15" customFormat="false" ht="12.75" hidden="false" customHeight="false" outlineLevel="0" collapsed="false">
      <c r="A15" s="282" t="n">
        <f aca="false">OperatingCurve!D11</f>
        <v>36917</v>
      </c>
      <c r="B15" s="283" t="n">
        <f aca="false">OperatingCurve!H11</f>
        <v>150.689</v>
      </c>
      <c r="C15" s="283" t="n">
        <f aca="false">OperatingCurve!G11</f>
        <v>157.044</v>
      </c>
      <c r="D15" s="283" t="n">
        <f aca="false">OperatingCurve!I11</f>
        <v>189.569</v>
      </c>
      <c r="E15" s="278"/>
      <c r="F15" s="283" t="n">
        <f aca="false">OperatingCurve!M11</f>
        <v>0</v>
      </c>
      <c r="G15" s="283" t="n">
        <f aca="false">OperatingCurve!L11</f>
        <v>0</v>
      </c>
      <c r="H15" s="283" t="n">
        <f aca="false">OperatingCurve!N11</f>
        <v>0</v>
      </c>
      <c r="I15" s="273"/>
      <c r="J15" s="284" t="n">
        <f aca="false">OperatingCurve!V40</f>
        <v>37104</v>
      </c>
      <c r="K15" s="285" t="n">
        <f aca="false">OperatingCurve!Z40</f>
        <v>0</v>
      </c>
      <c r="L15" s="285" t="n">
        <f aca="false">OperatingCurve!Y40</f>
        <v>0</v>
      </c>
      <c r="M15" s="285" t="n">
        <f aca="false">OperatingCurve!AA40</f>
        <v>0</v>
      </c>
      <c r="O15" s="285" t="n">
        <f aca="false">OperatingCurve!AE40</f>
        <v>0</v>
      </c>
      <c r="P15" s="285" t="n">
        <f aca="false">OperatingCurve!AD40</f>
        <v>0</v>
      </c>
      <c r="Q15" s="285" t="n">
        <f aca="false">OperatingCurve!AF40</f>
        <v>0</v>
      </c>
      <c r="S15" s="285" t="n">
        <f aca="false">OperatingCurve!AJ40</f>
        <v>0</v>
      </c>
      <c r="T15" s="285" t="n">
        <f aca="false">OperatingCurve!AI40</f>
        <v>0</v>
      </c>
      <c r="U15" s="285" t="n">
        <f aca="false">OperatingCurve!AK40</f>
        <v>0</v>
      </c>
      <c r="W15" s="285" t="n">
        <f aca="false">OperatingCurve!AO40</f>
        <v>0.4275</v>
      </c>
      <c r="X15" s="285" t="n">
        <f aca="false">OperatingCurve!AN40</f>
        <v>0.95</v>
      </c>
      <c r="Y15" s="285" t="n">
        <f aca="false">OperatingCurve!AP40</f>
        <v>1.1875</v>
      </c>
      <c r="AA15" s="285" t="n">
        <f aca="false">OperatingCurve!AR40</f>
        <v>0.38</v>
      </c>
      <c r="AB15" s="285" t="n">
        <f aca="false">OperatingCurve!AQ40</f>
        <v>0.95</v>
      </c>
      <c r="AC15" s="285" t="n">
        <f aca="false">OperatingCurve!AS40</f>
        <v>0.7125</v>
      </c>
      <c r="AE15" s="285" t="n">
        <f aca="false">OperatingCurve!AU40</f>
        <v>-1.474625</v>
      </c>
      <c r="AF15" s="285" t="n">
        <f aca="false">OperatingCurve!AT40</f>
        <v>23.594</v>
      </c>
      <c r="AG15" s="285" t="n">
        <f aca="false">OperatingCurve!AV40</f>
        <v>29.4925</v>
      </c>
      <c r="AI15" s="285" t="n">
        <f aca="false">OperatingCurve!AX40</f>
        <v>-0.4203</v>
      </c>
      <c r="AJ15" s="285" t="n">
        <f aca="false">OperatingCurve!AW40</f>
        <v>6.7248</v>
      </c>
      <c r="AK15" s="285" t="n">
        <f aca="false">OperatingCurve!AY40</f>
        <v>8.406</v>
      </c>
      <c r="AM15" s="286" t="n">
        <f aca="false">OperatingCurve!AL40</f>
        <v>3</v>
      </c>
      <c r="AN15" s="287" t="n">
        <f aca="false">OperatingCurve!AM40</f>
        <v>0</v>
      </c>
      <c r="AP15" s="286" t="n">
        <f aca="false">OperatingCurve!BB125</f>
        <v>700</v>
      </c>
      <c r="AQ15" s="290" t="n">
        <f aca="false">OperatingCurve!BC125</f>
        <v>1</v>
      </c>
      <c r="AR15" s="290" t="n">
        <f aca="false">OperatingCurve!BD125</f>
        <v>1</v>
      </c>
      <c r="AS15" s="290" t="n">
        <f aca="false">OperatingCurve!BE125</f>
        <v>1</v>
      </c>
      <c r="AT15" s="290" t="n">
        <f aca="false">OperatingCurve!BF125</f>
        <v>1</v>
      </c>
      <c r="AU15" s="290" t="n">
        <f aca="false">OperatingCurve!BG125</f>
        <v>1</v>
      </c>
      <c r="AV15" s="290" t="n">
        <f aca="false">OperatingCurve!BH125</f>
        <v>1</v>
      </c>
      <c r="AW15" s="290" t="n">
        <f aca="false">OperatingCurve!BI125</f>
        <v>1</v>
      </c>
      <c r="AX15" s="290" t="n">
        <f aca="false">OperatingCurve!BJ125</f>
        <v>1</v>
      </c>
      <c r="AY15" s="290" t="n">
        <f aca="false">OperatingCurve!BK125</f>
        <v>1</v>
      </c>
      <c r="AZ15" s="290" t="n">
        <f aca="false">OperatingCurve!BL125</f>
        <v>1</v>
      </c>
      <c r="BA15" s="290" t="n">
        <f aca="false">OperatingCurve!BM125</f>
        <v>1</v>
      </c>
      <c r="BB15" s="290" t="n">
        <f aca="false">OperatingCurve!BN125</f>
        <v>1</v>
      </c>
      <c r="BC15" s="286" t="str">
        <f aca="false">OperatingCurve!BO125</f>
        <v>1</v>
      </c>
      <c r="BE15" s="284" t="n">
        <f aca="false">OperatingCurve!V40</f>
        <v>37104</v>
      </c>
      <c r="BF15" s="289" t="n">
        <f aca="false">OperatingCurve!AZ40</f>
        <v>0</v>
      </c>
    </row>
    <row r="16" customFormat="false" ht="12.75" hidden="false" customHeight="false" outlineLevel="0" collapsed="false">
      <c r="A16" s="282" t="n">
        <f aca="false">OperatingCurve!D12</f>
        <v>36918</v>
      </c>
      <c r="B16" s="283" t="n">
        <f aca="false">OperatingCurve!H12</f>
        <v>128.225</v>
      </c>
      <c r="C16" s="283" t="n">
        <f aca="false">OperatingCurve!G12</f>
        <v>134.4</v>
      </c>
      <c r="D16" s="283" t="n">
        <f aca="false">OperatingCurve!I12</f>
        <v>166.025</v>
      </c>
      <c r="E16" s="278"/>
      <c r="F16" s="283" t="n">
        <f aca="false">OperatingCurve!M12</f>
        <v>0</v>
      </c>
      <c r="G16" s="283" t="n">
        <f aca="false">OperatingCurve!L12</f>
        <v>0</v>
      </c>
      <c r="H16" s="283" t="n">
        <f aca="false">OperatingCurve!N12</f>
        <v>0</v>
      </c>
      <c r="I16" s="273"/>
      <c r="J16" s="284" t="n">
        <f aca="false">OperatingCurve!V41</f>
        <v>37135</v>
      </c>
      <c r="K16" s="285" t="n">
        <f aca="false">OperatingCurve!Z41</f>
        <v>0</v>
      </c>
      <c r="L16" s="285" t="n">
        <f aca="false">OperatingCurve!Y41</f>
        <v>0</v>
      </c>
      <c r="M16" s="285" t="n">
        <f aca="false">OperatingCurve!AA41</f>
        <v>0</v>
      </c>
      <c r="O16" s="285" t="n">
        <f aca="false">OperatingCurve!AE41</f>
        <v>0</v>
      </c>
      <c r="P16" s="285" t="n">
        <f aca="false">OperatingCurve!AD41</f>
        <v>0</v>
      </c>
      <c r="Q16" s="285" t="n">
        <f aca="false">OperatingCurve!AF41</f>
        <v>0</v>
      </c>
      <c r="S16" s="285" t="n">
        <f aca="false">OperatingCurve!AJ41</f>
        <v>0</v>
      </c>
      <c r="T16" s="285" t="n">
        <f aca="false">OperatingCurve!AI41</f>
        <v>0</v>
      </c>
      <c r="U16" s="285" t="n">
        <f aca="false">OperatingCurve!AK41</f>
        <v>0</v>
      </c>
      <c r="W16" s="285" t="n">
        <f aca="false">OperatingCurve!AO41</f>
        <v>0.42975</v>
      </c>
      <c r="X16" s="285" t="n">
        <f aca="false">OperatingCurve!AN41</f>
        <v>0.955</v>
      </c>
      <c r="Y16" s="285" t="n">
        <f aca="false">OperatingCurve!AP41</f>
        <v>1.19375</v>
      </c>
      <c r="AA16" s="285" t="n">
        <f aca="false">OperatingCurve!AR41</f>
        <v>0.382</v>
      </c>
      <c r="AB16" s="285" t="n">
        <f aca="false">OperatingCurve!AQ41</f>
        <v>0.955</v>
      </c>
      <c r="AC16" s="285" t="n">
        <f aca="false">OperatingCurve!AS41</f>
        <v>0.71625</v>
      </c>
      <c r="AE16" s="285" t="n">
        <f aca="false">OperatingCurve!AU41</f>
        <v>-1.700125</v>
      </c>
      <c r="AF16" s="285" t="n">
        <f aca="false">OperatingCurve!AT41</f>
        <v>27.202</v>
      </c>
      <c r="AG16" s="285" t="n">
        <f aca="false">OperatingCurve!AV41</f>
        <v>34.0025</v>
      </c>
      <c r="AI16" s="285" t="n">
        <f aca="false">OperatingCurve!AX41</f>
        <v>-0.4497375</v>
      </c>
      <c r="AJ16" s="285" t="n">
        <f aca="false">OperatingCurve!AW41</f>
        <v>7.1958</v>
      </c>
      <c r="AK16" s="285" t="n">
        <f aca="false">OperatingCurve!AY41</f>
        <v>8.99475</v>
      </c>
      <c r="AM16" s="286" t="n">
        <f aca="false">OperatingCurve!AL41</f>
        <v>3</v>
      </c>
      <c r="AN16" s="287" t="n">
        <f aca="false">OperatingCurve!AM41</f>
        <v>0.15</v>
      </c>
      <c r="AP16" s="286" t="n">
        <f aca="false">OperatingCurve!BB126</f>
        <v>800</v>
      </c>
      <c r="AQ16" s="290" t="n">
        <f aca="false">OperatingCurve!BC126</f>
        <v>1</v>
      </c>
      <c r="AR16" s="290" t="n">
        <f aca="false">OperatingCurve!BD126</f>
        <v>1</v>
      </c>
      <c r="AS16" s="290" t="n">
        <f aca="false">OperatingCurve!BE126</f>
        <v>1</v>
      </c>
      <c r="AT16" s="290" t="n">
        <f aca="false">OperatingCurve!BF126</f>
        <v>1</v>
      </c>
      <c r="AU16" s="290" t="n">
        <f aca="false">OperatingCurve!BG126</f>
        <v>1</v>
      </c>
      <c r="AV16" s="290" t="n">
        <f aca="false">OperatingCurve!BH126</f>
        <v>1</v>
      </c>
      <c r="AW16" s="290" t="n">
        <f aca="false">OperatingCurve!BI126</f>
        <v>1</v>
      </c>
      <c r="AX16" s="290" t="n">
        <f aca="false">OperatingCurve!BJ126</f>
        <v>1</v>
      </c>
      <c r="AY16" s="290" t="n">
        <f aca="false">OperatingCurve!BK126</f>
        <v>1</v>
      </c>
      <c r="AZ16" s="290" t="n">
        <f aca="false">OperatingCurve!BL126</f>
        <v>1</v>
      </c>
      <c r="BA16" s="290" t="n">
        <f aca="false">OperatingCurve!BM126</f>
        <v>1</v>
      </c>
      <c r="BB16" s="290" t="n">
        <f aca="false">OperatingCurve!BN126</f>
        <v>1</v>
      </c>
      <c r="BC16" s="286" t="str">
        <f aca="false">OperatingCurve!BO126</f>
        <v>1</v>
      </c>
      <c r="BE16" s="284" t="n">
        <f aca="false">OperatingCurve!V41</f>
        <v>37135</v>
      </c>
      <c r="BF16" s="289" t="n">
        <f aca="false">OperatingCurve!AZ41</f>
        <v>0</v>
      </c>
    </row>
    <row r="17" customFormat="false" ht="12.75" hidden="false" customHeight="false" outlineLevel="0" collapsed="false">
      <c r="A17" s="282" t="n">
        <f aca="false">OperatingCurve!D13</f>
        <v>36919</v>
      </c>
      <c r="B17" s="283" t="n">
        <f aca="false">OperatingCurve!H13</f>
        <v>116.025</v>
      </c>
      <c r="C17" s="283" t="n">
        <f aca="false">OperatingCurve!G13</f>
        <v>122.1</v>
      </c>
      <c r="D17" s="283" t="n">
        <f aca="false">OperatingCurve!I13</f>
        <v>153.225</v>
      </c>
      <c r="E17" s="278"/>
      <c r="F17" s="283" t="n">
        <f aca="false">OperatingCurve!M13</f>
        <v>0</v>
      </c>
      <c r="G17" s="283" t="n">
        <f aca="false">OperatingCurve!L13</f>
        <v>0</v>
      </c>
      <c r="H17" s="283" t="n">
        <f aca="false">OperatingCurve!N13</f>
        <v>0</v>
      </c>
      <c r="I17" s="273"/>
      <c r="J17" s="284" t="n">
        <f aca="false">OperatingCurve!V42</f>
        <v>37165</v>
      </c>
      <c r="K17" s="285" t="n">
        <f aca="false">OperatingCurve!Z42</f>
        <v>0</v>
      </c>
      <c r="L17" s="285" t="n">
        <f aca="false">OperatingCurve!Y42</f>
        <v>0</v>
      </c>
      <c r="M17" s="285" t="n">
        <f aca="false">OperatingCurve!AA42</f>
        <v>0</v>
      </c>
      <c r="O17" s="285" t="n">
        <f aca="false">OperatingCurve!AE42</f>
        <v>0</v>
      </c>
      <c r="P17" s="285" t="n">
        <f aca="false">OperatingCurve!AD42</f>
        <v>0</v>
      </c>
      <c r="Q17" s="285" t="n">
        <f aca="false">OperatingCurve!AF42</f>
        <v>0</v>
      </c>
      <c r="S17" s="285" t="n">
        <f aca="false">OperatingCurve!AJ42</f>
        <v>0</v>
      </c>
      <c r="T17" s="285" t="n">
        <f aca="false">OperatingCurve!AI42</f>
        <v>0</v>
      </c>
      <c r="U17" s="285" t="n">
        <f aca="false">OperatingCurve!AK42</f>
        <v>0</v>
      </c>
      <c r="W17" s="285" t="n">
        <f aca="false">OperatingCurve!AO42</f>
        <v>0.42975</v>
      </c>
      <c r="X17" s="285" t="n">
        <f aca="false">OperatingCurve!AN42</f>
        <v>0.955</v>
      </c>
      <c r="Y17" s="285" t="n">
        <f aca="false">OperatingCurve!AP42</f>
        <v>1.19375</v>
      </c>
      <c r="AA17" s="285" t="n">
        <f aca="false">OperatingCurve!AR42</f>
        <v>0.382</v>
      </c>
      <c r="AB17" s="285" t="n">
        <f aca="false">OperatingCurve!AQ42</f>
        <v>0.955</v>
      </c>
      <c r="AC17" s="285" t="n">
        <f aca="false">OperatingCurve!AS42</f>
        <v>0.71625</v>
      </c>
      <c r="AE17" s="285" t="n">
        <f aca="false">OperatingCurve!AU42</f>
        <v>-1.812875</v>
      </c>
      <c r="AF17" s="285" t="n">
        <f aca="false">OperatingCurve!AT42</f>
        <v>29.006</v>
      </c>
      <c r="AG17" s="285" t="n">
        <f aca="false">OperatingCurve!AV42</f>
        <v>36.2575</v>
      </c>
      <c r="AI17" s="285" t="n">
        <f aca="false">OperatingCurve!AX42</f>
        <v>-0.44385</v>
      </c>
      <c r="AJ17" s="285" t="n">
        <f aca="false">OperatingCurve!AW42</f>
        <v>7.1016</v>
      </c>
      <c r="AK17" s="285" t="n">
        <f aca="false">OperatingCurve!AY42</f>
        <v>8.877</v>
      </c>
      <c r="AM17" s="286" t="n">
        <f aca="false">OperatingCurve!AL42</f>
        <v>4</v>
      </c>
      <c r="AN17" s="287" t="n">
        <f aca="false">OperatingCurve!AM42</f>
        <v>0.15</v>
      </c>
      <c r="AP17" s="286" t="n">
        <f aca="false">OperatingCurve!BB127</f>
        <v>900</v>
      </c>
      <c r="AQ17" s="290" t="n">
        <f aca="false">OperatingCurve!BC127</f>
        <v>1</v>
      </c>
      <c r="AR17" s="290" t="n">
        <f aca="false">OperatingCurve!BD127</f>
        <v>1</v>
      </c>
      <c r="AS17" s="290" t="n">
        <f aca="false">OperatingCurve!BE127</f>
        <v>1</v>
      </c>
      <c r="AT17" s="290" t="n">
        <f aca="false">OperatingCurve!BF127</f>
        <v>1</v>
      </c>
      <c r="AU17" s="290" t="n">
        <f aca="false">OperatingCurve!BG127</f>
        <v>1</v>
      </c>
      <c r="AV17" s="290" t="n">
        <f aca="false">OperatingCurve!BH127</f>
        <v>1</v>
      </c>
      <c r="AW17" s="290" t="n">
        <f aca="false">OperatingCurve!BI127</f>
        <v>1</v>
      </c>
      <c r="AX17" s="290" t="n">
        <f aca="false">OperatingCurve!BJ127</f>
        <v>1</v>
      </c>
      <c r="AY17" s="290" t="n">
        <f aca="false">OperatingCurve!BK127</f>
        <v>1</v>
      </c>
      <c r="AZ17" s="290" t="n">
        <f aca="false">OperatingCurve!BL127</f>
        <v>1</v>
      </c>
      <c r="BA17" s="290" t="n">
        <f aca="false">OperatingCurve!BM127</f>
        <v>1</v>
      </c>
      <c r="BB17" s="290" t="n">
        <f aca="false">OperatingCurve!BN127</f>
        <v>1</v>
      </c>
      <c r="BC17" s="286" t="str">
        <f aca="false">OperatingCurve!BO127</f>
        <v>1</v>
      </c>
      <c r="BE17" s="284" t="n">
        <f aca="false">OperatingCurve!V42</f>
        <v>37165</v>
      </c>
      <c r="BF17" s="289" t="n">
        <f aca="false">OperatingCurve!AZ42</f>
        <v>0</v>
      </c>
    </row>
    <row r="18" customFormat="false" ht="12.75" hidden="false" customHeight="false" outlineLevel="0" collapsed="false">
      <c r="A18" s="282" t="n">
        <f aca="false">OperatingCurve!D14</f>
        <v>36920</v>
      </c>
      <c r="B18" s="283" t="n">
        <f aca="false">OperatingCurve!H14</f>
        <v>150.689</v>
      </c>
      <c r="C18" s="283" t="n">
        <f aca="false">OperatingCurve!G14</f>
        <v>157.044</v>
      </c>
      <c r="D18" s="283" t="n">
        <f aca="false">OperatingCurve!I14</f>
        <v>189.569</v>
      </c>
      <c r="E18" s="278"/>
      <c r="F18" s="283" t="n">
        <f aca="false">OperatingCurve!M14</f>
        <v>0</v>
      </c>
      <c r="G18" s="283" t="n">
        <f aca="false">OperatingCurve!L14</f>
        <v>0</v>
      </c>
      <c r="H18" s="283" t="n">
        <f aca="false">OperatingCurve!N14</f>
        <v>0</v>
      </c>
      <c r="I18" s="273"/>
      <c r="J18" s="284" t="n">
        <f aca="false">OperatingCurve!V43</f>
        <v>37196</v>
      </c>
      <c r="K18" s="285" t="n">
        <f aca="false">OperatingCurve!Z43</f>
        <v>0</v>
      </c>
      <c r="L18" s="285" t="n">
        <f aca="false">OperatingCurve!Y43</f>
        <v>0</v>
      </c>
      <c r="M18" s="285" t="n">
        <f aca="false">OperatingCurve!AA43</f>
        <v>0</v>
      </c>
      <c r="O18" s="285" t="n">
        <f aca="false">OperatingCurve!AE43</f>
        <v>0</v>
      </c>
      <c r="P18" s="285" t="n">
        <f aca="false">OperatingCurve!AD43</f>
        <v>0</v>
      </c>
      <c r="Q18" s="285" t="n">
        <f aca="false">OperatingCurve!AF43</f>
        <v>0</v>
      </c>
      <c r="S18" s="285" t="n">
        <f aca="false">OperatingCurve!AJ43</f>
        <v>0</v>
      </c>
      <c r="T18" s="285" t="n">
        <f aca="false">OperatingCurve!AI43</f>
        <v>0</v>
      </c>
      <c r="U18" s="285" t="n">
        <f aca="false">OperatingCurve!AK43</f>
        <v>0</v>
      </c>
      <c r="W18" s="285" t="n">
        <f aca="false">OperatingCurve!AO43</f>
        <v>0.43425</v>
      </c>
      <c r="X18" s="285" t="n">
        <f aca="false">OperatingCurve!AN43</f>
        <v>0.965</v>
      </c>
      <c r="Y18" s="285" t="n">
        <f aca="false">OperatingCurve!AP43</f>
        <v>1.20625</v>
      </c>
      <c r="AA18" s="285" t="n">
        <f aca="false">OperatingCurve!AR43</f>
        <v>0.386</v>
      </c>
      <c r="AB18" s="285" t="n">
        <f aca="false">OperatingCurve!AQ43</f>
        <v>0.965</v>
      </c>
      <c r="AC18" s="285" t="n">
        <f aca="false">OperatingCurve!AS43</f>
        <v>0.72375</v>
      </c>
      <c r="AE18" s="285" t="n">
        <f aca="false">OperatingCurve!AU43</f>
        <v>-1.9615</v>
      </c>
      <c r="AF18" s="285" t="n">
        <f aca="false">OperatingCurve!AT43</f>
        <v>31.384</v>
      </c>
      <c r="AG18" s="285" t="n">
        <f aca="false">OperatingCurve!AV43</f>
        <v>39.23</v>
      </c>
      <c r="AI18" s="285" t="n">
        <f aca="false">OperatingCurve!AX43</f>
        <v>-0.4497375</v>
      </c>
      <c r="AJ18" s="285" t="n">
        <f aca="false">OperatingCurve!AW43</f>
        <v>7.1958</v>
      </c>
      <c r="AK18" s="285" t="n">
        <f aca="false">OperatingCurve!AY43</f>
        <v>8.99475</v>
      </c>
      <c r="AM18" s="286" t="n">
        <f aca="false">OperatingCurve!AL43</f>
        <v>4</v>
      </c>
      <c r="AN18" s="287" t="n">
        <f aca="false">OperatingCurve!AM43</f>
        <v>0.15</v>
      </c>
      <c r="AP18" s="286" t="n">
        <f aca="false">OperatingCurve!BB128</f>
        <v>1000</v>
      </c>
      <c r="AQ18" s="290" t="n">
        <f aca="false">OperatingCurve!BC128</f>
        <v>1</v>
      </c>
      <c r="AR18" s="290" t="n">
        <f aca="false">OperatingCurve!BD128</f>
        <v>1</v>
      </c>
      <c r="AS18" s="290" t="n">
        <f aca="false">OperatingCurve!BE128</f>
        <v>1</v>
      </c>
      <c r="AT18" s="290" t="n">
        <f aca="false">OperatingCurve!BF128</f>
        <v>1</v>
      </c>
      <c r="AU18" s="290" t="n">
        <f aca="false">OperatingCurve!BG128</f>
        <v>1</v>
      </c>
      <c r="AV18" s="290" t="n">
        <f aca="false">OperatingCurve!BH128</f>
        <v>1</v>
      </c>
      <c r="AW18" s="290" t="n">
        <f aca="false">OperatingCurve!BI128</f>
        <v>1</v>
      </c>
      <c r="AX18" s="290" t="n">
        <f aca="false">OperatingCurve!BJ128</f>
        <v>1</v>
      </c>
      <c r="AY18" s="290" t="n">
        <f aca="false">OperatingCurve!BK128</f>
        <v>1</v>
      </c>
      <c r="AZ18" s="290" t="n">
        <f aca="false">OperatingCurve!BL128</f>
        <v>1</v>
      </c>
      <c r="BA18" s="290" t="n">
        <f aca="false">OperatingCurve!BM128</f>
        <v>1</v>
      </c>
      <c r="BB18" s="290" t="n">
        <f aca="false">OperatingCurve!BN128</f>
        <v>1</v>
      </c>
      <c r="BC18" s="286" t="str">
        <f aca="false">OperatingCurve!BO128</f>
        <v>1</v>
      </c>
      <c r="BE18" s="284" t="n">
        <f aca="false">OperatingCurve!V43</f>
        <v>37196</v>
      </c>
      <c r="BF18" s="289" t="n">
        <f aca="false">OperatingCurve!AZ43</f>
        <v>0</v>
      </c>
    </row>
    <row r="19" customFormat="false" ht="12.75" hidden="false" customHeight="false" outlineLevel="0" collapsed="false">
      <c r="A19" s="282" t="n">
        <f aca="false">OperatingCurve!D15</f>
        <v>36921</v>
      </c>
      <c r="B19" s="283" t="n">
        <f aca="false">OperatingCurve!H15</f>
        <v>150.689</v>
      </c>
      <c r="C19" s="283" t="n">
        <f aca="false">OperatingCurve!G15</f>
        <v>157.044</v>
      </c>
      <c r="D19" s="283" t="n">
        <f aca="false">OperatingCurve!I15</f>
        <v>189.569</v>
      </c>
      <c r="E19" s="278"/>
      <c r="F19" s="283" t="n">
        <f aca="false">OperatingCurve!M15</f>
        <v>0</v>
      </c>
      <c r="G19" s="283" t="n">
        <f aca="false">OperatingCurve!L15</f>
        <v>0</v>
      </c>
      <c r="H19" s="283" t="n">
        <f aca="false">OperatingCurve!N15</f>
        <v>0</v>
      </c>
      <c r="I19" s="273"/>
      <c r="J19" s="284" t="n">
        <f aca="false">OperatingCurve!V44</f>
        <v>37226</v>
      </c>
      <c r="K19" s="285" t="n">
        <f aca="false">OperatingCurve!Z44</f>
        <v>0</v>
      </c>
      <c r="L19" s="285" t="n">
        <f aca="false">OperatingCurve!Y44</f>
        <v>0</v>
      </c>
      <c r="M19" s="285" t="n">
        <f aca="false">OperatingCurve!AA44</f>
        <v>0</v>
      </c>
      <c r="O19" s="285" t="n">
        <f aca="false">OperatingCurve!AE44</f>
        <v>0</v>
      </c>
      <c r="P19" s="285" t="n">
        <f aca="false">OperatingCurve!AD44</f>
        <v>0</v>
      </c>
      <c r="Q19" s="285" t="n">
        <f aca="false">OperatingCurve!AF44</f>
        <v>0</v>
      </c>
      <c r="S19" s="285" t="n">
        <f aca="false">OperatingCurve!AJ44</f>
        <v>0</v>
      </c>
      <c r="T19" s="285" t="n">
        <f aca="false">OperatingCurve!AI44</f>
        <v>0</v>
      </c>
      <c r="U19" s="285" t="n">
        <f aca="false">OperatingCurve!AK44</f>
        <v>0</v>
      </c>
      <c r="W19" s="285" t="n">
        <f aca="false">OperatingCurve!AO44</f>
        <v>0.43425</v>
      </c>
      <c r="X19" s="285" t="n">
        <f aca="false">OperatingCurve!AN44</f>
        <v>0.965</v>
      </c>
      <c r="Y19" s="285" t="n">
        <f aca="false">OperatingCurve!AP44</f>
        <v>1.20625</v>
      </c>
      <c r="AA19" s="285" t="n">
        <f aca="false">OperatingCurve!AR44</f>
        <v>0.386</v>
      </c>
      <c r="AB19" s="285" t="n">
        <f aca="false">OperatingCurve!AQ44</f>
        <v>0.965</v>
      </c>
      <c r="AC19" s="285" t="n">
        <f aca="false">OperatingCurve!AS44</f>
        <v>0.72375</v>
      </c>
      <c r="AE19" s="285" t="n">
        <f aca="false">OperatingCurve!AU44</f>
        <v>-1.874375</v>
      </c>
      <c r="AF19" s="285" t="n">
        <f aca="false">OperatingCurve!AT44</f>
        <v>29.99</v>
      </c>
      <c r="AG19" s="285" t="n">
        <f aca="false">OperatingCurve!AV44</f>
        <v>37.4875</v>
      </c>
      <c r="AI19" s="285" t="n">
        <f aca="false">OperatingCurve!AX44</f>
        <v>-0.455625</v>
      </c>
      <c r="AJ19" s="285" t="n">
        <f aca="false">OperatingCurve!AW44</f>
        <v>7.29</v>
      </c>
      <c r="AK19" s="285" t="n">
        <f aca="false">OperatingCurve!AY44</f>
        <v>9.1125</v>
      </c>
      <c r="AM19" s="286" t="n">
        <f aca="false">OperatingCurve!AL44</f>
        <v>4</v>
      </c>
      <c r="AN19" s="287" t="n">
        <f aca="false">OperatingCurve!AM44</f>
        <v>0.15</v>
      </c>
      <c r="AP19" s="286" t="n">
        <f aca="false">OperatingCurve!BB129</f>
        <v>1100</v>
      </c>
      <c r="AQ19" s="290" t="n">
        <f aca="false">OperatingCurve!BC129</f>
        <v>1</v>
      </c>
      <c r="AR19" s="290" t="n">
        <f aca="false">OperatingCurve!BD129</f>
        <v>1</v>
      </c>
      <c r="AS19" s="290" t="n">
        <f aca="false">OperatingCurve!BE129</f>
        <v>1</v>
      </c>
      <c r="AT19" s="290" t="n">
        <f aca="false">OperatingCurve!BF129</f>
        <v>1</v>
      </c>
      <c r="AU19" s="290" t="n">
        <f aca="false">OperatingCurve!BG129</f>
        <v>1</v>
      </c>
      <c r="AV19" s="290" t="n">
        <f aca="false">OperatingCurve!BH129</f>
        <v>1</v>
      </c>
      <c r="AW19" s="290" t="n">
        <f aca="false">OperatingCurve!BI129</f>
        <v>1</v>
      </c>
      <c r="AX19" s="290" t="n">
        <f aca="false">OperatingCurve!BJ129</f>
        <v>1</v>
      </c>
      <c r="AY19" s="290" t="n">
        <f aca="false">OperatingCurve!BK129</f>
        <v>1</v>
      </c>
      <c r="AZ19" s="290" t="n">
        <f aca="false">OperatingCurve!BL129</f>
        <v>1</v>
      </c>
      <c r="BA19" s="290" t="n">
        <f aca="false">OperatingCurve!BM129</f>
        <v>1</v>
      </c>
      <c r="BB19" s="290" t="n">
        <f aca="false">OperatingCurve!BN129</f>
        <v>1</v>
      </c>
      <c r="BC19" s="286" t="str">
        <f aca="false">OperatingCurve!BO129</f>
        <v>1</v>
      </c>
      <c r="BE19" s="284" t="n">
        <f aca="false">OperatingCurve!V44</f>
        <v>37226</v>
      </c>
      <c r="BF19" s="289" t="n">
        <f aca="false">OperatingCurve!AZ44</f>
        <v>0</v>
      </c>
    </row>
    <row r="20" customFormat="false" ht="12.75" hidden="false" customHeight="false" outlineLevel="0" collapsed="false">
      <c r="A20" s="282" t="n">
        <f aca="false">OperatingCurve!D16</f>
        <v>36922</v>
      </c>
      <c r="B20" s="283" t="n">
        <f aca="false">OperatingCurve!H16</f>
        <v>150.689</v>
      </c>
      <c r="C20" s="283" t="n">
        <f aca="false">OperatingCurve!G16</f>
        <v>157.044</v>
      </c>
      <c r="D20" s="283" t="n">
        <f aca="false">OperatingCurve!I16</f>
        <v>189.569</v>
      </c>
      <c r="E20" s="278"/>
      <c r="F20" s="283" t="n">
        <f aca="false">OperatingCurve!M16</f>
        <v>0</v>
      </c>
      <c r="G20" s="283" t="n">
        <f aca="false">OperatingCurve!L16</f>
        <v>0</v>
      </c>
      <c r="H20" s="283" t="n">
        <f aca="false">OperatingCurve!N16</f>
        <v>0</v>
      </c>
      <c r="I20" s="273"/>
      <c r="J20" s="284" t="n">
        <f aca="false">OperatingCurve!V45</f>
        <v>37257</v>
      </c>
      <c r="K20" s="285" t="n">
        <f aca="false">OperatingCurve!Z45</f>
        <v>0</v>
      </c>
      <c r="L20" s="285" t="n">
        <f aca="false">OperatingCurve!Y45</f>
        <v>0</v>
      </c>
      <c r="M20" s="285" t="n">
        <f aca="false">OperatingCurve!AA45</f>
        <v>0</v>
      </c>
      <c r="O20" s="285" t="n">
        <f aca="false">OperatingCurve!AE45</f>
        <v>0</v>
      </c>
      <c r="P20" s="285" t="n">
        <f aca="false">OperatingCurve!AD45</f>
        <v>0</v>
      </c>
      <c r="Q20" s="285" t="n">
        <f aca="false">OperatingCurve!AF45</f>
        <v>0</v>
      </c>
      <c r="S20" s="285" t="n">
        <f aca="false">OperatingCurve!AJ45</f>
        <v>0</v>
      </c>
      <c r="T20" s="285" t="n">
        <f aca="false">OperatingCurve!AI45</f>
        <v>0</v>
      </c>
      <c r="U20" s="285" t="n">
        <f aca="false">OperatingCurve!AK45</f>
        <v>0</v>
      </c>
      <c r="W20" s="285" t="n">
        <f aca="false">OperatingCurve!AO45</f>
        <v>0.43425</v>
      </c>
      <c r="X20" s="285" t="n">
        <f aca="false">OperatingCurve!AN45</f>
        <v>0.965</v>
      </c>
      <c r="Y20" s="285" t="n">
        <f aca="false">OperatingCurve!AP45</f>
        <v>1.20625</v>
      </c>
      <c r="AA20" s="285" t="n">
        <f aca="false">OperatingCurve!AR45</f>
        <v>0.386</v>
      </c>
      <c r="AB20" s="285" t="n">
        <f aca="false">OperatingCurve!AQ45</f>
        <v>0.965</v>
      </c>
      <c r="AC20" s="285" t="n">
        <f aca="false">OperatingCurve!AS45</f>
        <v>0.72375</v>
      </c>
      <c r="AE20" s="285" t="n">
        <f aca="false">OperatingCurve!AU45</f>
        <v>-1.864125</v>
      </c>
      <c r="AF20" s="285" t="n">
        <f aca="false">OperatingCurve!AT45</f>
        <v>29.826</v>
      </c>
      <c r="AG20" s="285" t="n">
        <f aca="false">OperatingCurve!AV45</f>
        <v>37.2825</v>
      </c>
      <c r="AI20" s="285" t="n">
        <f aca="false">OperatingCurve!AX45</f>
        <v>-0.4674</v>
      </c>
      <c r="AJ20" s="285" t="n">
        <f aca="false">OperatingCurve!AW45</f>
        <v>7.4784</v>
      </c>
      <c r="AK20" s="285" t="n">
        <f aca="false">OperatingCurve!AY45</f>
        <v>9.348</v>
      </c>
      <c r="AM20" s="286" t="n">
        <f aca="false">OperatingCurve!AL45</f>
        <v>5</v>
      </c>
      <c r="AN20" s="287" t="n">
        <f aca="false">OperatingCurve!AM45</f>
        <v>0.15</v>
      </c>
      <c r="AP20" s="286" t="n">
        <f aca="false">OperatingCurve!BB130</f>
        <v>1200</v>
      </c>
      <c r="AQ20" s="290" t="n">
        <f aca="false">OperatingCurve!BC130</f>
        <v>1</v>
      </c>
      <c r="AR20" s="290" t="n">
        <f aca="false">OperatingCurve!BD130</f>
        <v>1</v>
      </c>
      <c r="AS20" s="290" t="n">
        <f aca="false">OperatingCurve!BE130</f>
        <v>1</v>
      </c>
      <c r="AT20" s="290" t="n">
        <f aca="false">OperatingCurve!BF130</f>
        <v>1</v>
      </c>
      <c r="AU20" s="290" t="n">
        <f aca="false">OperatingCurve!BG130</f>
        <v>1</v>
      </c>
      <c r="AV20" s="290" t="n">
        <f aca="false">OperatingCurve!BH130</f>
        <v>1</v>
      </c>
      <c r="AW20" s="290" t="n">
        <f aca="false">OperatingCurve!BI130</f>
        <v>1</v>
      </c>
      <c r="AX20" s="290" t="n">
        <f aca="false">OperatingCurve!BJ130</f>
        <v>1</v>
      </c>
      <c r="AY20" s="290" t="n">
        <f aca="false">OperatingCurve!BK130</f>
        <v>1</v>
      </c>
      <c r="AZ20" s="290" t="n">
        <f aca="false">OperatingCurve!BL130</f>
        <v>1</v>
      </c>
      <c r="BA20" s="290" t="n">
        <f aca="false">OperatingCurve!BM130</f>
        <v>1</v>
      </c>
      <c r="BB20" s="290" t="n">
        <f aca="false">OperatingCurve!BN130</f>
        <v>1</v>
      </c>
      <c r="BC20" s="286" t="str">
        <f aca="false">OperatingCurve!BO130</f>
        <v>1</v>
      </c>
      <c r="BE20" s="284" t="n">
        <f aca="false">OperatingCurve!V45</f>
        <v>37257</v>
      </c>
      <c r="BF20" s="289" t="n">
        <f aca="false">OperatingCurve!AZ45</f>
        <v>0</v>
      </c>
    </row>
    <row r="21" customFormat="false" ht="12.75" hidden="false" customHeight="false" outlineLevel="0" collapsed="false">
      <c r="A21" s="282" t="n">
        <f aca="false">OperatingCurve!D17</f>
        <v>36923</v>
      </c>
      <c r="B21" s="283" t="n">
        <f aca="false">OperatingCurve!H17</f>
        <v>198.9</v>
      </c>
      <c r="C21" s="283" t="n">
        <f aca="false">OperatingCurve!G17</f>
        <v>205.625</v>
      </c>
      <c r="D21" s="283" t="n">
        <f aca="false">OperatingCurve!I17</f>
        <v>240</v>
      </c>
      <c r="E21" s="278"/>
      <c r="F21" s="283" t="n">
        <f aca="false">OperatingCurve!M17</f>
        <v>0</v>
      </c>
      <c r="G21" s="283" t="n">
        <f aca="false">OperatingCurve!L17</f>
        <v>0</v>
      </c>
      <c r="H21" s="283" t="n">
        <f aca="false">OperatingCurve!N17</f>
        <v>0</v>
      </c>
      <c r="I21" s="273"/>
      <c r="J21" s="284" t="n">
        <f aca="false">OperatingCurve!V46</f>
        <v>37288</v>
      </c>
      <c r="K21" s="285" t="n">
        <f aca="false">OperatingCurve!Z46</f>
        <v>0</v>
      </c>
      <c r="L21" s="285" t="n">
        <f aca="false">OperatingCurve!Y46</f>
        <v>0</v>
      </c>
      <c r="M21" s="285" t="n">
        <f aca="false">OperatingCurve!AA46</f>
        <v>0</v>
      </c>
      <c r="O21" s="285" t="n">
        <f aca="false">OperatingCurve!AE46</f>
        <v>0</v>
      </c>
      <c r="P21" s="285" t="n">
        <f aca="false">OperatingCurve!AD46</f>
        <v>0</v>
      </c>
      <c r="Q21" s="285" t="n">
        <f aca="false">OperatingCurve!AF46</f>
        <v>0</v>
      </c>
      <c r="S21" s="285" t="n">
        <f aca="false">OperatingCurve!AJ46</f>
        <v>0</v>
      </c>
      <c r="T21" s="285" t="n">
        <f aca="false">OperatingCurve!AI46</f>
        <v>0</v>
      </c>
      <c r="U21" s="285" t="n">
        <f aca="false">OperatingCurve!AK46</f>
        <v>0</v>
      </c>
      <c r="W21" s="285" t="n">
        <f aca="false">OperatingCurve!AO46</f>
        <v>0.423</v>
      </c>
      <c r="X21" s="285" t="n">
        <f aca="false">OperatingCurve!AN46</f>
        <v>0.94</v>
      </c>
      <c r="Y21" s="285" t="n">
        <f aca="false">OperatingCurve!AP46</f>
        <v>1.175</v>
      </c>
      <c r="AA21" s="285" t="n">
        <f aca="false">OperatingCurve!AR46</f>
        <v>0.376</v>
      </c>
      <c r="AB21" s="285" t="n">
        <f aca="false">OperatingCurve!AQ46</f>
        <v>0.94</v>
      </c>
      <c r="AC21" s="285" t="n">
        <f aca="false">OperatingCurve!AS46</f>
        <v>0.705</v>
      </c>
      <c r="AE21" s="285" t="n">
        <f aca="false">OperatingCurve!AU46</f>
        <v>-1.941</v>
      </c>
      <c r="AF21" s="285" t="n">
        <f aca="false">OperatingCurve!AT46</f>
        <v>31.056</v>
      </c>
      <c r="AG21" s="285" t="n">
        <f aca="false">OperatingCurve!AV46</f>
        <v>38.82</v>
      </c>
      <c r="AI21" s="285" t="n">
        <f aca="false">OperatingCurve!AX46</f>
        <v>-0.4850625</v>
      </c>
      <c r="AJ21" s="285" t="n">
        <f aca="false">OperatingCurve!AW46</f>
        <v>7.761</v>
      </c>
      <c r="AK21" s="285" t="n">
        <f aca="false">OperatingCurve!AY46</f>
        <v>9.70125</v>
      </c>
      <c r="AM21" s="286" t="n">
        <f aca="false">OperatingCurve!AL46</f>
        <v>5</v>
      </c>
      <c r="AN21" s="287" t="n">
        <f aca="false">OperatingCurve!AM46</f>
        <v>0.15</v>
      </c>
      <c r="AP21" s="286" t="n">
        <f aca="false">OperatingCurve!BB131</f>
        <v>1300</v>
      </c>
      <c r="AQ21" s="290" t="n">
        <f aca="false">OperatingCurve!BC131</f>
        <v>1</v>
      </c>
      <c r="AR21" s="290" t="n">
        <f aca="false">OperatingCurve!BD131</f>
        <v>1</v>
      </c>
      <c r="AS21" s="290" t="n">
        <f aca="false">OperatingCurve!BE131</f>
        <v>1</v>
      </c>
      <c r="AT21" s="290" t="n">
        <f aca="false">OperatingCurve!BF131</f>
        <v>1</v>
      </c>
      <c r="AU21" s="290" t="n">
        <f aca="false">OperatingCurve!BG131</f>
        <v>1</v>
      </c>
      <c r="AV21" s="290" t="n">
        <f aca="false">OperatingCurve!BH131</f>
        <v>1</v>
      </c>
      <c r="AW21" s="290" t="n">
        <f aca="false">OperatingCurve!BI131</f>
        <v>1</v>
      </c>
      <c r="AX21" s="290" t="n">
        <f aca="false">OperatingCurve!BJ131</f>
        <v>1</v>
      </c>
      <c r="AY21" s="290" t="n">
        <f aca="false">OperatingCurve!BK131</f>
        <v>1</v>
      </c>
      <c r="AZ21" s="290" t="n">
        <f aca="false">OperatingCurve!BL131</f>
        <v>1</v>
      </c>
      <c r="BA21" s="290" t="n">
        <f aca="false">OperatingCurve!BM131</f>
        <v>1</v>
      </c>
      <c r="BB21" s="290" t="n">
        <f aca="false">OperatingCurve!BN131</f>
        <v>1</v>
      </c>
      <c r="BC21" s="286" t="str">
        <f aca="false">OperatingCurve!BO131</f>
        <v>1</v>
      </c>
      <c r="BE21" s="284" t="n">
        <f aca="false">OperatingCurve!V46</f>
        <v>37288</v>
      </c>
      <c r="BF21" s="289" t="n">
        <f aca="false">OperatingCurve!AZ46</f>
        <v>0</v>
      </c>
    </row>
    <row r="22" customFormat="false" ht="12.75" hidden="false" customHeight="false" outlineLevel="0" collapsed="false">
      <c r="A22" s="282" t="n">
        <f aca="false">OperatingCurve!D18</f>
        <v>36924</v>
      </c>
      <c r="B22" s="283" t="n">
        <f aca="false">OperatingCurve!H18</f>
        <v>198.9</v>
      </c>
      <c r="C22" s="283" t="n">
        <f aca="false">OperatingCurve!G18</f>
        <v>205.625</v>
      </c>
      <c r="D22" s="283" t="n">
        <f aca="false">OperatingCurve!I18</f>
        <v>240</v>
      </c>
      <c r="E22" s="278"/>
      <c r="F22" s="283" t="n">
        <f aca="false">OperatingCurve!M18</f>
        <v>0</v>
      </c>
      <c r="G22" s="283" t="n">
        <f aca="false">OperatingCurve!L18</f>
        <v>0</v>
      </c>
      <c r="H22" s="283" t="n">
        <f aca="false">OperatingCurve!N18</f>
        <v>0</v>
      </c>
      <c r="I22" s="273"/>
      <c r="J22" s="284" t="n">
        <f aca="false">OperatingCurve!V47</f>
        <v>37316</v>
      </c>
      <c r="K22" s="285" t="n">
        <f aca="false">OperatingCurve!Z47</f>
        <v>0</v>
      </c>
      <c r="L22" s="285" t="n">
        <f aca="false">OperatingCurve!Y47</f>
        <v>0</v>
      </c>
      <c r="M22" s="285" t="n">
        <f aca="false">OperatingCurve!AA47</f>
        <v>0</v>
      </c>
      <c r="O22" s="285" t="n">
        <f aca="false">OperatingCurve!AE47</f>
        <v>0</v>
      </c>
      <c r="P22" s="285" t="n">
        <f aca="false">OperatingCurve!AD47</f>
        <v>0</v>
      </c>
      <c r="Q22" s="285" t="n">
        <f aca="false">OperatingCurve!AF47</f>
        <v>0</v>
      </c>
      <c r="S22" s="285" t="n">
        <f aca="false">OperatingCurve!AJ47</f>
        <v>0</v>
      </c>
      <c r="T22" s="285" t="n">
        <f aca="false">OperatingCurve!AI47</f>
        <v>0</v>
      </c>
      <c r="U22" s="285" t="n">
        <f aca="false">OperatingCurve!AK47</f>
        <v>0</v>
      </c>
      <c r="W22" s="285" t="n">
        <f aca="false">OperatingCurve!AO47</f>
        <v>0.3915</v>
      </c>
      <c r="X22" s="285" t="n">
        <f aca="false">OperatingCurve!AN47</f>
        <v>0.87</v>
      </c>
      <c r="Y22" s="285" t="n">
        <f aca="false">OperatingCurve!AP47</f>
        <v>1.0875</v>
      </c>
      <c r="AA22" s="285" t="n">
        <f aca="false">OperatingCurve!AR47</f>
        <v>0.348</v>
      </c>
      <c r="AB22" s="285" t="n">
        <f aca="false">OperatingCurve!AQ47</f>
        <v>0.87</v>
      </c>
      <c r="AC22" s="285" t="n">
        <f aca="false">OperatingCurve!AS47</f>
        <v>0.6525</v>
      </c>
      <c r="AE22" s="285" t="n">
        <f aca="false">OperatingCurve!AU47</f>
        <v>-2.079375</v>
      </c>
      <c r="AF22" s="285" t="n">
        <f aca="false">OperatingCurve!AT47</f>
        <v>33.27</v>
      </c>
      <c r="AG22" s="285" t="n">
        <f aca="false">OperatingCurve!AV47</f>
        <v>41.5875</v>
      </c>
      <c r="AI22" s="285" t="n">
        <f aca="false">OperatingCurve!AX47</f>
        <v>-0.5086125</v>
      </c>
      <c r="AJ22" s="285" t="n">
        <f aca="false">OperatingCurve!AW47</f>
        <v>8.1378</v>
      </c>
      <c r="AK22" s="285" t="n">
        <f aca="false">OperatingCurve!AY47</f>
        <v>10.17225</v>
      </c>
      <c r="AM22" s="286" t="n">
        <f aca="false">OperatingCurve!AL47</f>
        <v>5</v>
      </c>
      <c r="AN22" s="287" t="n">
        <f aca="false">OperatingCurve!AM47</f>
        <v>0.15</v>
      </c>
      <c r="AP22" s="286" t="n">
        <f aca="false">OperatingCurve!BB132</f>
        <v>1400</v>
      </c>
      <c r="AQ22" s="290" t="n">
        <f aca="false">OperatingCurve!BC132</f>
        <v>1</v>
      </c>
      <c r="AR22" s="290" t="n">
        <f aca="false">OperatingCurve!BD132</f>
        <v>1</v>
      </c>
      <c r="AS22" s="290" t="n">
        <f aca="false">OperatingCurve!BE132</f>
        <v>1</v>
      </c>
      <c r="AT22" s="290" t="n">
        <f aca="false">OperatingCurve!BF132</f>
        <v>1</v>
      </c>
      <c r="AU22" s="290" t="n">
        <f aca="false">OperatingCurve!BG132</f>
        <v>1</v>
      </c>
      <c r="AV22" s="290" t="n">
        <f aca="false">OperatingCurve!BH132</f>
        <v>1</v>
      </c>
      <c r="AW22" s="290" t="n">
        <f aca="false">OperatingCurve!BI132</f>
        <v>1</v>
      </c>
      <c r="AX22" s="290" t="n">
        <f aca="false">OperatingCurve!BJ132</f>
        <v>1</v>
      </c>
      <c r="AY22" s="290" t="n">
        <f aca="false">OperatingCurve!BK132</f>
        <v>1</v>
      </c>
      <c r="AZ22" s="290" t="n">
        <f aca="false">OperatingCurve!BL132</f>
        <v>1</v>
      </c>
      <c r="BA22" s="290" t="n">
        <f aca="false">OperatingCurve!BM132</f>
        <v>1</v>
      </c>
      <c r="BB22" s="290" t="n">
        <f aca="false">OperatingCurve!BN132</f>
        <v>1</v>
      </c>
      <c r="BC22" s="286" t="str">
        <f aca="false">OperatingCurve!BO132</f>
        <v>1</v>
      </c>
      <c r="BE22" s="284" t="n">
        <f aca="false">OperatingCurve!V47</f>
        <v>37316</v>
      </c>
      <c r="BF22" s="289" t="n">
        <f aca="false">OperatingCurve!AZ47</f>
        <v>0</v>
      </c>
    </row>
    <row r="23" customFormat="false" ht="12.75" hidden="false" customHeight="false" outlineLevel="0" collapsed="false">
      <c r="A23" s="282" t="n">
        <f aca="false">OperatingCurve!D19</f>
        <v>36925</v>
      </c>
      <c r="B23" s="283" t="n">
        <f aca="false">OperatingCurve!H19</f>
        <v>133.161</v>
      </c>
      <c r="C23" s="283" t="n">
        <f aca="false">OperatingCurve!G19</f>
        <v>139.376</v>
      </c>
      <c r="D23" s="283" t="n">
        <f aca="false">OperatingCurve!I19</f>
        <v>171.201</v>
      </c>
      <c r="E23" s="278"/>
      <c r="F23" s="283" t="n">
        <f aca="false">OperatingCurve!M19</f>
        <v>0</v>
      </c>
      <c r="G23" s="283" t="n">
        <f aca="false">OperatingCurve!L19</f>
        <v>0</v>
      </c>
      <c r="H23" s="283" t="n">
        <f aca="false">OperatingCurve!N19</f>
        <v>0</v>
      </c>
      <c r="I23" s="273"/>
      <c r="J23" s="284" t="n">
        <f aca="false">OperatingCurve!V48</f>
        <v>37347</v>
      </c>
      <c r="K23" s="285" t="n">
        <f aca="false">OperatingCurve!Z48</f>
        <v>0</v>
      </c>
      <c r="L23" s="285" t="n">
        <f aca="false">OperatingCurve!Y48</f>
        <v>0</v>
      </c>
      <c r="M23" s="285" t="n">
        <f aca="false">OperatingCurve!AA48</f>
        <v>0</v>
      </c>
      <c r="O23" s="285" t="n">
        <f aca="false">OperatingCurve!AE48</f>
        <v>0</v>
      </c>
      <c r="P23" s="285" t="n">
        <f aca="false">OperatingCurve!AD48</f>
        <v>0</v>
      </c>
      <c r="Q23" s="285" t="n">
        <f aca="false">OperatingCurve!AF48</f>
        <v>0</v>
      </c>
      <c r="S23" s="285" t="n">
        <f aca="false">OperatingCurve!AJ48</f>
        <v>0</v>
      </c>
      <c r="T23" s="285" t="n">
        <f aca="false">OperatingCurve!AI48</f>
        <v>0</v>
      </c>
      <c r="U23" s="285" t="n">
        <f aca="false">OperatingCurve!AK48</f>
        <v>0</v>
      </c>
      <c r="W23" s="285" t="n">
        <f aca="false">OperatingCurve!AO48</f>
        <v>0.324</v>
      </c>
      <c r="X23" s="285" t="n">
        <f aca="false">OperatingCurve!AN48</f>
        <v>0.72</v>
      </c>
      <c r="Y23" s="285" t="n">
        <f aca="false">OperatingCurve!AP48</f>
        <v>0.9</v>
      </c>
      <c r="AA23" s="285" t="n">
        <f aca="false">OperatingCurve!AR48</f>
        <v>0.288</v>
      </c>
      <c r="AB23" s="285" t="n">
        <f aca="false">OperatingCurve!AQ48</f>
        <v>0.72</v>
      </c>
      <c r="AC23" s="285" t="n">
        <f aca="false">OperatingCurve!AS48</f>
        <v>0.54</v>
      </c>
      <c r="AE23" s="285" t="n">
        <f aca="false">OperatingCurve!AU48</f>
        <v>-1.09648331559573</v>
      </c>
      <c r="AF23" s="285" t="n">
        <f aca="false">OperatingCurve!AT48</f>
        <v>17.5437330495317</v>
      </c>
      <c r="AG23" s="285" t="n">
        <f aca="false">OperatingCurve!AV48</f>
        <v>21.9296663119147</v>
      </c>
      <c r="AI23" s="285" t="n">
        <f aca="false">OperatingCurve!AX48</f>
        <v>-0.5616</v>
      </c>
      <c r="AJ23" s="285" t="n">
        <f aca="false">OperatingCurve!AW48</f>
        <v>8.9856</v>
      </c>
      <c r="AK23" s="285" t="n">
        <f aca="false">OperatingCurve!AY48</f>
        <v>11.232</v>
      </c>
      <c r="AM23" s="286" t="n">
        <f aca="false">OperatingCurve!AL48</f>
        <v>6</v>
      </c>
      <c r="AN23" s="287" t="n">
        <f aca="false">OperatingCurve!AM48</f>
        <v>0.15</v>
      </c>
      <c r="AP23" s="286" t="n">
        <f aca="false">OperatingCurve!BB133</f>
        <v>1500</v>
      </c>
      <c r="AQ23" s="290" t="n">
        <f aca="false">OperatingCurve!BC133</f>
        <v>1</v>
      </c>
      <c r="AR23" s="290" t="n">
        <f aca="false">OperatingCurve!BD133</f>
        <v>1</v>
      </c>
      <c r="AS23" s="290" t="n">
        <f aca="false">OperatingCurve!BE133</f>
        <v>1</v>
      </c>
      <c r="AT23" s="290" t="n">
        <f aca="false">OperatingCurve!BF133</f>
        <v>1</v>
      </c>
      <c r="AU23" s="290" t="n">
        <f aca="false">OperatingCurve!BG133</f>
        <v>1</v>
      </c>
      <c r="AV23" s="290" t="n">
        <f aca="false">OperatingCurve!BH133</f>
        <v>1</v>
      </c>
      <c r="AW23" s="290" t="n">
        <f aca="false">OperatingCurve!BI133</f>
        <v>1</v>
      </c>
      <c r="AX23" s="290" t="n">
        <f aca="false">OperatingCurve!BJ133</f>
        <v>1</v>
      </c>
      <c r="AY23" s="290" t="n">
        <f aca="false">OperatingCurve!BK133</f>
        <v>1</v>
      </c>
      <c r="AZ23" s="290" t="n">
        <f aca="false">OperatingCurve!BL133</f>
        <v>1</v>
      </c>
      <c r="BA23" s="290" t="n">
        <f aca="false">OperatingCurve!BM133</f>
        <v>1</v>
      </c>
      <c r="BB23" s="290" t="n">
        <f aca="false">OperatingCurve!BN133</f>
        <v>1</v>
      </c>
      <c r="BC23" s="286" t="str">
        <f aca="false">OperatingCurve!BO133</f>
        <v>1</v>
      </c>
      <c r="BE23" s="284" t="n">
        <f aca="false">OperatingCurve!V48</f>
        <v>37347</v>
      </c>
      <c r="BF23" s="289" t="n">
        <f aca="false">OperatingCurve!AZ48</f>
        <v>0</v>
      </c>
    </row>
    <row r="24" customFormat="false" ht="12.75" hidden="false" customHeight="false" outlineLevel="0" collapsed="false">
      <c r="A24" s="282" t="n">
        <f aca="false">OperatingCurve!D20</f>
        <v>36926</v>
      </c>
      <c r="B24" s="283" t="n">
        <f aca="false">OperatingCurve!H20</f>
        <v>111.201</v>
      </c>
      <c r="C24" s="283" t="n">
        <f aca="false">OperatingCurve!G20</f>
        <v>117.236</v>
      </c>
      <c r="D24" s="283" t="n">
        <f aca="false">OperatingCurve!I20</f>
        <v>148.161</v>
      </c>
      <c r="E24" s="278"/>
      <c r="F24" s="283" t="n">
        <f aca="false">OperatingCurve!M20</f>
        <v>0</v>
      </c>
      <c r="G24" s="283" t="n">
        <f aca="false">OperatingCurve!L20</f>
        <v>0</v>
      </c>
      <c r="H24" s="283" t="n">
        <f aca="false">OperatingCurve!N20</f>
        <v>0</v>
      </c>
      <c r="I24" s="273"/>
      <c r="J24" s="284" t="n">
        <f aca="false">OperatingCurve!V49</f>
        <v>37377</v>
      </c>
      <c r="K24" s="285" t="n">
        <f aca="false">OperatingCurve!Z49</f>
        <v>0</v>
      </c>
      <c r="L24" s="285" t="n">
        <f aca="false">OperatingCurve!Y49</f>
        <v>0</v>
      </c>
      <c r="M24" s="285" t="n">
        <f aca="false">OperatingCurve!AA49</f>
        <v>0</v>
      </c>
      <c r="O24" s="285" t="n">
        <f aca="false">OperatingCurve!AE49</f>
        <v>0</v>
      </c>
      <c r="P24" s="285" t="n">
        <f aca="false">OperatingCurve!AD49</f>
        <v>0</v>
      </c>
      <c r="Q24" s="285" t="n">
        <f aca="false">OperatingCurve!AF49</f>
        <v>0</v>
      </c>
      <c r="S24" s="285" t="n">
        <f aca="false">OperatingCurve!AJ49</f>
        <v>0</v>
      </c>
      <c r="T24" s="285" t="n">
        <f aca="false">OperatingCurve!AI49</f>
        <v>0</v>
      </c>
      <c r="U24" s="285" t="n">
        <f aca="false">OperatingCurve!AK49</f>
        <v>0</v>
      </c>
      <c r="W24" s="285" t="n">
        <f aca="false">OperatingCurve!AO49</f>
        <v>0.3015</v>
      </c>
      <c r="X24" s="285" t="n">
        <f aca="false">OperatingCurve!AN49</f>
        <v>0.67</v>
      </c>
      <c r="Y24" s="285" t="n">
        <f aca="false">OperatingCurve!AP49</f>
        <v>0.8375</v>
      </c>
      <c r="AA24" s="285" t="n">
        <f aca="false">OperatingCurve!AR49</f>
        <v>0.268</v>
      </c>
      <c r="AB24" s="285" t="n">
        <f aca="false">OperatingCurve!AQ49</f>
        <v>0.67</v>
      </c>
      <c r="AC24" s="285" t="n">
        <f aca="false">OperatingCurve!AS49</f>
        <v>0.5025</v>
      </c>
      <c r="AE24" s="285" t="n">
        <f aca="false">OperatingCurve!AU49</f>
        <v>-1.19022849049465</v>
      </c>
      <c r="AF24" s="285" t="n">
        <f aca="false">OperatingCurve!AT49</f>
        <v>19.0436558479145</v>
      </c>
      <c r="AG24" s="285" t="n">
        <f aca="false">OperatingCurve!AV49</f>
        <v>23.8045698098931</v>
      </c>
      <c r="AI24" s="285" t="n">
        <f aca="false">OperatingCurve!AX49</f>
        <v>-0.549825</v>
      </c>
      <c r="AJ24" s="285" t="n">
        <f aca="false">OperatingCurve!AW49</f>
        <v>8.7972</v>
      </c>
      <c r="AK24" s="285" t="n">
        <f aca="false">OperatingCurve!AY49</f>
        <v>10.9965</v>
      </c>
      <c r="AM24" s="286" t="n">
        <f aca="false">OperatingCurve!AL49</f>
        <v>6</v>
      </c>
      <c r="AN24" s="287" t="n">
        <f aca="false">OperatingCurve!AM49</f>
        <v>0.15</v>
      </c>
      <c r="AP24" s="286" t="n">
        <f aca="false">OperatingCurve!BB134</f>
        <v>1600</v>
      </c>
      <c r="AQ24" s="290" t="n">
        <f aca="false">OperatingCurve!BC134</f>
        <v>1</v>
      </c>
      <c r="AR24" s="290" t="n">
        <f aca="false">OperatingCurve!BD134</f>
        <v>1</v>
      </c>
      <c r="AS24" s="290" t="n">
        <f aca="false">OperatingCurve!BE134</f>
        <v>1</v>
      </c>
      <c r="AT24" s="290" t="n">
        <f aca="false">OperatingCurve!BF134</f>
        <v>1</v>
      </c>
      <c r="AU24" s="290" t="n">
        <f aca="false">OperatingCurve!BG134</f>
        <v>1</v>
      </c>
      <c r="AV24" s="290" t="n">
        <f aca="false">OperatingCurve!BH134</f>
        <v>1</v>
      </c>
      <c r="AW24" s="290" t="n">
        <f aca="false">OperatingCurve!BI134</f>
        <v>1</v>
      </c>
      <c r="AX24" s="290" t="n">
        <f aca="false">OperatingCurve!BJ134</f>
        <v>1</v>
      </c>
      <c r="AY24" s="290" t="n">
        <f aca="false">OperatingCurve!BK134</f>
        <v>1</v>
      </c>
      <c r="AZ24" s="290" t="n">
        <f aca="false">OperatingCurve!BL134</f>
        <v>1</v>
      </c>
      <c r="BA24" s="290" t="n">
        <f aca="false">OperatingCurve!BM134</f>
        <v>1</v>
      </c>
      <c r="BB24" s="290" t="n">
        <f aca="false">OperatingCurve!BN134</f>
        <v>1</v>
      </c>
      <c r="BC24" s="286" t="str">
        <f aca="false">OperatingCurve!BO134</f>
        <v>1</v>
      </c>
      <c r="BE24" s="284" t="n">
        <f aca="false">OperatingCurve!V49</f>
        <v>37377</v>
      </c>
      <c r="BF24" s="289" t="n">
        <f aca="false">OperatingCurve!AZ49</f>
        <v>0</v>
      </c>
    </row>
    <row r="25" customFormat="false" ht="12.75" hidden="false" customHeight="false" outlineLevel="0" collapsed="false">
      <c r="A25" s="282" t="n">
        <f aca="false">OperatingCurve!D21</f>
        <v>36927</v>
      </c>
      <c r="B25" s="283" t="n">
        <f aca="false">OperatingCurve!H21</f>
        <v>198.9</v>
      </c>
      <c r="C25" s="283" t="n">
        <f aca="false">OperatingCurve!G21</f>
        <v>205.625</v>
      </c>
      <c r="D25" s="283" t="n">
        <f aca="false">OperatingCurve!I21</f>
        <v>240</v>
      </c>
      <c r="E25" s="278"/>
      <c r="F25" s="283" t="n">
        <f aca="false">OperatingCurve!M21</f>
        <v>0</v>
      </c>
      <c r="G25" s="283" t="n">
        <f aca="false">OperatingCurve!L21</f>
        <v>0</v>
      </c>
      <c r="H25" s="283" t="n">
        <f aca="false">OperatingCurve!N21</f>
        <v>0</v>
      </c>
      <c r="I25" s="273"/>
      <c r="J25" s="284" t="n">
        <f aca="false">OperatingCurve!V50</f>
        <v>37408</v>
      </c>
      <c r="K25" s="285" t="n">
        <f aca="false">OperatingCurve!Z50</f>
        <v>0</v>
      </c>
      <c r="L25" s="285" t="n">
        <f aca="false">OperatingCurve!Y50</f>
        <v>0</v>
      </c>
      <c r="M25" s="285" t="n">
        <f aca="false">OperatingCurve!AA50</f>
        <v>0</v>
      </c>
      <c r="O25" s="285" t="n">
        <f aca="false">OperatingCurve!AE50</f>
        <v>0</v>
      </c>
      <c r="P25" s="285" t="n">
        <f aca="false">OperatingCurve!AD50</f>
        <v>0</v>
      </c>
      <c r="Q25" s="285" t="n">
        <f aca="false">OperatingCurve!AF50</f>
        <v>0</v>
      </c>
      <c r="S25" s="285" t="n">
        <f aca="false">OperatingCurve!AJ50</f>
        <v>0</v>
      </c>
      <c r="T25" s="285" t="n">
        <f aca="false">OperatingCurve!AI50</f>
        <v>0</v>
      </c>
      <c r="U25" s="285" t="n">
        <f aca="false">OperatingCurve!AK50</f>
        <v>0</v>
      </c>
      <c r="W25" s="285" t="n">
        <f aca="false">OperatingCurve!AO50</f>
        <v>0.29475</v>
      </c>
      <c r="X25" s="285" t="n">
        <f aca="false">OperatingCurve!AN50</f>
        <v>0.655</v>
      </c>
      <c r="Y25" s="285" t="n">
        <f aca="false">OperatingCurve!AP50</f>
        <v>0.81875</v>
      </c>
      <c r="AA25" s="285" t="n">
        <f aca="false">OperatingCurve!AR50</f>
        <v>0.262</v>
      </c>
      <c r="AB25" s="285" t="n">
        <f aca="false">OperatingCurve!AQ50</f>
        <v>0.655</v>
      </c>
      <c r="AC25" s="285" t="n">
        <f aca="false">OperatingCurve!AS50</f>
        <v>0.49125</v>
      </c>
      <c r="AE25" s="285" t="n">
        <f aca="false">OperatingCurve!AU50</f>
        <v>-1.42457377521753</v>
      </c>
      <c r="AF25" s="285" t="n">
        <f aca="false">OperatingCurve!AT50</f>
        <v>22.7931804034804</v>
      </c>
      <c r="AG25" s="285" t="n">
        <f aca="false">OperatingCurve!AV50</f>
        <v>28.4914755043506</v>
      </c>
      <c r="AI25" s="285" t="n">
        <f aca="false">OperatingCurve!AX50</f>
        <v>-0.5203875</v>
      </c>
      <c r="AJ25" s="285" t="n">
        <f aca="false">OperatingCurve!AW50</f>
        <v>8.3262</v>
      </c>
      <c r="AK25" s="285" t="n">
        <f aca="false">OperatingCurve!AY50</f>
        <v>10.40775</v>
      </c>
      <c r="AM25" s="286" t="n">
        <f aca="false">OperatingCurve!AL50</f>
        <v>6</v>
      </c>
      <c r="AN25" s="287" t="n">
        <f aca="false">OperatingCurve!AM50</f>
        <v>0.2</v>
      </c>
      <c r="AP25" s="286" t="n">
        <f aca="false">OperatingCurve!BB135</f>
        <v>1700</v>
      </c>
      <c r="AQ25" s="290" t="n">
        <f aca="false">OperatingCurve!BC135</f>
        <v>1</v>
      </c>
      <c r="AR25" s="290" t="n">
        <f aca="false">OperatingCurve!BD135</f>
        <v>1</v>
      </c>
      <c r="AS25" s="290" t="n">
        <f aca="false">OperatingCurve!BE135</f>
        <v>1</v>
      </c>
      <c r="AT25" s="290" t="n">
        <f aca="false">OperatingCurve!BF135</f>
        <v>1</v>
      </c>
      <c r="AU25" s="290" t="n">
        <f aca="false">OperatingCurve!BG135</f>
        <v>1</v>
      </c>
      <c r="AV25" s="290" t="n">
        <f aca="false">OperatingCurve!BH135</f>
        <v>1</v>
      </c>
      <c r="AW25" s="290" t="n">
        <f aca="false">OperatingCurve!BI135</f>
        <v>1</v>
      </c>
      <c r="AX25" s="290" t="n">
        <f aca="false">OperatingCurve!BJ135</f>
        <v>1</v>
      </c>
      <c r="AY25" s="290" t="n">
        <f aca="false">OperatingCurve!BK135</f>
        <v>1</v>
      </c>
      <c r="AZ25" s="290" t="n">
        <f aca="false">OperatingCurve!BL135</f>
        <v>1</v>
      </c>
      <c r="BA25" s="290" t="n">
        <f aca="false">OperatingCurve!BM135</f>
        <v>1</v>
      </c>
      <c r="BB25" s="290" t="n">
        <f aca="false">OperatingCurve!BN135</f>
        <v>1</v>
      </c>
      <c r="BC25" s="286" t="str">
        <f aca="false">OperatingCurve!BO135</f>
        <v>1</v>
      </c>
      <c r="BE25" s="284" t="n">
        <f aca="false">OperatingCurve!V50</f>
        <v>37408</v>
      </c>
      <c r="BF25" s="289" t="n">
        <f aca="false">OperatingCurve!AZ50</f>
        <v>0</v>
      </c>
    </row>
    <row r="26" customFormat="false" ht="12.75" hidden="false" customHeight="false" outlineLevel="0" collapsed="false">
      <c r="A26" s="282" t="n">
        <f aca="false">OperatingCurve!D22</f>
        <v>36928</v>
      </c>
      <c r="B26" s="283" t="n">
        <f aca="false">OperatingCurve!H22</f>
        <v>198.9</v>
      </c>
      <c r="C26" s="283" t="n">
        <f aca="false">OperatingCurve!G22</f>
        <v>205.625</v>
      </c>
      <c r="D26" s="283" t="n">
        <f aca="false">OperatingCurve!I22</f>
        <v>240</v>
      </c>
      <c r="E26" s="278"/>
      <c r="F26" s="283" t="n">
        <f aca="false">OperatingCurve!M22</f>
        <v>0</v>
      </c>
      <c r="G26" s="283" t="n">
        <f aca="false">OperatingCurve!L22</f>
        <v>0</v>
      </c>
      <c r="H26" s="283" t="n">
        <f aca="false">OperatingCurve!N22</f>
        <v>0</v>
      </c>
      <c r="I26" s="273"/>
      <c r="J26" s="284" t="n">
        <f aca="false">OperatingCurve!V51</f>
        <v>37438</v>
      </c>
      <c r="K26" s="285" t="n">
        <f aca="false">OperatingCurve!Z51</f>
        <v>0</v>
      </c>
      <c r="L26" s="285" t="n">
        <f aca="false">OperatingCurve!Y51</f>
        <v>0</v>
      </c>
      <c r="M26" s="285" t="n">
        <f aca="false">OperatingCurve!AA51</f>
        <v>0</v>
      </c>
      <c r="O26" s="285" t="n">
        <f aca="false">OperatingCurve!AE51</f>
        <v>0</v>
      </c>
      <c r="P26" s="285" t="n">
        <f aca="false">OperatingCurve!AD51</f>
        <v>0</v>
      </c>
      <c r="Q26" s="285" t="n">
        <f aca="false">OperatingCurve!AF51</f>
        <v>0</v>
      </c>
      <c r="S26" s="285" t="n">
        <f aca="false">OperatingCurve!AJ51</f>
        <v>0</v>
      </c>
      <c r="T26" s="285" t="n">
        <f aca="false">OperatingCurve!AI51</f>
        <v>0</v>
      </c>
      <c r="U26" s="285" t="n">
        <f aca="false">OperatingCurve!AK51</f>
        <v>0</v>
      </c>
      <c r="W26" s="285" t="n">
        <f aca="false">OperatingCurve!AO51</f>
        <v>0.29025</v>
      </c>
      <c r="X26" s="285" t="n">
        <f aca="false">OperatingCurve!AN51</f>
        <v>0.645</v>
      </c>
      <c r="Y26" s="285" t="n">
        <f aca="false">OperatingCurve!AP51</f>
        <v>0.80625</v>
      </c>
      <c r="AA26" s="285" t="n">
        <f aca="false">OperatingCurve!AR51</f>
        <v>0.258</v>
      </c>
      <c r="AB26" s="285" t="n">
        <f aca="false">OperatingCurve!AQ51</f>
        <v>0.645</v>
      </c>
      <c r="AC26" s="285" t="n">
        <f aca="false">OperatingCurve!AS51</f>
        <v>0.48375</v>
      </c>
      <c r="AE26" s="285" t="n">
        <f aca="false">OperatingCurve!AU51</f>
        <v>-2.01664535021517</v>
      </c>
      <c r="AF26" s="285" t="n">
        <f aca="false">OperatingCurve!AT51</f>
        <v>32.2663256034427</v>
      </c>
      <c r="AG26" s="285" t="n">
        <f aca="false">OperatingCurve!AV51</f>
        <v>40.3329070043033</v>
      </c>
      <c r="AI26" s="285" t="n">
        <f aca="false">OperatingCurve!AX51</f>
        <v>-0.5203875</v>
      </c>
      <c r="AJ26" s="285" t="n">
        <f aca="false">OperatingCurve!AW51</f>
        <v>8.3262</v>
      </c>
      <c r="AK26" s="285" t="n">
        <f aca="false">OperatingCurve!AY51</f>
        <v>10.40775</v>
      </c>
      <c r="AM26" s="286" t="n">
        <f aca="false">OperatingCurve!AL51</f>
        <v>7</v>
      </c>
      <c r="AN26" s="287" t="n">
        <f aca="false">OperatingCurve!AM51</f>
        <v>0.2</v>
      </c>
      <c r="AP26" s="286" t="n">
        <f aca="false">OperatingCurve!BB136</f>
        <v>1800</v>
      </c>
      <c r="AQ26" s="290" t="n">
        <f aca="false">OperatingCurve!BC136</f>
        <v>1</v>
      </c>
      <c r="AR26" s="290" t="n">
        <f aca="false">OperatingCurve!BD136</f>
        <v>1</v>
      </c>
      <c r="AS26" s="290" t="n">
        <f aca="false">OperatingCurve!BE136</f>
        <v>1</v>
      </c>
      <c r="AT26" s="290" t="n">
        <f aca="false">OperatingCurve!BF136</f>
        <v>1</v>
      </c>
      <c r="AU26" s="290" t="n">
        <f aca="false">OperatingCurve!BG136</f>
        <v>1</v>
      </c>
      <c r="AV26" s="290" t="n">
        <f aca="false">OperatingCurve!BH136</f>
        <v>1</v>
      </c>
      <c r="AW26" s="290" t="n">
        <f aca="false">OperatingCurve!BI136</f>
        <v>1</v>
      </c>
      <c r="AX26" s="290" t="n">
        <f aca="false">OperatingCurve!BJ136</f>
        <v>1</v>
      </c>
      <c r="AY26" s="290" t="n">
        <f aca="false">OperatingCurve!BK136</f>
        <v>1</v>
      </c>
      <c r="AZ26" s="290" t="n">
        <f aca="false">OperatingCurve!BL136</f>
        <v>1</v>
      </c>
      <c r="BA26" s="290" t="n">
        <f aca="false">OperatingCurve!BM136</f>
        <v>1</v>
      </c>
      <c r="BB26" s="290" t="n">
        <f aca="false">OperatingCurve!BN136</f>
        <v>1</v>
      </c>
      <c r="BC26" s="286" t="str">
        <f aca="false">OperatingCurve!BO136</f>
        <v>1</v>
      </c>
      <c r="BE26" s="284" t="n">
        <f aca="false">OperatingCurve!V51</f>
        <v>37438</v>
      </c>
      <c r="BF26" s="289" t="n">
        <f aca="false">OperatingCurve!AZ51</f>
        <v>0</v>
      </c>
    </row>
    <row r="27" customFormat="false" ht="12.75" hidden="false" customHeight="false" outlineLevel="0" collapsed="false">
      <c r="A27" s="282" t="n">
        <f aca="false">OperatingCurve!D23</f>
        <v>36929</v>
      </c>
      <c r="B27" s="283" t="n">
        <f aca="false">OperatingCurve!H23</f>
        <v>198.9</v>
      </c>
      <c r="C27" s="283" t="n">
        <f aca="false">OperatingCurve!G23</f>
        <v>205.625</v>
      </c>
      <c r="D27" s="283" t="n">
        <f aca="false">OperatingCurve!I23</f>
        <v>240</v>
      </c>
      <c r="E27" s="278"/>
      <c r="F27" s="283" t="n">
        <f aca="false">OperatingCurve!M23</f>
        <v>0</v>
      </c>
      <c r="G27" s="283" t="n">
        <f aca="false">OperatingCurve!L23</f>
        <v>0</v>
      </c>
      <c r="H27" s="283" t="n">
        <f aca="false">OperatingCurve!N23</f>
        <v>0</v>
      </c>
      <c r="I27" s="273"/>
      <c r="J27" s="284" t="n">
        <f aca="false">OperatingCurve!V52</f>
        <v>37469</v>
      </c>
      <c r="K27" s="285" t="n">
        <f aca="false">OperatingCurve!Z52</f>
        <v>0</v>
      </c>
      <c r="L27" s="285" t="n">
        <f aca="false">OperatingCurve!Y52</f>
        <v>0</v>
      </c>
      <c r="M27" s="285" t="n">
        <f aca="false">OperatingCurve!AA52</f>
        <v>0</v>
      </c>
      <c r="O27" s="285" t="n">
        <f aca="false">OperatingCurve!AE52</f>
        <v>0</v>
      </c>
      <c r="P27" s="285" t="n">
        <f aca="false">OperatingCurve!AD52</f>
        <v>0</v>
      </c>
      <c r="Q27" s="285" t="n">
        <f aca="false">OperatingCurve!AF52</f>
        <v>0</v>
      </c>
      <c r="S27" s="285" t="n">
        <f aca="false">OperatingCurve!AJ52</f>
        <v>0</v>
      </c>
      <c r="T27" s="285" t="n">
        <f aca="false">OperatingCurve!AI52</f>
        <v>0</v>
      </c>
      <c r="U27" s="285" t="n">
        <f aca="false">OperatingCurve!AK52</f>
        <v>0</v>
      </c>
      <c r="W27" s="285" t="n">
        <f aca="false">OperatingCurve!AO52</f>
        <v>0.29025</v>
      </c>
      <c r="X27" s="285" t="n">
        <f aca="false">OperatingCurve!AN52</f>
        <v>0.645</v>
      </c>
      <c r="Y27" s="285" t="n">
        <f aca="false">OperatingCurve!AP52</f>
        <v>0.80625</v>
      </c>
      <c r="AA27" s="285" t="n">
        <f aca="false">OperatingCurve!AR52</f>
        <v>0.258</v>
      </c>
      <c r="AB27" s="285" t="n">
        <f aca="false">OperatingCurve!AQ52</f>
        <v>0.645</v>
      </c>
      <c r="AC27" s="285" t="n">
        <f aca="false">OperatingCurve!AS52</f>
        <v>0.48375</v>
      </c>
      <c r="AE27" s="285" t="n">
        <f aca="false">OperatingCurve!AU52</f>
        <v>-1.91025</v>
      </c>
      <c r="AF27" s="285" t="n">
        <f aca="false">OperatingCurve!AT52</f>
        <v>30.564</v>
      </c>
      <c r="AG27" s="285" t="n">
        <f aca="false">OperatingCurve!AV52</f>
        <v>38.205</v>
      </c>
      <c r="AI27" s="285" t="n">
        <f aca="false">OperatingCurve!AX52</f>
        <v>-0.5086125</v>
      </c>
      <c r="AJ27" s="285" t="n">
        <f aca="false">OperatingCurve!AW52</f>
        <v>8.1378</v>
      </c>
      <c r="AK27" s="285" t="n">
        <f aca="false">OperatingCurve!AY52</f>
        <v>10.17225</v>
      </c>
      <c r="AM27" s="286" t="n">
        <f aca="false">OperatingCurve!AL52</f>
        <v>7</v>
      </c>
      <c r="AN27" s="287" t="n">
        <f aca="false">OperatingCurve!AM52</f>
        <v>0.2</v>
      </c>
      <c r="AP27" s="286" t="n">
        <f aca="false">OperatingCurve!BB137</f>
        <v>1900</v>
      </c>
      <c r="AQ27" s="290" t="n">
        <f aca="false">OperatingCurve!BC137</f>
        <v>1</v>
      </c>
      <c r="AR27" s="290" t="n">
        <f aca="false">OperatingCurve!BD137</f>
        <v>1</v>
      </c>
      <c r="AS27" s="290" t="n">
        <f aca="false">OperatingCurve!BE137</f>
        <v>1</v>
      </c>
      <c r="AT27" s="290" t="n">
        <f aca="false">OperatingCurve!BF137</f>
        <v>1</v>
      </c>
      <c r="AU27" s="290" t="n">
        <f aca="false">OperatingCurve!BG137</f>
        <v>1</v>
      </c>
      <c r="AV27" s="290" t="n">
        <f aca="false">OperatingCurve!BH137</f>
        <v>1</v>
      </c>
      <c r="AW27" s="290" t="n">
        <f aca="false">OperatingCurve!BI137</f>
        <v>1</v>
      </c>
      <c r="AX27" s="290" t="n">
        <f aca="false">OperatingCurve!BJ137</f>
        <v>1</v>
      </c>
      <c r="AY27" s="290" t="n">
        <f aca="false">OperatingCurve!BK137</f>
        <v>1</v>
      </c>
      <c r="AZ27" s="290" t="n">
        <f aca="false">OperatingCurve!BL137</f>
        <v>1</v>
      </c>
      <c r="BA27" s="290" t="n">
        <f aca="false">OperatingCurve!BM137</f>
        <v>1</v>
      </c>
      <c r="BB27" s="290" t="n">
        <f aca="false">OperatingCurve!BN137</f>
        <v>1</v>
      </c>
      <c r="BC27" s="286" t="str">
        <f aca="false">OperatingCurve!BO137</f>
        <v>1</v>
      </c>
      <c r="BE27" s="284" t="n">
        <f aca="false">OperatingCurve!V52</f>
        <v>37469</v>
      </c>
      <c r="BF27" s="289" t="n">
        <f aca="false">OperatingCurve!AZ52</f>
        <v>0</v>
      </c>
    </row>
    <row r="28" customFormat="false" ht="12.75" hidden="false" customHeight="false" outlineLevel="0" collapsed="false">
      <c r="A28" s="282" t="n">
        <f aca="false">OperatingCurve!D24</f>
        <v>36930</v>
      </c>
      <c r="B28" s="283" t="n">
        <f aca="false">OperatingCurve!H24</f>
        <v>198.9</v>
      </c>
      <c r="C28" s="283" t="n">
        <f aca="false">OperatingCurve!G24</f>
        <v>205.625</v>
      </c>
      <c r="D28" s="283" t="n">
        <f aca="false">OperatingCurve!I24</f>
        <v>240</v>
      </c>
      <c r="E28" s="278"/>
      <c r="F28" s="283" t="n">
        <f aca="false">OperatingCurve!M24</f>
        <v>0</v>
      </c>
      <c r="G28" s="283" t="n">
        <f aca="false">OperatingCurve!L24</f>
        <v>0</v>
      </c>
      <c r="H28" s="283" t="n">
        <f aca="false">OperatingCurve!N24</f>
        <v>0</v>
      </c>
      <c r="I28" s="273"/>
      <c r="J28" s="284" t="n">
        <f aca="false">OperatingCurve!V53</f>
        <v>37500</v>
      </c>
      <c r="K28" s="285" t="n">
        <f aca="false">OperatingCurve!Z53</f>
        <v>0</v>
      </c>
      <c r="L28" s="285" t="n">
        <f aca="false">OperatingCurve!Y53</f>
        <v>0</v>
      </c>
      <c r="M28" s="285" t="n">
        <f aca="false">OperatingCurve!AA53</f>
        <v>0</v>
      </c>
      <c r="O28" s="285" t="n">
        <f aca="false">OperatingCurve!AE53</f>
        <v>0</v>
      </c>
      <c r="P28" s="285" t="n">
        <f aca="false">OperatingCurve!AD53</f>
        <v>0</v>
      </c>
      <c r="Q28" s="285" t="n">
        <f aca="false">OperatingCurve!AF53</f>
        <v>0</v>
      </c>
      <c r="S28" s="285" t="n">
        <f aca="false">OperatingCurve!AJ53</f>
        <v>0</v>
      </c>
      <c r="T28" s="285" t="n">
        <f aca="false">OperatingCurve!AI53</f>
        <v>0</v>
      </c>
      <c r="U28" s="285" t="n">
        <f aca="false">OperatingCurve!AK53</f>
        <v>0</v>
      </c>
      <c r="W28" s="285" t="n">
        <f aca="false">OperatingCurve!AO53</f>
        <v>0.29025</v>
      </c>
      <c r="X28" s="285" t="n">
        <f aca="false">OperatingCurve!AN53</f>
        <v>0.645</v>
      </c>
      <c r="Y28" s="285" t="n">
        <f aca="false">OperatingCurve!AP53</f>
        <v>0.80625</v>
      </c>
      <c r="AA28" s="285" t="n">
        <f aca="false">OperatingCurve!AR53</f>
        <v>0.258</v>
      </c>
      <c r="AB28" s="285" t="n">
        <f aca="false">OperatingCurve!AQ53</f>
        <v>0.645</v>
      </c>
      <c r="AC28" s="285" t="n">
        <f aca="false">OperatingCurve!AS53</f>
        <v>0.48375</v>
      </c>
      <c r="AE28" s="285" t="n">
        <f aca="false">OperatingCurve!AU53</f>
        <v>-2.0845</v>
      </c>
      <c r="AF28" s="285" t="n">
        <f aca="false">OperatingCurve!AT53</f>
        <v>33.352</v>
      </c>
      <c r="AG28" s="285" t="n">
        <f aca="false">OperatingCurve!AV53</f>
        <v>41.69</v>
      </c>
      <c r="AI28" s="285" t="n">
        <f aca="false">OperatingCurve!AX53</f>
        <v>-0.5439375</v>
      </c>
      <c r="AJ28" s="285" t="n">
        <f aca="false">OperatingCurve!AW53</f>
        <v>8.703</v>
      </c>
      <c r="AK28" s="285" t="n">
        <f aca="false">OperatingCurve!AY53</f>
        <v>10.87875</v>
      </c>
      <c r="AM28" s="286" t="n">
        <f aca="false">OperatingCurve!AL53</f>
        <v>7</v>
      </c>
      <c r="AN28" s="287" t="n">
        <f aca="false">OperatingCurve!AM53</f>
        <v>0.2</v>
      </c>
      <c r="AP28" s="286" t="n">
        <f aca="false">OperatingCurve!BB138</f>
        <v>2000</v>
      </c>
      <c r="AQ28" s="290" t="n">
        <f aca="false">OperatingCurve!BC138</f>
        <v>1</v>
      </c>
      <c r="AR28" s="290" t="n">
        <f aca="false">OperatingCurve!BD138</f>
        <v>1</v>
      </c>
      <c r="AS28" s="290" t="n">
        <f aca="false">OperatingCurve!BE138</f>
        <v>1</v>
      </c>
      <c r="AT28" s="290" t="n">
        <f aca="false">OperatingCurve!BF138</f>
        <v>1</v>
      </c>
      <c r="AU28" s="290" t="n">
        <f aca="false">OperatingCurve!BG138</f>
        <v>1</v>
      </c>
      <c r="AV28" s="290" t="n">
        <f aca="false">OperatingCurve!BH138</f>
        <v>1</v>
      </c>
      <c r="AW28" s="290" t="n">
        <f aca="false">OperatingCurve!BI138</f>
        <v>1</v>
      </c>
      <c r="AX28" s="290" t="n">
        <f aca="false">OperatingCurve!BJ138</f>
        <v>1</v>
      </c>
      <c r="AY28" s="290" t="n">
        <f aca="false">OperatingCurve!BK138</f>
        <v>1</v>
      </c>
      <c r="AZ28" s="290" t="n">
        <f aca="false">OperatingCurve!BL138</f>
        <v>1</v>
      </c>
      <c r="BA28" s="290" t="n">
        <f aca="false">OperatingCurve!BM138</f>
        <v>1</v>
      </c>
      <c r="BB28" s="290" t="n">
        <f aca="false">OperatingCurve!BN138</f>
        <v>1</v>
      </c>
      <c r="BC28" s="286" t="str">
        <f aca="false">OperatingCurve!BO138</f>
        <v>1</v>
      </c>
      <c r="BE28" s="284" t="n">
        <f aca="false">OperatingCurve!V53</f>
        <v>37500</v>
      </c>
      <c r="BF28" s="289" t="n">
        <f aca="false">OperatingCurve!AZ53</f>
        <v>0</v>
      </c>
    </row>
    <row r="29" customFormat="false" ht="12.75" hidden="false" customHeight="false" outlineLevel="0" collapsed="false">
      <c r="A29" s="282" t="n">
        <f aca="false">OperatingCurve!D25</f>
        <v>36931</v>
      </c>
      <c r="B29" s="283" t="n">
        <f aca="false">OperatingCurve!H25</f>
        <v>198.9</v>
      </c>
      <c r="C29" s="283" t="n">
        <f aca="false">OperatingCurve!G25</f>
        <v>205.625</v>
      </c>
      <c r="D29" s="283" t="n">
        <f aca="false">OperatingCurve!I25</f>
        <v>240</v>
      </c>
      <c r="E29" s="278"/>
      <c r="F29" s="283" t="n">
        <f aca="false">OperatingCurve!M25</f>
        <v>0</v>
      </c>
      <c r="G29" s="283" t="n">
        <f aca="false">OperatingCurve!L25</f>
        <v>0</v>
      </c>
      <c r="H29" s="283" t="n">
        <f aca="false">OperatingCurve!N25</f>
        <v>0</v>
      </c>
      <c r="I29" s="273"/>
      <c r="J29" s="284" t="n">
        <f aca="false">OperatingCurve!V54</f>
        <v>37530</v>
      </c>
      <c r="K29" s="285" t="n">
        <f aca="false">OperatingCurve!Z54</f>
        <v>0</v>
      </c>
      <c r="L29" s="285" t="n">
        <f aca="false">OperatingCurve!Y54</f>
        <v>0</v>
      </c>
      <c r="M29" s="285" t="n">
        <f aca="false">OperatingCurve!AA54</f>
        <v>0</v>
      </c>
      <c r="O29" s="285" t="n">
        <f aca="false">OperatingCurve!AE54</f>
        <v>0</v>
      </c>
      <c r="P29" s="285" t="n">
        <f aca="false">OperatingCurve!AD54</f>
        <v>0</v>
      </c>
      <c r="Q29" s="285" t="n">
        <f aca="false">OperatingCurve!AF54</f>
        <v>0</v>
      </c>
      <c r="S29" s="285" t="n">
        <f aca="false">OperatingCurve!AJ54</f>
        <v>0</v>
      </c>
      <c r="T29" s="285" t="n">
        <f aca="false">OperatingCurve!AI54</f>
        <v>0</v>
      </c>
      <c r="U29" s="285" t="n">
        <f aca="false">OperatingCurve!AK54</f>
        <v>0</v>
      </c>
      <c r="W29" s="285" t="n">
        <f aca="false">OperatingCurve!AO54</f>
        <v>0.2925</v>
      </c>
      <c r="X29" s="285" t="n">
        <f aca="false">OperatingCurve!AN54</f>
        <v>0.65</v>
      </c>
      <c r="Y29" s="285" t="n">
        <f aca="false">OperatingCurve!AP54</f>
        <v>0.8125</v>
      </c>
      <c r="AA29" s="285" t="n">
        <f aca="false">OperatingCurve!AR54</f>
        <v>0.26</v>
      </c>
      <c r="AB29" s="285" t="n">
        <f aca="false">OperatingCurve!AQ54</f>
        <v>0.65</v>
      </c>
      <c r="AC29" s="285" t="n">
        <f aca="false">OperatingCurve!AS54</f>
        <v>0.4875</v>
      </c>
      <c r="AE29" s="285" t="n">
        <f aca="false">OperatingCurve!AU54</f>
        <v>-1.37783749443774</v>
      </c>
      <c r="AF29" s="285" t="n">
        <f aca="false">OperatingCurve!AT54</f>
        <v>22.0453999110038</v>
      </c>
      <c r="AG29" s="285" t="n">
        <f aca="false">OperatingCurve!AV54</f>
        <v>27.5567498887548</v>
      </c>
      <c r="AI29" s="285" t="n">
        <f aca="false">OperatingCurve!AX54</f>
        <v>-0.5321625</v>
      </c>
      <c r="AJ29" s="285" t="n">
        <f aca="false">OperatingCurve!AW54</f>
        <v>8.5146</v>
      </c>
      <c r="AK29" s="285" t="n">
        <f aca="false">OperatingCurve!AY54</f>
        <v>10.64325</v>
      </c>
      <c r="AM29" s="286" t="n">
        <f aca="false">OperatingCurve!AL54</f>
        <v>8</v>
      </c>
      <c r="AN29" s="287" t="n">
        <f aca="false">OperatingCurve!AM54</f>
        <v>0.2</v>
      </c>
      <c r="AP29" s="286" t="n">
        <f aca="false">OperatingCurve!BB139</f>
        <v>2100</v>
      </c>
      <c r="AQ29" s="290" t="n">
        <f aca="false">OperatingCurve!BC139</f>
        <v>1</v>
      </c>
      <c r="AR29" s="290" t="n">
        <f aca="false">OperatingCurve!BD139</f>
        <v>1</v>
      </c>
      <c r="AS29" s="290" t="n">
        <f aca="false">OperatingCurve!BE139</f>
        <v>1</v>
      </c>
      <c r="AT29" s="290" t="n">
        <f aca="false">OperatingCurve!BF139</f>
        <v>1</v>
      </c>
      <c r="AU29" s="290" t="n">
        <f aca="false">OperatingCurve!BG139</f>
        <v>1</v>
      </c>
      <c r="AV29" s="290" t="n">
        <f aca="false">OperatingCurve!BH139</f>
        <v>1</v>
      </c>
      <c r="AW29" s="290" t="n">
        <f aca="false">OperatingCurve!BI139</f>
        <v>1</v>
      </c>
      <c r="AX29" s="290" t="n">
        <f aca="false">OperatingCurve!BJ139</f>
        <v>1</v>
      </c>
      <c r="AY29" s="290" t="n">
        <f aca="false">OperatingCurve!BK139</f>
        <v>1</v>
      </c>
      <c r="AZ29" s="290" t="n">
        <f aca="false">OperatingCurve!BL139</f>
        <v>1</v>
      </c>
      <c r="BA29" s="290" t="n">
        <f aca="false">OperatingCurve!BM139</f>
        <v>1</v>
      </c>
      <c r="BB29" s="290" t="n">
        <f aca="false">OperatingCurve!BN139</f>
        <v>1</v>
      </c>
      <c r="BC29" s="286" t="str">
        <f aca="false">OperatingCurve!BO139</f>
        <v>1</v>
      </c>
      <c r="BE29" s="284" t="n">
        <f aca="false">OperatingCurve!V54</f>
        <v>37530</v>
      </c>
      <c r="BF29" s="289" t="n">
        <f aca="false">OperatingCurve!AZ54</f>
        <v>0</v>
      </c>
    </row>
    <row r="30" customFormat="false" ht="12.75" hidden="false" customHeight="false" outlineLevel="0" collapsed="false">
      <c r="A30" s="282" t="n">
        <f aca="false">OperatingCurve!D26</f>
        <v>36932</v>
      </c>
      <c r="B30" s="283" t="n">
        <f aca="false">OperatingCurve!H26</f>
        <v>133.161</v>
      </c>
      <c r="C30" s="283" t="n">
        <f aca="false">OperatingCurve!G26</f>
        <v>139.376</v>
      </c>
      <c r="D30" s="283" t="n">
        <f aca="false">OperatingCurve!I26</f>
        <v>171.201</v>
      </c>
      <c r="E30" s="278"/>
      <c r="F30" s="283" t="n">
        <f aca="false">OperatingCurve!M26</f>
        <v>0</v>
      </c>
      <c r="G30" s="283" t="n">
        <f aca="false">OperatingCurve!L26</f>
        <v>0</v>
      </c>
      <c r="H30" s="283" t="n">
        <f aca="false">OperatingCurve!N26</f>
        <v>0</v>
      </c>
      <c r="I30" s="273"/>
      <c r="J30" s="284" t="n">
        <f aca="false">OperatingCurve!V55</f>
        <v>37561</v>
      </c>
      <c r="K30" s="285" t="n">
        <f aca="false">OperatingCurve!Z55</f>
        <v>0</v>
      </c>
      <c r="L30" s="285" t="n">
        <f aca="false">OperatingCurve!Y55</f>
        <v>0</v>
      </c>
      <c r="M30" s="285" t="n">
        <f aca="false">OperatingCurve!AA55</f>
        <v>0</v>
      </c>
      <c r="O30" s="285" t="n">
        <f aca="false">OperatingCurve!AE55</f>
        <v>0</v>
      </c>
      <c r="P30" s="285" t="n">
        <f aca="false">OperatingCurve!AD55</f>
        <v>0</v>
      </c>
      <c r="Q30" s="285" t="n">
        <f aca="false">OperatingCurve!AF55</f>
        <v>0</v>
      </c>
      <c r="S30" s="285" t="n">
        <f aca="false">OperatingCurve!AJ55</f>
        <v>0</v>
      </c>
      <c r="T30" s="285" t="n">
        <f aca="false">OperatingCurve!AI55</f>
        <v>0</v>
      </c>
      <c r="U30" s="285" t="n">
        <f aca="false">OperatingCurve!AK55</f>
        <v>0</v>
      </c>
      <c r="W30" s="285" t="n">
        <f aca="false">OperatingCurve!AO55</f>
        <v>0.297</v>
      </c>
      <c r="X30" s="285" t="n">
        <f aca="false">OperatingCurve!AN55</f>
        <v>0.66</v>
      </c>
      <c r="Y30" s="285" t="n">
        <f aca="false">OperatingCurve!AP55</f>
        <v>0.825</v>
      </c>
      <c r="AA30" s="285" t="n">
        <f aca="false">OperatingCurve!AR55</f>
        <v>0.264</v>
      </c>
      <c r="AB30" s="285" t="n">
        <f aca="false">OperatingCurve!AQ55</f>
        <v>0.66</v>
      </c>
      <c r="AC30" s="285" t="n">
        <f aca="false">OperatingCurve!AS55</f>
        <v>0.495</v>
      </c>
      <c r="AE30" s="285" t="n">
        <f aca="false">OperatingCurve!AU55</f>
        <v>-1.63320139628948</v>
      </c>
      <c r="AF30" s="285" t="n">
        <f aca="false">OperatingCurve!AT55</f>
        <v>26.1312223406317</v>
      </c>
      <c r="AG30" s="285" t="n">
        <f aca="false">OperatingCurve!AV55</f>
        <v>32.6640279257896</v>
      </c>
      <c r="AI30" s="285" t="n">
        <f aca="false">OperatingCurve!AX55</f>
        <v>-0.5439375</v>
      </c>
      <c r="AJ30" s="285" t="n">
        <f aca="false">OperatingCurve!AW55</f>
        <v>8.703</v>
      </c>
      <c r="AK30" s="285" t="n">
        <f aca="false">OperatingCurve!AY55</f>
        <v>10.87875</v>
      </c>
      <c r="AM30" s="286" t="n">
        <f aca="false">OperatingCurve!AL55</f>
        <v>8</v>
      </c>
      <c r="AN30" s="287" t="n">
        <f aca="false">OperatingCurve!AM55</f>
        <v>0.2</v>
      </c>
      <c r="AP30" s="286" t="n">
        <f aca="false">OperatingCurve!BB140</f>
        <v>2200</v>
      </c>
      <c r="AQ30" s="290" t="n">
        <f aca="false">OperatingCurve!BC140</f>
        <v>1</v>
      </c>
      <c r="AR30" s="290" t="n">
        <f aca="false">OperatingCurve!BD140</f>
        <v>1</v>
      </c>
      <c r="AS30" s="290" t="n">
        <f aca="false">OperatingCurve!BE140</f>
        <v>1</v>
      </c>
      <c r="AT30" s="290" t="n">
        <f aca="false">OperatingCurve!BF140</f>
        <v>1</v>
      </c>
      <c r="AU30" s="290" t="n">
        <f aca="false">OperatingCurve!BG140</f>
        <v>1</v>
      </c>
      <c r="AV30" s="290" t="n">
        <f aca="false">OperatingCurve!BH140</f>
        <v>1</v>
      </c>
      <c r="AW30" s="290" t="n">
        <f aca="false">OperatingCurve!BI140</f>
        <v>1</v>
      </c>
      <c r="AX30" s="290" t="n">
        <f aca="false">OperatingCurve!BJ140</f>
        <v>1</v>
      </c>
      <c r="AY30" s="290" t="n">
        <f aca="false">OperatingCurve!BK140</f>
        <v>1</v>
      </c>
      <c r="AZ30" s="290" t="n">
        <f aca="false">OperatingCurve!BL140</f>
        <v>1</v>
      </c>
      <c r="BA30" s="290" t="n">
        <f aca="false">OperatingCurve!BM140</f>
        <v>1</v>
      </c>
      <c r="BB30" s="290" t="n">
        <f aca="false">OperatingCurve!BN140</f>
        <v>1</v>
      </c>
      <c r="BC30" s="286" t="str">
        <f aca="false">OperatingCurve!BO140</f>
        <v>1</v>
      </c>
      <c r="BE30" s="284" t="n">
        <f aca="false">OperatingCurve!V55</f>
        <v>37561</v>
      </c>
      <c r="BF30" s="289" t="n">
        <f aca="false">OperatingCurve!AZ55</f>
        <v>0</v>
      </c>
    </row>
    <row r="31" customFormat="false" ht="12.75" hidden="false" customHeight="false" outlineLevel="0" collapsed="false">
      <c r="A31" s="282" t="n">
        <f aca="false">OperatingCurve!D27</f>
        <v>36933</v>
      </c>
      <c r="B31" s="283" t="n">
        <f aca="false">OperatingCurve!H27</f>
        <v>111.201</v>
      </c>
      <c r="C31" s="283" t="n">
        <f aca="false">OperatingCurve!G27</f>
        <v>117.236</v>
      </c>
      <c r="D31" s="283" t="n">
        <f aca="false">OperatingCurve!I27</f>
        <v>148.161</v>
      </c>
      <c r="E31" s="278"/>
      <c r="F31" s="283" t="n">
        <f aca="false">OperatingCurve!M27</f>
        <v>0</v>
      </c>
      <c r="G31" s="283" t="n">
        <f aca="false">OperatingCurve!L27</f>
        <v>0</v>
      </c>
      <c r="H31" s="283" t="n">
        <f aca="false">OperatingCurve!N27</f>
        <v>0</v>
      </c>
      <c r="I31" s="273"/>
      <c r="J31" s="284" t="n">
        <f aca="false">OperatingCurve!V56</f>
        <v>37591</v>
      </c>
      <c r="K31" s="285" t="n">
        <f aca="false">OperatingCurve!Z56</f>
        <v>0</v>
      </c>
      <c r="L31" s="285" t="n">
        <f aca="false">OperatingCurve!Y56</f>
        <v>0</v>
      </c>
      <c r="M31" s="285" t="n">
        <f aca="false">OperatingCurve!AA56</f>
        <v>0</v>
      </c>
      <c r="O31" s="285" t="n">
        <f aca="false">OperatingCurve!AE56</f>
        <v>0</v>
      </c>
      <c r="P31" s="285" t="n">
        <f aca="false">OperatingCurve!AD56</f>
        <v>0</v>
      </c>
      <c r="Q31" s="285" t="n">
        <f aca="false">OperatingCurve!AF56</f>
        <v>0</v>
      </c>
      <c r="S31" s="285" t="n">
        <f aca="false">OperatingCurve!AJ56</f>
        <v>0</v>
      </c>
      <c r="T31" s="285" t="n">
        <f aca="false">OperatingCurve!AI56</f>
        <v>0</v>
      </c>
      <c r="U31" s="285" t="n">
        <f aca="false">OperatingCurve!AK56</f>
        <v>0</v>
      </c>
      <c r="W31" s="285" t="n">
        <f aca="false">OperatingCurve!AO56</f>
        <v>0.29925</v>
      </c>
      <c r="X31" s="285" t="n">
        <f aca="false">OperatingCurve!AN56</f>
        <v>0.665</v>
      </c>
      <c r="Y31" s="285" t="n">
        <f aca="false">OperatingCurve!AP56</f>
        <v>0.83125</v>
      </c>
      <c r="AA31" s="285" t="n">
        <f aca="false">OperatingCurve!AR56</f>
        <v>0.266</v>
      </c>
      <c r="AB31" s="285" t="n">
        <f aca="false">OperatingCurve!AQ56</f>
        <v>0.665</v>
      </c>
      <c r="AC31" s="285" t="n">
        <f aca="false">OperatingCurve!AS56</f>
        <v>0.49875</v>
      </c>
      <c r="AE31" s="285" t="n">
        <f aca="false">OperatingCurve!AU56</f>
        <v>-2.028125</v>
      </c>
      <c r="AF31" s="285" t="n">
        <f aca="false">OperatingCurve!AT56</f>
        <v>32.45</v>
      </c>
      <c r="AG31" s="285" t="n">
        <f aca="false">OperatingCurve!AV56</f>
        <v>40.5625</v>
      </c>
      <c r="AI31" s="285" t="n">
        <f aca="false">OperatingCurve!AX56</f>
        <v>-0.549825</v>
      </c>
      <c r="AJ31" s="285" t="n">
        <f aca="false">OperatingCurve!AW56</f>
        <v>8.7972</v>
      </c>
      <c r="AK31" s="285" t="n">
        <f aca="false">OperatingCurve!AY56</f>
        <v>10.9965</v>
      </c>
      <c r="AM31" s="286" t="n">
        <f aca="false">OperatingCurve!AL56</f>
        <v>8</v>
      </c>
      <c r="AN31" s="287" t="n">
        <f aca="false">OperatingCurve!AM56</f>
        <v>0.2</v>
      </c>
      <c r="AP31" s="286" t="n">
        <f aca="false">OperatingCurve!BB141</f>
        <v>2300</v>
      </c>
      <c r="AQ31" s="290" t="n">
        <f aca="false">OperatingCurve!BC141</f>
        <v>1</v>
      </c>
      <c r="AR31" s="290" t="n">
        <f aca="false">OperatingCurve!BD141</f>
        <v>1</v>
      </c>
      <c r="AS31" s="290" t="n">
        <f aca="false">OperatingCurve!BE141</f>
        <v>1</v>
      </c>
      <c r="AT31" s="290" t="n">
        <f aca="false">OperatingCurve!BF141</f>
        <v>1</v>
      </c>
      <c r="AU31" s="290" t="n">
        <f aca="false">OperatingCurve!BG141</f>
        <v>1</v>
      </c>
      <c r="AV31" s="290" t="n">
        <f aca="false">OperatingCurve!BH141</f>
        <v>1</v>
      </c>
      <c r="AW31" s="290" t="n">
        <f aca="false">OperatingCurve!BI141</f>
        <v>1</v>
      </c>
      <c r="AX31" s="290" t="n">
        <f aca="false">OperatingCurve!BJ141</f>
        <v>1</v>
      </c>
      <c r="AY31" s="290" t="n">
        <f aca="false">OperatingCurve!BK141</f>
        <v>1</v>
      </c>
      <c r="AZ31" s="290" t="n">
        <f aca="false">OperatingCurve!BL141</f>
        <v>1</v>
      </c>
      <c r="BA31" s="290" t="n">
        <f aca="false">OperatingCurve!BM141</f>
        <v>1</v>
      </c>
      <c r="BB31" s="290" t="n">
        <f aca="false">OperatingCurve!BN141</f>
        <v>1</v>
      </c>
      <c r="BC31" s="286" t="str">
        <f aca="false">OperatingCurve!BO141</f>
        <v>2</v>
      </c>
      <c r="BE31" s="284" t="n">
        <f aca="false">OperatingCurve!V56</f>
        <v>37591</v>
      </c>
      <c r="BF31" s="289" t="n">
        <f aca="false">OperatingCurve!AZ56</f>
        <v>0</v>
      </c>
    </row>
    <row r="32" customFormat="false" ht="12.75" hidden="false" customHeight="false" outlineLevel="0" collapsed="false">
      <c r="A32" s="282" t="n">
        <f aca="false">OperatingCurve!D28</f>
        <v>36934</v>
      </c>
      <c r="B32" s="283" t="n">
        <f aca="false">OperatingCurve!H28</f>
        <v>198.9</v>
      </c>
      <c r="C32" s="283" t="n">
        <f aca="false">OperatingCurve!G28</f>
        <v>205.625</v>
      </c>
      <c r="D32" s="283" t="n">
        <f aca="false">OperatingCurve!I28</f>
        <v>240</v>
      </c>
      <c r="E32" s="278"/>
      <c r="F32" s="283" t="n">
        <f aca="false">OperatingCurve!M28</f>
        <v>0</v>
      </c>
      <c r="G32" s="283" t="n">
        <f aca="false">OperatingCurve!L28</f>
        <v>0</v>
      </c>
      <c r="H32" s="283" t="n">
        <f aca="false">OperatingCurve!N28</f>
        <v>0</v>
      </c>
      <c r="I32" s="273"/>
      <c r="J32" s="284" t="n">
        <f aca="false">OperatingCurve!V57</f>
        <v>37622</v>
      </c>
      <c r="K32" s="285" t="n">
        <f aca="false">OperatingCurve!Z57</f>
        <v>0</v>
      </c>
      <c r="L32" s="285" t="n">
        <f aca="false">OperatingCurve!Y57</f>
        <v>0</v>
      </c>
      <c r="M32" s="285" t="n">
        <f aca="false">OperatingCurve!AA57</f>
        <v>0</v>
      </c>
      <c r="O32" s="285" t="n">
        <f aca="false">OperatingCurve!AE57</f>
        <v>0</v>
      </c>
      <c r="P32" s="285" t="n">
        <f aca="false">OperatingCurve!AD57</f>
        <v>0</v>
      </c>
      <c r="Q32" s="285" t="n">
        <f aca="false">OperatingCurve!AF57</f>
        <v>0</v>
      </c>
      <c r="S32" s="285" t="n">
        <f aca="false">OperatingCurve!AJ57</f>
        <v>0</v>
      </c>
      <c r="T32" s="285" t="n">
        <f aca="false">OperatingCurve!AI57</f>
        <v>0</v>
      </c>
      <c r="U32" s="285" t="n">
        <f aca="false">OperatingCurve!AK57</f>
        <v>0</v>
      </c>
      <c r="W32" s="285" t="n">
        <f aca="false">OperatingCurve!AO57</f>
        <v>0.29925</v>
      </c>
      <c r="X32" s="285" t="n">
        <f aca="false">OperatingCurve!AN57</f>
        <v>0.665</v>
      </c>
      <c r="Y32" s="285" t="n">
        <f aca="false">OperatingCurve!AP57</f>
        <v>0.83125</v>
      </c>
      <c r="AA32" s="285" t="n">
        <f aca="false">OperatingCurve!AR57</f>
        <v>0.266</v>
      </c>
      <c r="AB32" s="285" t="n">
        <f aca="false">OperatingCurve!AQ57</f>
        <v>0.665</v>
      </c>
      <c r="AC32" s="285" t="n">
        <f aca="false">OperatingCurve!AS57</f>
        <v>0.49875</v>
      </c>
      <c r="AE32" s="285" t="n">
        <f aca="false">OperatingCurve!AU57</f>
        <v>-1.95014019546766</v>
      </c>
      <c r="AF32" s="285" t="n">
        <f aca="false">OperatingCurve!AT57</f>
        <v>31.2022431274826</v>
      </c>
      <c r="AG32" s="285" t="n">
        <f aca="false">OperatingCurve!AV57</f>
        <v>39.0028039093532</v>
      </c>
      <c r="AI32" s="285" t="n">
        <f aca="false">OperatingCurve!AX57</f>
        <v>-0.5674875</v>
      </c>
      <c r="AJ32" s="285" t="n">
        <f aca="false">OperatingCurve!AW57</f>
        <v>9.0798</v>
      </c>
      <c r="AK32" s="285" t="n">
        <f aca="false">OperatingCurve!AY57</f>
        <v>11.34975</v>
      </c>
      <c r="AM32" s="286" t="n">
        <f aca="false">OperatingCurve!AL57</f>
        <v>9</v>
      </c>
      <c r="AN32" s="287" t="n">
        <f aca="false">OperatingCurve!AM57</f>
        <v>0.2</v>
      </c>
      <c r="AP32" s="286" t="n">
        <f aca="false">OperatingCurve!BB142</f>
        <v>2400</v>
      </c>
      <c r="AQ32" s="290" t="n">
        <f aca="false">OperatingCurve!BC142</f>
        <v>1</v>
      </c>
      <c r="AR32" s="290" t="n">
        <f aca="false">OperatingCurve!BD142</f>
        <v>1</v>
      </c>
      <c r="AS32" s="290" t="n">
        <f aca="false">OperatingCurve!BE142</f>
        <v>1</v>
      </c>
      <c r="AT32" s="290" t="n">
        <f aca="false">OperatingCurve!BF142</f>
        <v>1</v>
      </c>
      <c r="AU32" s="290" t="n">
        <f aca="false">OperatingCurve!BG142</f>
        <v>1</v>
      </c>
      <c r="AV32" s="290" t="n">
        <f aca="false">OperatingCurve!BH142</f>
        <v>1</v>
      </c>
      <c r="AW32" s="290" t="n">
        <f aca="false">OperatingCurve!BI142</f>
        <v>1</v>
      </c>
      <c r="AX32" s="290" t="n">
        <f aca="false">OperatingCurve!BJ142</f>
        <v>1</v>
      </c>
      <c r="AY32" s="290" t="n">
        <f aca="false">OperatingCurve!BK142</f>
        <v>1</v>
      </c>
      <c r="AZ32" s="290" t="n">
        <f aca="false">OperatingCurve!BL142</f>
        <v>1</v>
      </c>
      <c r="BA32" s="290" t="n">
        <f aca="false">OperatingCurve!BM142</f>
        <v>1</v>
      </c>
      <c r="BB32" s="290" t="n">
        <f aca="false">OperatingCurve!BN142</f>
        <v>1</v>
      </c>
      <c r="BC32" s="286" t="str">
        <f aca="false">OperatingCurve!BO142</f>
        <v>2</v>
      </c>
      <c r="BE32" s="284" t="n">
        <f aca="false">OperatingCurve!V57</f>
        <v>37622</v>
      </c>
      <c r="BF32" s="289" t="n">
        <f aca="false">OperatingCurve!AZ57</f>
        <v>0</v>
      </c>
    </row>
    <row r="33" customFormat="false" ht="12.75" hidden="false" customHeight="false" outlineLevel="0" collapsed="false">
      <c r="A33" s="282" t="n">
        <f aca="false">OperatingCurve!D29</f>
        <v>36935</v>
      </c>
      <c r="B33" s="283" t="n">
        <f aca="false">OperatingCurve!H29</f>
        <v>198.9</v>
      </c>
      <c r="C33" s="283" t="n">
        <f aca="false">OperatingCurve!G29</f>
        <v>205.625</v>
      </c>
      <c r="D33" s="283" t="n">
        <f aca="false">OperatingCurve!I29</f>
        <v>240</v>
      </c>
      <c r="E33" s="278"/>
      <c r="F33" s="283" t="n">
        <f aca="false">OperatingCurve!M29</f>
        <v>0</v>
      </c>
      <c r="G33" s="283" t="n">
        <f aca="false">OperatingCurve!L29</f>
        <v>0</v>
      </c>
      <c r="H33" s="283" t="n">
        <f aca="false">OperatingCurve!N29</f>
        <v>0</v>
      </c>
      <c r="I33" s="273"/>
      <c r="J33" s="284" t="n">
        <f aca="false">OperatingCurve!V58</f>
        <v>37653</v>
      </c>
      <c r="K33" s="285" t="n">
        <f aca="false">OperatingCurve!Z58</f>
        <v>0</v>
      </c>
      <c r="L33" s="285" t="n">
        <f aca="false">OperatingCurve!Y58</f>
        <v>0</v>
      </c>
      <c r="M33" s="285" t="n">
        <f aca="false">OperatingCurve!AA58</f>
        <v>0</v>
      </c>
      <c r="O33" s="285" t="n">
        <f aca="false">OperatingCurve!AE58</f>
        <v>0</v>
      </c>
      <c r="P33" s="285" t="n">
        <f aca="false">OperatingCurve!AD58</f>
        <v>0</v>
      </c>
      <c r="Q33" s="285" t="n">
        <f aca="false">OperatingCurve!AF58</f>
        <v>0</v>
      </c>
      <c r="S33" s="285" t="n">
        <f aca="false">OperatingCurve!AJ58</f>
        <v>0</v>
      </c>
      <c r="T33" s="285" t="n">
        <f aca="false">OperatingCurve!AI58</f>
        <v>0</v>
      </c>
      <c r="U33" s="285" t="n">
        <f aca="false">OperatingCurve!AK58</f>
        <v>0</v>
      </c>
      <c r="W33" s="285" t="n">
        <f aca="false">OperatingCurve!AO58</f>
        <v>0.288</v>
      </c>
      <c r="X33" s="285" t="n">
        <f aca="false">OperatingCurve!AN58</f>
        <v>0.64</v>
      </c>
      <c r="Y33" s="285" t="n">
        <f aca="false">OperatingCurve!AP58</f>
        <v>0.8</v>
      </c>
      <c r="AA33" s="285" t="n">
        <f aca="false">OperatingCurve!AR58</f>
        <v>0.256</v>
      </c>
      <c r="AB33" s="285" t="n">
        <f aca="false">OperatingCurve!AQ58</f>
        <v>0.64</v>
      </c>
      <c r="AC33" s="285" t="n">
        <f aca="false">OperatingCurve!AS58</f>
        <v>0.48</v>
      </c>
      <c r="AE33" s="285" t="n">
        <f aca="false">OperatingCurve!AU58</f>
        <v>-1.70197434658636</v>
      </c>
      <c r="AF33" s="285" t="n">
        <f aca="false">OperatingCurve!AT58</f>
        <v>27.2315895453818</v>
      </c>
      <c r="AG33" s="285" t="n">
        <f aca="false">OperatingCurve!AV58</f>
        <v>34.0394869317272</v>
      </c>
      <c r="AI33" s="285" t="n">
        <f aca="false">OperatingCurve!AX58</f>
        <v>-0.5792625</v>
      </c>
      <c r="AJ33" s="285" t="n">
        <f aca="false">OperatingCurve!AW58</f>
        <v>9.2682</v>
      </c>
      <c r="AK33" s="285" t="n">
        <f aca="false">OperatingCurve!AY58</f>
        <v>11.58525</v>
      </c>
      <c r="AM33" s="286" t="n">
        <f aca="false">OperatingCurve!AL58</f>
        <v>9</v>
      </c>
      <c r="AN33" s="287" t="n">
        <f aca="false">OperatingCurve!AM58</f>
        <v>0.2</v>
      </c>
      <c r="BE33" s="284" t="n">
        <f aca="false">OperatingCurve!V58</f>
        <v>37653</v>
      </c>
      <c r="BF33" s="289" t="n">
        <f aca="false">OperatingCurve!AZ58</f>
        <v>0</v>
      </c>
    </row>
    <row r="34" customFormat="false" ht="12.75" hidden="false" customHeight="false" outlineLevel="0" collapsed="false">
      <c r="A34" s="282" t="n">
        <f aca="false">OperatingCurve!D30</f>
        <v>36936</v>
      </c>
      <c r="B34" s="283" t="n">
        <f aca="false">OperatingCurve!H30</f>
        <v>198.9</v>
      </c>
      <c r="C34" s="283" t="n">
        <f aca="false">OperatingCurve!G30</f>
        <v>205.625</v>
      </c>
      <c r="D34" s="283" t="n">
        <f aca="false">OperatingCurve!I30</f>
        <v>240</v>
      </c>
      <c r="E34" s="278"/>
      <c r="F34" s="283" t="n">
        <f aca="false">OperatingCurve!M30</f>
        <v>0</v>
      </c>
      <c r="G34" s="283" t="n">
        <f aca="false">OperatingCurve!L30</f>
        <v>0</v>
      </c>
      <c r="H34" s="283" t="n">
        <f aca="false">OperatingCurve!N30</f>
        <v>0</v>
      </c>
      <c r="I34" s="273"/>
      <c r="J34" s="284" t="n">
        <f aca="false">OperatingCurve!V59</f>
        <v>37681</v>
      </c>
      <c r="K34" s="285" t="n">
        <f aca="false">OperatingCurve!Z59</f>
        <v>0</v>
      </c>
      <c r="L34" s="285" t="n">
        <f aca="false">OperatingCurve!Y59</f>
        <v>0</v>
      </c>
      <c r="M34" s="285" t="n">
        <f aca="false">OperatingCurve!AA59</f>
        <v>0</v>
      </c>
      <c r="O34" s="285" t="n">
        <f aca="false">OperatingCurve!AE59</f>
        <v>0</v>
      </c>
      <c r="P34" s="285" t="n">
        <f aca="false">OperatingCurve!AD59</f>
        <v>0</v>
      </c>
      <c r="Q34" s="285" t="n">
        <f aca="false">OperatingCurve!AF59</f>
        <v>0</v>
      </c>
      <c r="S34" s="285" t="n">
        <f aca="false">OperatingCurve!AJ59</f>
        <v>0</v>
      </c>
      <c r="T34" s="285" t="n">
        <f aca="false">OperatingCurve!AI59</f>
        <v>0</v>
      </c>
      <c r="U34" s="285" t="n">
        <f aca="false">OperatingCurve!AK59</f>
        <v>0</v>
      </c>
      <c r="W34" s="285" t="n">
        <f aca="false">OperatingCurve!AO59</f>
        <v>0.279</v>
      </c>
      <c r="X34" s="285" t="n">
        <f aca="false">OperatingCurve!AN59</f>
        <v>0.62</v>
      </c>
      <c r="Y34" s="285" t="n">
        <f aca="false">OperatingCurve!AP59</f>
        <v>0.775</v>
      </c>
      <c r="AA34" s="285" t="n">
        <f aca="false">OperatingCurve!AR59</f>
        <v>0.248</v>
      </c>
      <c r="AB34" s="285" t="n">
        <f aca="false">OperatingCurve!AQ59</f>
        <v>0.62</v>
      </c>
      <c r="AC34" s="285" t="n">
        <f aca="false">OperatingCurve!AS59</f>
        <v>0.465</v>
      </c>
      <c r="AE34" s="285" t="n">
        <f aca="false">OperatingCurve!AU59</f>
        <v>-1.33100759926717</v>
      </c>
      <c r="AF34" s="285" t="n">
        <f aca="false">OperatingCurve!AT59</f>
        <v>21.2961215882748</v>
      </c>
      <c r="AG34" s="285" t="n">
        <f aca="false">OperatingCurve!AV59</f>
        <v>26.6201519853435</v>
      </c>
      <c r="AI34" s="285" t="n">
        <f aca="false">OperatingCurve!AX59</f>
        <v>-0.5910375</v>
      </c>
      <c r="AJ34" s="285" t="n">
        <f aca="false">OperatingCurve!AW59</f>
        <v>9.4566</v>
      </c>
      <c r="AK34" s="285" t="n">
        <f aca="false">OperatingCurve!AY59</f>
        <v>11.82075</v>
      </c>
      <c r="AM34" s="286" t="n">
        <f aca="false">OperatingCurve!AL59</f>
        <v>9</v>
      </c>
      <c r="AN34" s="287" t="n">
        <f aca="false">OperatingCurve!AM59</f>
        <v>0.2</v>
      </c>
      <c r="AP34" s="273" t="s">
        <v>126</v>
      </c>
      <c r="AQ34" s="30"/>
      <c r="AS34" s="273" t="s">
        <v>127</v>
      </c>
      <c r="BE34" s="284" t="n">
        <f aca="false">OperatingCurve!V59</f>
        <v>37681</v>
      </c>
      <c r="BF34" s="289" t="n">
        <f aca="false">OperatingCurve!AZ59</f>
        <v>0</v>
      </c>
    </row>
    <row r="35" customFormat="false" ht="12.75" hidden="false" customHeight="false" outlineLevel="0" collapsed="false">
      <c r="A35" s="282" t="n">
        <f aca="false">OperatingCurve!D31</f>
        <v>36937</v>
      </c>
      <c r="B35" s="283" t="n">
        <f aca="false">OperatingCurve!H31</f>
        <v>198.9</v>
      </c>
      <c r="C35" s="283" t="n">
        <f aca="false">OperatingCurve!G31</f>
        <v>205.625</v>
      </c>
      <c r="D35" s="283" t="n">
        <f aca="false">OperatingCurve!I31</f>
        <v>240</v>
      </c>
      <c r="E35" s="278"/>
      <c r="F35" s="283" t="n">
        <f aca="false">OperatingCurve!M31</f>
        <v>0</v>
      </c>
      <c r="G35" s="283" t="n">
        <f aca="false">OperatingCurve!L31</f>
        <v>0</v>
      </c>
      <c r="H35" s="283" t="n">
        <f aca="false">OperatingCurve!N31</f>
        <v>0</v>
      </c>
      <c r="I35" s="273"/>
      <c r="J35" s="284" t="n">
        <f aca="false">OperatingCurve!V60</f>
        <v>37712</v>
      </c>
      <c r="K35" s="285" t="n">
        <f aca="false">OperatingCurve!Z60</f>
        <v>0</v>
      </c>
      <c r="L35" s="285" t="n">
        <f aca="false">OperatingCurve!Y60</f>
        <v>0</v>
      </c>
      <c r="M35" s="285" t="n">
        <f aca="false">OperatingCurve!AA60</f>
        <v>0</v>
      </c>
      <c r="O35" s="285" t="n">
        <f aca="false">OperatingCurve!AE60</f>
        <v>0</v>
      </c>
      <c r="P35" s="285" t="n">
        <f aca="false">OperatingCurve!AD60</f>
        <v>0</v>
      </c>
      <c r="Q35" s="285" t="n">
        <f aca="false">OperatingCurve!AF60</f>
        <v>0</v>
      </c>
      <c r="S35" s="285" t="n">
        <f aca="false">OperatingCurve!AJ60</f>
        <v>0</v>
      </c>
      <c r="T35" s="285" t="n">
        <f aca="false">OperatingCurve!AI60</f>
        <v>0</v>
      </c>
      <c r="U35" s="285" t="n">
        <f aca="false">OperatingCurve!AK60</f>
        <v>0</v>
      </c>
      <c r="W35" s="285" t="n">
        <f aca="false">OperatingCurve!AO60</f>
        <v>0.27</v>
      </c>
      <c r="X35" s="285" t="n">
        <f aca="false">OperatingCurve!AN60</f>
        <v>0.6</v>
      </c>
      <c r="Y35" s="285" t="n">
        <f aca="false">OperatingCurve!AP60</f>
        <v>0.75</v>
      </c>
      <c r="AA35" s="285" t="n">
        <f aca="false">OperatingCurve!AR60</f>
        <v>0.24</v>
      </c>
      <c r="AB35" s="285" t="n">
        <f aca="false">OperatingCurve!AQ60</f>
        <v>0.6</v>
      </c>
      <c r="AC35" s="285" t="n">
        <f aca="false">OperatingCurve!AS60</f>
        <v>0.45</v>
      </c>
      <c r="AE35" s="285" t="n">
        <f aca="false">OperatingCurve!AU60</f>
        <v>-0.690160475152627</v>
      </c>
      <c r="AF35" s="285" t="n">
        <f aca="false">OperatingCurve!AT60</f>
        <v>11.042567602442</v>
      </c>
      <c r="AG35" s="285" t="n">
        <f aca="false">OperatingCurve!AV60</f>
        <v>13.8032095030525</v>
      </c>
      <c r="AI35" s="285" t="n">
        <f aca="false">OperatingCurve!AX60</f>
        <v>-0.6087</v>
      </c>
      <c r="AJ35" s="285" t="n">
        <f aca="false">OperatingCurve!AW60</f>
        <v>9.7392</v>
      </c>
      <c r="AK35" s="285" t="n">
        <f aca="false">OperatingCurve!AY60</f>
        <v>12.174</v>
      </c>
      <c r="AM35" s="286" t="n">
        <f aca="false">OperatingCurve!AL60</f>
        <v>10</v>
      </c>
      <c r="AN35" s="287" t="n">
        <f aca="false">OperatingCurve!AM60</f>
        <v>0.2</v>
      </c>
      <c r="AP35" s="287" t="n">
        <f aca="false">OperatingCurve!BC90</f>
        <v>-5</v>
      </c>
      <c r="AQ35" s="291" t="n">
        <f aca="false">OperatingCurve!BD90</f>
        <v>0.015</v>
      </c>
      <c r="AS35" s="287" t="n">
        <f aca="false">OperatingCurve!BF90</f>
        <v>1</v>
      </c>
      <c r="BE35" s="284" t="n">
        <f aca="false">OperatingCurve!V60</f>
        <v>37712</v>
      </c>
      <c r="BF35" s="289" t="n">
        <f aca="false">OperatingCurve!AZ60</f>
        <v>0</v>
      </c>
    </row>
    <row r="36" customFormat="false" ht="12.75" hidden="false" customHeight="false" outlineLevel="0" collapsed="false">
      <c r="A36" s="282" t="n">
        <f aca="false">OperatingCurve!D32</f>
        <v>36938</v>
      </c>
      <c r="B36" s="283" t="n">
        <f aca="false">OperatingCurve!H32</f>
        <v>198.9</v>
      </c>
      <c r="C36" s="283" t="n">
        <f aca="false">OperatingCurve!G32</f>
        <v>205.625</v>
      </c>
      <c r="D36" s="283" t="n">
        <f aca="false">OperatingCurve!I32</f>
        <v>240</v>
      </c>
      <c r="E36" s="278"/>
      <c r="F36" s="283" t="n">
        <f aca="false">OperatingCurve!M32</f>
        <v>0</v>
      </c>
      <c r="G36" s="283" t="n">
        <f aca="false">OperatingCurve!L32</f>
        <v>0</v>
      </c>
      <c r="H36" s="283" t="n">
        <f aca="false">OperatingCurve!N32</f>
        <v>0</v>
      </c>
      <c r="I36" s="273"/>
      <c r="J36" s="284" t="n">
        <f aca="false">OperatingCurve!V61</f>
        <v>37742</v>
      </c>
      <c r="K36" s="285" t="n">
        <f aca="false">OperatingCurve!Z61</f>
        <v>0</v>
      </c>
      <c r="L36" s="285" t="n">
        <f aca="false">OperatingCurve!Y61</f>
        <v>0</v>
      </c>
      <c r="M36" s="285" t="n">
        <f aca="false">OperatingCurve!AA61</f>
        <v>0</v>
      </c>
      <c r="O36" s="285" t="n">
        <f aca="false">OperatingCurve!AE61</f>
        <v>0</v>
      </c>
      <c r="P36" s="285" t="n">
        <f aca="false">OperatingCurve!AD61</f>
        <v>0</v>
      </c>
      <c r="Q36" s="285" t="n">
        <f aca="false">OperatingCurve!AF61</f>
        <v>0</v>
      </c>
      <c r="S36" s="285" t="n">
        <f aca="false">OperatingCurve!AJ61</f>
        <v>0</v>
      </c>
      <c r="T36" s="285" t="n">
        <f aca="false">OperatingCurve!AI61</f>
        <v>0</v>
      </c>
      <c r="U36" s="285" t="n">
        <f aca="false">OperatingCurve!AK61</f>
        <v>0</v>
      </c>
      <c r="W36" s="285" t="n">
        <f aca="false">OperatingCurve!AO61</f>
        <v>0.2655</v>
      </c>
      <c r="X36" s="285" t="n">
        <f aca="false">OperatingCurve!AN61</f>
        <v>0.59</v>
      </c>
      <c r="Y36" s="285" t="n">
        <f aca="false">OperatingCurve!AP61</f>
        <v>0.7375</v>
      </c>
      <c r="AA36" s="285" t="n">
        <f aca="false">OperatingCurve!AR61</f>
        <v>0.236</v>
      </c>
      <c r="AB36" s="285" t="n">
        <f aca="false">OperatingCurve!AQ61</f>
        <v>0.59</v>
      </c>
      <c r="AC36" s="285" t="n">
        <f aca="false">OperatingCurve!AS61</f>
        <v>0.4425</v>
      </c>
      <c r="AE36" s="285" t="n">
        <f aca="false">OperatingCurve!AU61</f>
        <v>-0.77624108129645</v>
      </c>
      <c r="AF36" s="285" t="n">
        <f aca="false">OperatingCurve!AT61</f>
        <v>12.4198573007432</v>
      </c>
      <c r="AG36" s="285" t="n">
        <f aca="false">OperatingCurve!AV61</f>
        <v>15.524821625929</v>
      </c>
      <c r="AI36" s="285" t="n">
        <f aca="false">OperatingCurve!AX61</f>
        <v>-0.596925</v>
      </c>
      <c r="AJ36" s="285" t="n">
        <f aca="false">OperatingCurve!AW61</f>
        <v>9.5508</v>
      </c>
      <c r="AK36" s="285" t="n">
        <f aca="false">OperatingCurve!AY61</f>
        <v>11.9385</v>
      </c>
      <c r="AM36" s="286" t="n">
        <f aca="false">OperatingCurve!AL61</f>
        <v>10</v>
      </c>
      <c r="AN36" s="287" t="n">
        <f aca="false">OperatingCurve!AM61</f>
        <v>0.2</v>
      </c>
      <c r="AP36" s="287" t="n">
        <f aca="false">OperatingCurve!BC91</f>
        <v>-4.5</v>
      </c>
      <c r="AQ36" s="289" t="n">
        <f aca="false">OperatingCurve!BD91</f>
        <v>0.015</v>
      </c>
      <c r="AS36" s="287" t="n">
        <f aca="false">OperatingCurve!BF91</f>
        <v>2</v>
      </c>
      <c r="BE36" s="284" t="n">
        <f aca="false">OperatingCurve!V61</f>
        <v>37742</v>
      </c>
      <c r="BF36" s="289" t="n">
        <f aca="false">OperatingCurve!AZ61</f>
        <v>0</v>
      </c>
    </row>
    <row r="37" customFormat="false" ht="12.75" hidden="false" customHeight="false" outlineLevel="0" collapsed="false">
      <c r="A37" s="282" t="n">
        <f aca="false">OperatingCurve!D33</f>
        <v>36939</v>
      </c>
      <c r="B37" s="283" t="n">
        <f aca="false">OperatingCurve!H33</f>
        <v>198.9</v>
      </c>
      <c r="C37" s="283" t="n">
        <f aca="false">OperatingCurve!G33</f>
        <v>205.625</v>
      </c>
      <c r="D37" s="283" t="n">
        <f aca="false">OperatingCurve!I33</f>
        <v>240</v>
      </c>
      <c r="E37" s="278"/>
      <c r="F37" s="283" t="n">
        <f aca="false">OperatingCurve!M33</f>
        <v>0</v>
      </c>
      <c r="G37" s="283" t="n">
        <f aca="false">OperatingCurve!L33</f>
        <v>0</v>
      </c>
      <c r="H37" s="283" t="n">
        <f aca="false">OperatingCurve!N33</f>
        <v>0</v>
      </c>
      <c r="I37" s="273"/>
      <c r="J37" s="284" t="n">
        <f aca="false">OperatingCurve!V62</f>
        <v>37773</v>
      </c>
      <c r="K37" s="285" t="n">
        <f aca="false">OperatingCurve!Z62</f>
        <v>0</v>
      </c>
      <c r="L37" s="285" t="n">
        <f aca="false">OperatingCurve!Y62</f>
        <v>0</v>
      </c>
      <c r="M37" s="285" t="n">
        <f aca="false">OperatingCurve!AA62</f>
        <v>0</v>
      </c>
      <c r="O37" s="285" t="n">
        <f aca="false">OperatingCurve!AE62</f>
        <v>0</v>
      </c>
      <c r="P37" s="285" t="n">
        <f aca="false">OperatingCurve!AD62</f>
        <v>0</v>
      </c>
      <c r="Q37" s="285" t="n">
        <f aca="false">OperatingCurve!AF62</f>
        <v>0</v>
      </c>
      <c r="S37" s="285" t="n">
        <f aca="false">OperatingCurve!AJ62</f>
        <v>0</v>
      </c>
      <c r="T37" s="285" t="n">
        <f aca="false">OperatingCurve!AI62</f>
        <v>0</v>
      </c>
      <c r="U37" s="285" t="n">
        <f aca="false">OperatingCurve!AK62</f>
        <v>0</v>
      </c>
      <c r="W37" s="285" t="n">
        <f aca="false">OperatingCurve!AO62</f>
        <v>0.2655</v>
      </c>
      <c r="X37" s="285" t="n">
        <f aca="false">OperatingCurve!AN62</f>
        <v>0.59</v>
      </c>
      <c r="Y37" s="285" t="n">
        <f aca="false">OperatingCurve!AP62</f>
        <v>0.7375</v>
      </c>
      <c r="AA37" s="285" t="n">
        <f aca="false">OperatingCurve!AR62</f>
        <v>0.236</v>
      </c>
      <c r="AB37" s="285" t="n">
        <f aca="false">OperatingCurve!AQ62</f>
        <v>0.59</v>
      </c>
      <c r="AC37" s="285" t="n">
        <f aca="false">OperatingCurve!AS62</f>
        <v>0.4425</v>
      </c>
      <c r="AE37" s="285" t="n">
        <f aca="false">OperatingCurve!AU62</f>
        <v>-0.980086444748751</v>
      </c>
      <c r="AF37" s="285" t="n">
        <f aca="false">OperatingCurve!AT62</f>
        <v>15.68138311598</v>
      </c>
      <c r="AG37" s="285" t="n">
        <f aca="false">OperatingCurve!AV62</f>
        <v>19.601728894975</v>
      </c>
      <c r="AI37" s="285" t="n">
        <f aca="false">OperatingCurve!AX62</f>
        <v>-0.5616</v>
      </c>
      <c r="AJ37" s="285" t="n">
        <f aca="false">OperatingCurve!AW62</f>
        <v>8.9856</v>
      </c>
      <c r="AK37" s="285" t="n">
        <f aca="false">OperatingCurve!AY62</f>
        <v>11.232</v>
      </c>
      <c r="AM37" s="286" t="n">
        <f aca="false">OperatingCurve!AL62</f>
        <v>10</v>
      </c>
      <c r="AN37" s="287" t="n">
        <f aca="false">OperatingCurve!AM62</f>
        <v>0.3</v>
      </c>
      <c r="AP37" s="292" t="n">
        <f aca="false">OperatingCurve!BC92</f>
        <v>-4</v>
      </c>
      <c r="AQ37" s="291" t="n">
        <f aca="false">OperatingCurve!BD92</f>
        <v>0.0125</v>
      </c>
      <c r="AS37" s="287" t="n">
        <f aca="false">OperatingCurve!BF92</f>
        <v>3</v>
      </c>
      <c r="BE37" s="284" t="n">
        <f aca="false">OperatingCurve!V62</f>
        <v>37773</v>
      </c>
      <c r="BF37" s="289" t="n">
        <f aca="false">OperatingCurve!AZ62</f>
        <v>0</v>
      </c>
    </row>
    <row r="38" customFormat="false" ht="12.75" hidden="false" customHeight="false" outlineLevel="0" collapsed="false">
      <c r="A38" s="282" t="n">
        <f aca="false">OperatingCurve!D34</f>
        <v>36950</v>
      </c>
      <c r="B38" s="283" t="n">
        <f aca="false">OperatingCurve!H34</f>
        <v>198.9</v>
      </c>
      <c r="C38" s="283" t="n">
        <f aca="false">OperatingCurve!G34</f>
        <v>205.625</v>
      </c>
      <c r="D38" s="283" t="n">
        <f aca="false">OperatingCurve!I34</f>
        <v>240</v>
      </c>
      <c r="E38" s="278"/>
      <c r="F38" s="283" t="n">
        <f aca="false">OperatingCurve!M34</f>
        <v>0</v>
      </c>
      <c r="G38" s="283" t="n">
        <f aca="false">OperatingCurve!L34</f>
        <v>0</v>
      </c>
      <c r="H38" s="283" t="n">
        <f aca="false">OperatingCurve!N34</f>
        <v>0</v>
      </c>
      <c r="I38" s="273"/>
      <c r="J38" s="284" t="n">
        <f aca="false">OperatingCurve!V63</f>
        <v>37803</v>
      </c>
      <c r="K38" s="285" t="n">
        <f aca="false">OperatingCurve!Z63</f>
        <v>0</v>
      </c>
      <c r="L38" s="285" t="n">
        <f aca="false">OperatingCurve!Y63</f>
        <v>0</v>
      </c>
      <c r="M38" s="285" t="n">
        <f aca="false">OperatingCurve!AA63</f>
        <v>0</v>
      </c>
      <c r="O38" s="285" t="n">
        <f aca="false">OperatingCurve!AE63</f>
        <v>0</v>
      </c>
      <c r="P38" s="285" t="n">
        <f aca="false">OperatingCurve!AD63</f>
        <v>0</v>
      </c>
      <c r="Q38" s="285" t="n">
        <f aca="false">OperatingCurve!AF63</f>
        <v>0</v>
      </c>
      <c r="S38" s="285" t="n">
        <f aca="false">OperatingCurve!AJ63</f>
        <v>0</v>
      </c>
      <c r="T38" s="285" t="n">
        <f aca="false">OperatingCurve!AI63</f>
        <v>0</v>
      </c>
      <c r="U38" s="285" t="n">
        <f aca="false">OperatingCurve!AK63</f>
        <v>0</v>
      </c>
      <c r="W38" s="285" t="n">
        <f aca="false">OperatingCurve!AO63</f>
        <v>0.2655</v>
      </c>
      <c r="X38" s="285" t="n">
        <f aca="false">OperatingCurve!AN63</f>
        <v>0.59</v>
      </c>
      <c r="Y38" s="285" t="n">
        <f aca="false">OperatingCurve!AP63</f>
        <v>0.7375</v>
      </c>
      <c r="AA38" s="285" t="n">
        <f aca="false">OperatingCurve!AR63</f>
        <v>0.236</v>
      </c>
      <c r="AB38" s="285" t="n">
        <f aca="false">OperatingCurve!AQ63</f>
        <v>0.59</v>
      </c>
      <c r="AC38" s="285" t="n">
        <f aca="false">OperatingCurve!AS63</f>
        <v>0.4425</v>
      </c>
      <c r="AE38" s="285" t="n">
        <f aca="false">OperatingCurve!AU63</f>
        <v>-1.47119442907311</v>
      </c>
      <c r="AF38" s="285" t="n">
        <f aca="false">OperatingCurve!AT63</f>
        <v>23.5391108651697</v>
      </c>
      <c r="AG38" s="285" t="n">
        <f aca="false">OperatingCurve!AV63</f>
        <v>29.4238885814621</v>
      </c>
      <c r="AI38" s="285" t="n">
        <f aca="false">OperatingCurve!AX63</f>
        <v>-0.5616</v>
      </c>
      <c r="AJ38" s="285" t="n">
        <f aca="false">OperatingCurve!AW63</f>
        <v>8.9856</v>
      </c>
      <c r="AK38" s="285" t="n">
        <f aca="false">OperatingCurve!AY63</f>
        <v>11.232</v>
      </c>
      <c r="AM38" s="286" t="n">
        <f aca="false">OperatingCurve!AL63</f>
        <v>11</v>
      </c>
      <c r="AN38" s="287" t="n">
        <f aca="false">OperatingCurve!AM63</f>
        <v>0.3</v>
      </c>
      <c r="AP38" s="287" t="n">
        <f aca="false">OperatingCurve!BC93</f>
        <v>-3.5</v>
      </c>
      <c r="AQ38" s="291" t="n">
        <f aca="false">OperatingCurve!BD93</f>
        <v>0.0125</v>
      </c>
      <c r="AS38" s="287" t="n">
        <f aca="false">OperatingCurve!BF93</f>
        <v>4</v>
      </c>
      <c r="BE38" s="284" t="n">
        <f aca="false">OperatingCurve!V63</f>
        <v>37803</v>
      </c>
      <c r="BF38" s="289" t="n">
        <f aca="false">OperatingCurve!AZ63</f>
        <v>0</v>
      </c>
    </row>
    <row r="39" customFormat="false" ht="12.75" hidden="false" customHeight="false" outlineLevel="0" collapsed="false">
      <c r="A39" s="282" t="n">
        <f aca="false">OperatingCurve!D35</f>
        <v>36951</v>
      </c>
      <c r="B39" s="283" t="n">
        <f aca="false">OperatingCurve!H35</f>
        <v>193.556</v>
      </c>
      <c r="C39" s="283" t="n">
        <f aca="false">OperatingCurve!G35</f>
        <v>200.241</v>
      </c>
      <c r="D39" s="283" t="n">
        <f aca="false">OperatingCurve!I35</f>
        <v>234.416</v>
      </c>
      <c r="E39" s="278"/>
      <c r="F39" s="283" t="n">
        <f aca="false">OperatingCurve!M35</f>
        <v>0</v>
      </c>
      <c r="G39" s="283" t="n">
        <f aca="false">OperatingCurve!L35</f>
        <v>0</v>
      </c>
      <c r="H39" s="283" t="n">
        <f aca="false">OperatingCurve!N35</f>
        <v>0</v>
      </c>
      <c r="I39" s="273"/>
      <c r="J39" s="284" t="n">
        <f aca="false">OperatingCurve!V64</f>
        <v>37834</v>
      </c>
      <c r="K39" s="285" t="n">
        <f aca="false">OperatingCurve!Z64</f>
        <v>0</v>
      </c>
      <c r="L39" s="285" t="n">
        <f aca="false">OperatingCurve!Y64</f>
        <v>0</v>
      </c>
      <c r="M39" s="285" t="n">
        <f aca="false">OperatingCurve!AA64</f>
        <v>0</v>
      </c>
      <c r="O39" s="285" t="n">
        <f aca="false">OperatingCurve!AE64</f>
        <v>0</v>
      </c>
      <c r="P39" s="285" t="n">
        <f aca="false">OperatingCurve!AD64</f>
        <v>0</v>
      </c>
      <c r="Q39" s="285" t="n">
        <f aca="false">OperatingCurve!AF64</f>
        <v>0</v>
      </c>
      <c r="S39" s="285" t="n">
        <f aca="false">OperatingCurve!AJ64</f>
        <v>0</v>
      </c>
      <c r="T39" s="285" t="n">
        <f aca="false">OperatingCurve!AI64</f>
        <v>0</v>
      </c>
      <c r="U39" s="285" t="n">
        <f aca="false">OperatingCurve!AK64</f>
        <v>0</v>
      </c>
      <c r="W39" s="285" t="n">
        <f aca="false">OperatingCurve!AO64</f>
        <v>0.2655</v>
      </c>
      <c r="X39" s="285" t="n">
        <f aca="false">OperatingCurve!AN64</f>
        <v>0.59</v>
      </c>
      <c r="Y39" s="285" t="n">
        <f aca="false">OperatingCurve!AP64</f>
        <v>0.7375</v>
      </c>
      <c r="AA39" s="285" t="n">
        <f aca="false">OperatingCurve!AR64</f>
        <v>0.236</v>
      </c>
      <c r="AB39" s="285" t="n">
        <f aca="false">OperatingCurve!AQ64</f>
        <v>0.59</v>
      </c>
      <c r="AC39" s="285" t="n">
        <f aca="false">OperatingCurve!AS64</f>
        <v>0.4425</v>
      </c>
      <c r="AE39" s="285" t="n">
        <f aca="false">OperatingCurve!AU64</f>
        <v>-2.079375</v>
      </c>
      <c r="AF39" s="285" t="n">
        <f aca="false">OperatingCurve!AT64</f>
        <v>33.27</v>
      </c>
      <c r="AG39" s="285" t="n">
        <f aca="false">OperatingCurve!AV64</f>
        <v>41.5875</v>
      </c>
      <c r="AI39" s="285" t="n">
        <f aca="false">OperatingCurve!AX64</f>
        <v>-0.5557125</v>
      </c>
      <c r="AJ39" s="285" t="n">
        <f aca="false">OperatingCurve!AW64</f>
        <v>8.8914</v>
      </c>
      <c r="AK39" s="285" t="n">
        <f aca="false">OperatingCurve!AY64</f>
        <v>11.11425</v>
      </c>
      <c r="AM39" s="286" t="n">
        <f aca="false">OperatingCurve!AL64</f>
        <v>11</v>
      </c>
      <c r="AN39" s="287" t="n">
        <f aca="false">OperatingCurve!AM64</f>
        <v>0.3</v>
      </c>
      <c r="AP39" s="287" t="n">
        <f aca="false">OperatingCurve!BC94</f>
        <v>-3</v>
      </c>
      <c r="AQ39" s="291" t="n">
        <f aca="false">OperatingCurve!BD94</f>
        <v>0.01</v>
      </c>
      <c r="AS39" s="287" t="n">
        <f aca="false">OperatingCurve!BF94</f>
        <v>10</v>
      </c>
      <c r="BE39" s="284" t="n">
        <f aca="false">OperatingCurve!V64</f>
        <v>37834</v>
      </c>
      <c r="BF39" s="289" t="n">
        <f aca="false">OperatingCurve!AZ64</f>
        <v>0</v>
      </c>
    </row>
    <row r="40" customFormat="false" ht="12.75" hidden="false" customHeight="false" outlineLevel="0" collapsed="false">
      <c r="A40" s="282" t="n">
        <f aca="false">OperatingCurve!D36</f>
        <v>36982</v>
      </c>
      <c r="B40" s="283" t="n">
        <f aca="false">OperatingCurve!H36</f>
        <v>200.241</v>
      </c>
      <c r="C40" s="283" t="n">
        <f aca="false">OperatingCurve!G36</f>
        <v>206.976</v>
      </c>
      <c r="D40" s="283" t="n">
        <f aca="false">OperatingCurve!I36</f>
        <v>241.2</v>
      </c>
      <c r="E40" s="278"/>
      <c r="F40" s="283" t="n">
        <f aca="false">OperatingCurve!M36</f>
        <v>0</v>
      </c>
      <c r="G40" s="283" t="n">
        <f aca="false">OperatingCurve!L36</f>
        <v>0</v>
      </c>
      <c r="H40" s="283" t="n">
        <f aca="false">OperatingCurve!N36</f>
        <v>0</v>
      </c>
      <c r="I40" s="273"/>
      <c r="J40" s="284" t="n">
        <f aca="false">OperatingCurve!V65</f>
        <v>37865</v>
      </c>
      <c r="K40" s="285" t="n">
        <f aca="false">OperatingCurve!Z65</f>
        <v>0</v>
      </c>
      <c r="L40" s="285" t="n">
        <f aca="false">OperatingCurve!Y65</f>
        <v>0</v>
      </c>
      <c r="M40" s="285" t="n">
        <f aca="false">OperatingCurve!AA65</f>
        <v>0</v>
      </c>
      <c r="O40" s="285" t="n">
        <f aca="false">OperatingCurve!AE65</f>
        <v>0</v>
      </c>
      <c r="P40" s="285" t="n">
        <f aca="false">OperatingCurve!AD65</f>
        <v>0</v>
      </c>
      <c r="Q40" s="285" t="n">
        <f aca="false">OperatingCurve!AF65</f>
        <v>0</v>
      </c>
      <c r="S40" s="285" t="n">
        <f aca="false">OperatingCurve!AJ65</f>
        <v>0</v>
      </c>
      <c r="T40" s="285" t="n">
        <f aca="false">OperatingCurve!AI65</f>
        <v>0</v>
      </c>
      <c r="U40" s="285" t="n">
        <f aca="false">OperatingCurve!AK65</f>
        <v>0</v>
      </c>
      <c r="W40" s="285" t="n">
        <f aca="false">OperatingCurve!AO65</f>
        <v>0.2655</v>
      </c>
      <c r="X40" s="285" t="n">
        <f aca="false">OperatingCurve!AN65</f>
        <v>0.59</v>
      </c>
      <c r="Y40" s="285" t="n">
        <f aca="false">OperatingCurve!AP65</f>
        <v>0.7375</v>
      </c>
      <c r="AA40" s="285" t="n">
        <f aca="false">OperatingCurve!AR65</f>
        <v>0.236</v>
      </c>
      <c r="AB40" s="285" t="n">
        <f aca="false">OperatingCurve!AQ65</f>
        <v>0.59</v>
      </c>
      <c r="AC40" s="285" t="n">
        <f aca="false">OperatingCurve!AS65</f>
        <v>0.4425</v>
      </c>
      <c r="AE40" s="285" t="n">
        <f aca="false">OperatingCurve!AU65</f>
        <v>-1.61018330798005</v>
      </c>
      <c r="AF40" s="285" t="n">
        <f aca="false">OperatingCurve!AT65</f>
        <v>25.7629329276808</v>
      </c>
      <c r="AG40" s="285" t="n">
        <f aca="false">OperatingCurve!AV65</f>
        <v>32.203666159601</v>
      </c>
      <c r="AI40" s="285" t="n">
        <f aca="false">OperatingCurve!AX65</f>
        <v>-0.58515</v>
      </c>
      <c r="AJ40" s="285" t="n">
        <f aca="false">OperatingCurve!AW65</f>
        <v>9.3624</v>
      </c>
      <c r="AK40" s="285" t="n">
        <f aca="false">OperatingCurve!AY65</f>
        <v>11.703</v>
      </c>
      <c r="AM40" s="286" t="n">
        <f aca="false">OperatingCurve!AL65</f>
        <v>11</v>
      </c>
      <c r="AN40" s="287" t="n">
        <f aca="false">OperatingCurve!AM65</f>
        <v>0.3</v>
      </c>
      <c r="AP40" s="287" t="n">
        <f aca="false">OperatingCurve!BC95</f>
        <v>-2.5</v>
      </c>
      <c r="AQ40" s="289" t="n">
        <f aca="false">OperatingCurve!BD95</f>
        <v>0.005</v>
      </c>
      <c r="AS40" s="287" t="n">
        <f aca="false">OperatingCurve!BF95</f>
        <v>0</v>
      </c>
      <c r="BE40" s="284" t="n">
        <f aca="false">OperatingCurve!V65</f>
        <v>37865</v>
      </c>
      <c r="BF40" s="289" t="n">
        <f aca="false">OperatingCurve!AZ65</f>
        <v>0</v>
      </c>
    </row>
    <row r="41" customFormat="false" ht="12.75" hidden="false" customHeight="false" outlineLevel="0" collapsed="false">
      <c r="A41" s="282" t="n">
        <f aca="false">OperatingCurve!D37</f>
        <v>37012</v>
      </c>
      <c r="B41" s="283" t="n">
        <f aca="false">OperatingCurve!H37</f>
        <v>175.104</v>
      </c>
      <c r="C41" s="283" t="n">
        <f aca="false">OperatingCurve!G37</f>
        <v>181.649</v>
      </c>
      <c r="D41" s="283" t="n">
        <f aca="false">OperatingCurve!I37</f>
        <v>215.124</v>
      </c>
      <c r="E41" s="278"/>
      <c r="F41" s="283" t="n">
        <f aca="false">OperatingCurve!M37</f>
        <v>0</v>
      </c>
      <c r="G41" s="283" t="n">
        <f aca="false">OperatingCurve!L37</f>
        <v>0</v>
      </c>
      <c r="H41" s="283" t="n">
        <f aca="false">OperatingCurve!N37</f>
        <v>0</v>
      </c>
      <c r="I41" s="273"/>
      <c r="J41" s="284" t="n">
        <f aca="false">OperatingCurve!V66</f>
        <v>37895</v>
      </c>
      <c r="K41" s="285" t="n">
        <f aca="false">OperatingCurve!Z66</f>
        <v>0</v>
      </c>
      <c r="L41" s="285" t="n">
        <f aca="false">OperatingCurve!Y66</f>
        <v>0</v>
      </c>
      <c r="M41" s="285" t="n">
        <f aca="false">OperatingCurve!AA66</f>
        <v>0</v>
      </c>
      <c r="O41" s="285" t="n">
        <f aca="false">OperatingCurve!AE66</f>
        <v>0</v>
      </c>
      <c r="P41" s="285" t="n">
        <f aca="false">OperatingCurve!AD66</f>
        <v>0</v>
      </c>
      <c r="Q41" s="285" t="n">
        <f aca="false">OperatingCurve!AF66</f>
        <v>0</v>
      </c>
      <c r="S41" s="285" t="n">
        <f aca="false">OperatingCurve!AJ66</f>
        <v>0</v>
      </c>
      <c r="T41" s="285" t="n">
        <f aca="false">OperatingCurve!AI66</f>
        <v>0</v>
      </c>
      <c r="U41" s="285" t="n">
        <f aca="false">OperatingCurve!AK66</f>
        <v>0</v>
      </c>
      <c r="W41" s="285" t="n">
        <f aca="false">OperatingCurve!AO66</f>
        <v>0.2655</v>
      </c>
      <c r="X41" s="285" t="n">
        <f aca="false">OperatingCurve!AN66</f>
        <v>0.59</v>
      </c>
      <c r="Y41" s="285" t="n">
        <f aca="false">OperatingCurve!AP66</f>
        <v>0.7375</v>
      </c>
      <c r="AA41" s="285" t="n">
        <f aca="false">OperatingCurve!AR66</f>
        <v>0.236</v>
      </c>
      <c r="AB41" s="285" t="n">
        <f aca="false">OperatingCurve!AQ66</f>
        <v>0.59</v>
      </c>
      <c r="AC41" s="285" t="n">
        <f aca="false">OperatingCurve!AS66</f>
        <v>0.4425</v>
      </c>
      <c r="AE41" s="285" t="n">
        <f aca="false">OperatingCurve!AU66</f>
        <v>-0.933975788546176</v>
      </c>
      <c r="AF41" s="285" t="n">
        <f aca="false">OperatingCurve!AT66</f>
        <v>14.9436126167388</v>
      </c>
      <c r="AG41" s="285" t="n">
        <f aca="false">OperatingCurve!AV66</f>
        <v>18.6795157709235</v>
      </c>
      <c r="AI41" s="285" t="n">
        <f aca="false">OperatingCurve!AX66</f>
        <v>-0.573375</v>
      </c>
      <c r="AJ41" s="285" t="n">
        <f aca="false">OperatingCurve!AW66</f>
        <v>9.174</v>
      </c>
      <c r="AK41" s="285" t="n">
        <f aca="false">OperatingCurve!AY66</f>
        <v>11.4675</v>
      </c>
      <c r="AM41" s="286" t="n">
        <f aca="false">OperatingCurve!AL66</f>
        <v>12</v>
      </c>
      <c r="AN41" s="287" t="n">
        <f aca="false">OperatingCurve!AM66</f>
        <v>0.3</v>
      </c>
      <c r="AP41" s="287" t="n">
        <f aca="false">OperatingCurve!BC96</f>
        <v>-2</v>
      </c>
      <c r="AQ41" s="289" t="n">
        <f aca="false">OperatingCurve!BD96</f>
        <v>0.0025</v>
      </c>
      <c r="AS41" s="287" t="n">
        <f aca="false">OperatingCurve!BF96</f>
        <v>0</v>
      </c>
      <c r="BE41" s="284" t="n">
        <f aca="false">OperatingCurve!V66</f>
        <v>37895</v>
      </c>
      <c r="BF41" s="289" t="n">
        <f aca="false">OperatingCurve!AZ66</f>
        <v>0</v>
      </c>
    </row>
    <row r="42" customFormat="false" ht="12.75" hidden="false" customHeight="false" outlineLevel="0" collapsed="false">
      <c r="A42" s="282" t="n">
        <f aca="false">OperatingCurve!D38</f>
        <v>37043</v>
      </c>
      <c r="B42" s="283" t="n">
        <f aca="false">OperatingCurve!H38</f>
        <v>200.241</v>
      </c>
      <c r="C42" s="283" t="n">
        <f aca="false">OperatingCurve!G38</f>
        <v>206.976</v>
      </c>
      <c r="D42" s="283" t="n">
        <f aca="false">OperatingCurve!I38</f>
        <v>241.2</v>
      </c>
      <c r="E42" s="278"/>
      <c r="F42" s="283" t="n">
        <f aca="false">OperatingCurve!M38</f>
        <v>0</v>
      </c>
      <c r="G42" s="283" t="n">
        <f aca="false">OperatingCurve!L38</f>
        <v>0</v>
      </c>
      <c r="H42" s="283" t="n">
        <f aca="false">OperatingCurve!N38</f>
        <v>0</v>
      </c>
      <c r="I42" s="273"/>
      <c r="J42" s="284" t="n">
        <f aca="false">OperatingCurve!V67</f>
        <v>37926</v>
      </c>
      <c r="K42" s="285" t="n">
        <f aca="false">OperatingCurve!Z67</f>
        <v>0</v>
      </c>
      <c r="L42" s="285" t="n">
        <f aca="false">OperatingCurve!Y67</f>
        <v>0</v>
      </c>
      <c r="M42" s="285" t="n">
        <f aca="false">OperatingCurve!AA67</f>
        <v>0</v>
      </c>
      <c r="O42" s="285" t="n">
        <f aca="false">OperatingCurve!AE67</f>
        <v>0</v>
      </c>
      <c r="P42" s="285" t="n">
        <f aca="false">OperatingCurve!AD67</f>
        <v>0</v>
      </c>
      <c r="Q42" s="285" t="n">
        <f aca="false">OperatingCurve!AF67</f>
        <v>0</v>
      </c>
      <c r="S42" s="285" t="n">
        <f aca="false">OperatingCurve!AJ67</f>
        <v>0</v>
      </c>
      <c r="T42" s="285" t="n">
        <f aca="false">OperatingCurve!AI67</f>
        <v>0</v>
      </c>
      <c r="U42" s="285" t="n">
        <f aca="false">OperatingCurve!AK67</f>
        <v>0</v>
      </c>
      <c r="W42" s="285" t="n">
        <f aca="false">OperatingCurve!AO67</f>
        <v>0.2655</v>
      </c>
      <c r="X42" s="285" t="n">
        <f aca="false">OperatingCurve!AN67</f>
        <v>0.59</v>
      </c>
      <c r="Y42" s="285" t="n">
        <f aca="false">OperatingCurve!AP67</f>
        <v>0.7375</v>
      </c>
      <c r="AA42" s="285" t="n">
        <f aca="false">OperatingCurve!AR67</f>
        <v>0.236</v>
      </c>
      <c r="AB42" s="285" t="n">
        <f aca="false">OperatingCurve!AQ67</f>
        <v>0.59</v>
      </c>
      <c r="AC42" s="285" t="n">
        <f aca="false">OperatingCurve!AS67</f>
        <v>0.4425</v>
      </c>
      <c r="AE42" s="285" t="n">
        <f aca="false">OperatingCurve!AU67</f>
        <v>-1.07311053290668</v>
      </c>
      <c r="AF42" s="285" t="n">
        <f aca="false">OperatingCurve!AT67</f>
        <v>17.1697685265069</v>
      </c>
      <c r="AG42" s="285" t="n">
        <f aca="false">OperatingCurve!AV67</f>
        <v>21.4622106581337</v>
      </c>
      <c r="AI42" s="285" t="n">
        <f aca="false">OperatingCurve!AX67</f>
        <v>-0.5910375</v>
      </c>
      <c r="AJ42" s="285" t="n">
        <f aca="false">OperatingCurve!AW67</f>
        <v>9.4566</v>
      </c>
      <c r="AK42" s="285" t="n">
        <f aca="false">OperatingCurve!AY67</f>
        <v>11.82075</v>
      </c>
      <c r="AM42" s="286" t="n">
        <f aca="false">OperatingCurve!AL67</f>
        <v>12</v>
      </c>
      <c r="AN42" s="287" t="n">
        <f aca="false">OperatingCurve!AM67</f>
        <v>0.3</v>
      </c>
      <c r="AP42" s="287" t="n">
        <f aca="false">OperatingCurve!BC97</f>
        <v>-1.5</v>
      </c>
      <c r="AQ42" s="289" t="n">
        <f aca="false">OperatingCurve!BD97</f>
        <v>0</v>
      </c>
      <c r="AS42" s="287" t="n">
        <f aca="false">OperatingCurve!BF97</f>
        <v>0</v>
      </c>
      <c r="BE42" s="284" t="n">
        <f aca="false">OperatingCurve!V67</f>
        <v>37926</v>
      </c>
      <c r="BF42" s="289" t="n">
        <f aca="false">OperatingCurve!AZ67</f>
        <v>0</v>
      </c>
    </row>
    <row r="43" customFormat="false" ht="12.75" hidden="false" customHeight="false" outlineLevel="0" collapsed="false">
      <c r="A43" s="282" t="n">
        <f aca="false">OperatingCurve!D39</f>
        <v>37073</v>
      </c>
      <c r="B43" s="283" t="n">
        <f aca="false">OperatingCurve!H39</f>
        <v>226.1</v>
      </c>
      <c r="C43" s="283" t="n">
        <f aca="false">OperatingCurve!G39</f>
        <v>233.025</v>
      </c>
      <c r="D43" s="283" t="n">
        <f aca="false">OperatingCurve!I39</f>
        <v>264</v>
      </c>
      <c r="E43" s="278"/>
      <c r="F43" s="283" t="n">
        <f aca="false">OperatingCurve!M39</f>
        <v>0</v>
      </c>
      <c r="G43" s="283" t="n">
        <f aca="false">OperatingCurve!L39</f>
        <v>0</v>
      </c>
      <c r="H43" s="283" t="n">
        <f aca="false">OperatingCurve!N39</f>
        <v>0</v>
      </c>
      <c r="I43" s="273"/>
      <c r="J43" s="284" t="n">
        <f aca="false">OperatingCurve!V68</f>
        <v>37956</v>
      </c>
      <c r="K43" s="285" t="n">
        <f aca="false">OperatingCurve!Z68</f>
        <v>0</v>
      </c>
      <c r="L43" s="285" t="n">
        <f aca="false">OperatingCurve!Y68</f>
        <v>0</v>
      </c>
      <c r="M43" s="285" t="n">
        <f aca="false">OperatingCurve!AA68</f>
        <v>0</v>
      </c>
      <c r="O43" s="285" t="n">
        <f aca="false">OperatingCurve!AE68</f>
        <v>0</v>
      </c>
      <c r="P43" s="285" t="n">
        <f aca="false">OperatingCurve!AD68</f>
        <v>0</v>
      </c>
      <c r="Q43" s="285" t="n">
        <f aca="false">OperatingCurve!AF68</f>
        <v>0</v>
      </c>
      <c r="S43" s="285" t="n">
        <f aca="false">OperatingCurve!AJ68</f>
        <v>0</v>
      </c>
      <c r="T43" s="285" t="n">
        <f aca="false">OperatingCurve!AI68</f>
        <v>0</v>
      </c>
      <c r="U43" s="285" t="n">
        <f aca="false">OperatingCurve!AK68</f>
        <v>0</v>
      </c>
      <c r="W43" s="285" t="n">
        <f aca="false">OperatingCurve!AO68</f>
        <v>0.26775</v>
      </c>
      <c r="X43" s="285" t="n">
        <f aca="false">OperatingCurve!AN68</f>
        <v>0.595</v>
      </c>
      <c r="Y43" s="285" t="n">
        <f aca="false">OperatingCurve!AP68</f>
        <v>0.74375</v>
      </c>
      <c r="AA43" s="285" t="n">
        <f aca="false">OperatingCurve!AR68</f>
        <v>0.238</v>
      </c>
      <c r="AB43" s="285" t="n">
        <f aca="false">OperatingCurve!AQ68</f>
        <v>0.595</v>
      </c>
      <c r="AC43" s="285" t="n">
        <f aca="false">OperatingCurve!AS68</f>
        <v>0.44625</v>
      </c>
      <c r="AE43" s="285" t="n">
        <f aca="false">OperatingCurve!AU68</f>
        <v>-1.72480085307515</v>
      </c>
      <c r="AF43" s="285" t="n">
        <f aca="false">OperatingCurve!AT68</f>
        <v>27.5968136492024</v>
      </c>
      <c r="AG43" s="285" t="n">
        <f aca="false">OperatingCurve!AV68</f>
        <v>34.496017061503</v>
      </c>
      <c r="AI43" s="285" t="n">
        <f aca="false">OperatingCurve!AX68</f>
        <v>-0.596925</v>
      </c>
      <c r="AJ43" s="285" t="n">
        <f aca="false">OperatingCurve!AW68</f>
        <v>9.5508</v>
      </c>
      <c r="AK43" s="285" t="n">
        <f aca="false">OperatingCurve!AY68</f>
        <v>11.9385</v>
      </c>
      <c r="AM43" s="286" t="n">
        <f aca="false">OperatingCurve!AL68</f>
        <v>12</v>
      </c>
      <c r="AN43" s="287" t="n">
        <f aca="false">OperatingCurve!AM68</f>
        <v>0.3</v>
      </c>
      <c r="AP43" s="287" t="n">
        <f aca="false">OperatingCurve!BC98</f>
        <v>-1</v>
      </c>
      <c r="AQ43" s="289" t="n">
        <f aca="false">OperatingCurve!BD98</f>
        <v>0</v>
      </c>
      <c r="AS43" s="287" t="n">
        <f aca="false">OperatingCurve!BF98</f>
        <v>0</v>
      </c>
      <c r="BE43" s="284" t="n">
        <f aca="false">OperatingCurve!V68</f>
        <v>37956</v>
      </c>
      <c r="BF43" s="289" t="n">
        <f aca="false">OperatingCurve!AZ68</f>
        <v>0</v>
      </c>
    </row>
    <row r="44" customFormat="false" ht="12.75" hidden="false" customHeight="false" outlineLevel="0" collapsed="false">
      <c r="A44" s="282" t="n">
        <f aca="false">OperatingCurve!D40</f>
        <v>37104</v>
      </c>
      <c r="B44" s="283" t="n">
        <f aca="false">OperatingCurve!H40</f>
        <v>273.6</v>
      </c>
      <c r="C44" s="283" t="n">
        <f aca="false">OperatingCurve!G40</f>
        <v>279.6</v>
      </c>
      <c r="D44" s="283" t="n">
        <f aca="false">OperatingCurve!I40</f>
        <v>309.6</v>
      </c>
      <c r="E44" s="278"/>
      <c r="F44" s="283" t="n">
        <f aca="false">OperatingCurve!M40</f>
        <v>0</v>
      </c>
      <c r="G44" s="283" t="n">
        <f aca="false">OperatingCurve!L40</f>
        <v>0</v>
      </c>
      <c r="H44" s="283" t="n">
        <f aca="false">OperatingCurve!N40</f>
        <v>0</v>
      </c>
      <c r="I44" s="273"/>
      <c r="J44" s="284" t="n">
        <f aca="false">OperatingCurve!V69</f>
        <v>37987</v>
      </c>
      <c r="K44" s="285" t="n">
        <f aca="false">OperatingCurve!Z69</f>
        <v>0</v>
      </c>
      <c r="L44" s="285" t="n">
        <f aca="false">OperatingCurve!Y69</f>
        <v>0</v>
      </c>
      <c r="M44" s="285" t="n">
        <f aca="false">OperatingCurve!AA69</f>
        <v>0</v>
      </c>
      <c r="O44" s="285" t="n">
        <f aca="false">OperatingCurve!AE69</f>
        <v>0</v>
      </c>
      <c r="P44" s="285" t="n">
        <f aca="false">OperatingCurve!AD69</f>
        <v>0</v>
      </c>
      <c r="Q44" s="285" t="n">
        <f aca="false">OperatingCurve!AF69</f>
        <v>0</v>
      </c>
      <c r="S44" s="285" t="n">
        <f aca="false">OperatingCurve!AJ69</f>
        <v>0</v>
      </c>
      <c r="T44" s="285" t="n">
        <f aca="false">OperatingCurve!AI69</f>
        <v>0</v>
      </c>
      <c r="U44" s="285" t="n">
        <f aca="false">OperatingCurve!AK69</f>
        <v>0</v>
      </c>
      <c r="W44" s="285" t="n">
        <f aca="false">OperatingCurve!AO69</f>
        <v>0.26775</v>
      </c>
      <c r="X44" s="285" t="n">
        <f aca="false">OperatingCurve!AN69</f>
        <v>0.595</v>
      </c>
      <c r="Y44" s="285" t="n">
        <f aca="false">OperatingCurve!AP69</f>
        <v>0.74375</v>
      </c>
      <c r="AA44" s="285" t="n">
        <f aca="false">OperatingCurve!AR69</f>
        <v>0.238</v>
      </c>
      <c r="AB44" s="285" t="n">
        <f aca="false">OperatingCurve!AQ69</f>
        <v>0.595</v>
      </c>
      <c r="AC44" s="285" t="n">
        <f aca="false">OperatingCurve!AS69</f>
        <v>0.44625</v>
      </c>
      <c r="AE44" s="285" t="n">
        <f aca="false">OperatingCurve!AU69</f>
        <v>-1.19022849049465</v>
      </c>
      <c r="AF44" s="285" t="n">
        <f aca="false">OperatingCurve!AT69</f>
        <v>19.0436558479145</v>
      </c>
      <c r="AG44" s="285" t="n">
        <f aca="false">OperatingCurve!AV69</f>
        <v>23.8045698098931</v>
      </c>
      <c r="AI44" s="285" t="n">
        <f aca="false">OperatingCurve!AX69</f>
        <v>-0.6028125</v>
      </c>
      <c r="AJ44" s="285" t="n">
        <f aca="false">OperatingCurve!AW69</f>
        <v>9.645</v>
      </c>
      <c r="AK44" s="285" t="n">
        <f aca="false">OperatingCurve!AY69</f>
        <v>12.05625</v>
      </c>
      <c r="AM44" s="286" t="n">
        <f aca="false">OperatingCurve!AL69</f>
        <v>13</v>
      </c>
      <c r="AN44" s="287" t="n">
        <f aca="false">OperatingCurve!AM69</f>
        <v>0.3</v>
      </c>
      <c r="AP44" s="287" t="n">
        <f aca="false">OperatingCurve!BC99</f>
        <v>-0.5</v>
      </c>
      <c r="AQ44" s="289" t="n">
        <f aca="false">OperatingCurve!BD99</f>
        <v>0</v>
      </c>
      <c r="AS44" s="287" t="n">
        <f aca="false">OperatingCurve!BF99</f>
        <v>0</v>
      </c>
      <c r="BE44" s="284" t="n">
        <f aca="false">OperatingCurve!V69</f>
        <v>37987</v>
      </c>
      <c r="BF44" s="289" t="n">
        <f aca="false">OperatingCurve!AZ69</f>
        <v>0</v>
      </c>
    </row>
    <row r="45" customFormat="false" ht="12.75" hidden="false" customHeight="false" outlineLevel="0" collapsed="false">
      <c r="A45" s="282" t="n">
        <f aca="false">OperatingCurve!D41</f>
        <v>37135</v>
      </c>
      <c r="B45" s="283" t="n">
        <f aca="false">OperatingCurve!H41</f>
        <v>217.856</v>
      </c>
      <c r="C45" s="283" t="n">
        <f aca="false">OperatingCurve!G41</f>
        <v>224.721</v>
      </c>
      <c r="D45" s="283" t="n">
        <f aca="false">OperatingCurve!I41</f>
        <v>256.8</v>
      </c>
      <c r="E45" s="278"/>
      <c r="F45" s="283" t="n">
        <f aca="false">OperatingCurve!M41</f>
        <v>0</v>
      </c>
      <c r="G45" s="283" t="n">
        <f aca="false">OperatingCurve!L41</f>
        <v>0</v>
      </c>
      <c r="H45" s="283" t="n">
        <f aca="false">OperatingCurve!N41</f>
        <v>0</v>
      </c>
      <c r="I45" s="273"/>
      <c r="J45" s="284" t="n">
        <f aca="false">OperatingCurve!V70</f>
        <v>38018</v>
      </c>
      <c r="K45" s="285" t="n">
        <f aca="false">OperatingCurve!Z70</f>
        <v>0</v>
      </c>
      <c r="L45" s="285" t="n">
        <f aca="false">OperatingCurve!Y70</f>
        <v>0</v>
      </c>
      <c r="M45" s="285" t="n">
        <f aca="false">OperatingCurve!AA70</f>
        <v>0</v>
      </c>
      <c r="O45" s="285" t="n">
        <f aca="false">OperatingCurve!AE70</f>
        <v>0</v>
      </c>
      <c r="P45" s="285" t="n">
        <f aca="false">OperatingCurve!AD70</f>
        <v>0</v>
      </c>
      <c r="Q45" s="285" t="n">
        <f aca="false">OperatingCurve!AF70</f>
        <v>0</v>
      </c>
      <c r="S45" s="285" t="n">
        <f aca="false">OperatingCurve!AJ70</f>
        <v>0</v>
      </c>
      <c r="T45" s="285" t="n">
        <f aca="false">OperatingCurve!AI70</f>
        <v>0</v>
      </c>
      <c r="U45" s="285" t="n">
        <f aca="false">OperatingCurve!AK70</f>
        <v>0</v>
      </c>
      <c r="W45" s="285" t="n">
        <f aca="false">OperatingCurve!AO70</f>
        <v>0.2655</v>
      </c>
      <c r="X45" s="285" t="n">
        <f aca="false">OperatingCurve!AN70</f>
        <v>0.59</v>
      </c>
      <c r="Y45" s="285" t="n">
        <f aca="false">OperatingCurve!AP70</f>
        <v>0.7375</v>
      </c>
      <c r="AA45" s="285" t="n">
        <f aca="false">OperatingCurve!AR70</f>
        <v>0.236</v>
      </c>
      <c r="AB45" s="285" t="n">
        <f aca="false">OperatingCurve!AQ70</f>
        <v>0.59</v>
      </c>
      <c r="AC45" s="285" t="n">
        <f aca="false">OperatingCurve!AS70</f>
        <v>0.4425</v>
      </c>
      <c r="AE45" s="285" t="n">
        <f aca="false">OperatingCurve!AU70</f>
        <v>-1.00325605997463</v>
      </c>
      <c r="AF45" s="285" t="n">
        <f aca="false">OperatingCurve!AT70</f>
        <v>16.052096959594</v>
      </c>
      <c r="AG45" s="285" t="n">
        <f aca="false">OperatingCurve!AV70</f>
        <v>20.0651211994925</v>
      </c>
      <c r="AI45" s="285" t="n">
        <f aca="false">OperatingCurve!AX70</f>
        <v>-0.6145875</v>
      </c>
      <c r="AJ45" s="285" t="n">
        <f aca="false">OperatingCurve!AW70</f>
        <v>9.8334</v>
      </c>
      <c r="AK45" s="285" t="n">
        <f aca="false">OperatingCurve!AY70</f>
        <v>12.29175</v>
      </c>
      <c r="AM45" s="286" t="n">
        <f aca="false">OperatingCurve!AL70</f>
        <v>13</v>
      </c>
      <c r="AN45" s="287" t="n">
        <f aca="false">OperatingCurve!AM70</f>
        <v>0.3</v>
      </c>
      <c r="AP45" s="287" t="n">
        <f aca="false">OperatingCurve!BC100</f>
        <v>0</v>
      </c>
      <c r="AQ45" s="289" t="n">
        <f aca="false">OperatingCurve!BD100</f>
        <v>0</v>
      </c>
      <c r="AS45" s="287" t="n">
        <f aca="false">OperatingCurve!BF100</f>
        <v>0</v>
      </c>
      <c r="BE45" s="284" t="n">
        <f aca="false">OperatingCurve!V70</f>
        <v>38018</v>
      </c>
      <c r="BF45" s="289" t="n">
        <f aca="false">OperatingCurve!AZ70</f>
        <v>0</v>
      </c>
    </row>
    <row r="46" customFormat="false" ht="12.75" hidden="false" customHeight="false" outlineLevel="0" collapsed="false">
      <c r="A46" s="282" t="n">
        <f aca="false">OperatingCurve!D42</f>
        <v>37165</v>
      </c>
      <c r="B46" s="283" t="n">
        <f aca="false">OperatingCurve!H42</f>
        <v>188.244</v>
      </c>
      <c r="C46" s="283" t="n">
        <f aca="false">OperatingCurve!G42</f>
        <v>194.889</v>
      </c>
      <c r="D46" s="283" t="n">
        <f aca="false">OperatingCurve!I42</f>
        <v>228.864</v>
      </c>
      <c r="E46" s="278"/>
      <c r="F46" s="283" t="n">
        <f aca="false">OperatingCurve!M42</f>
        <v>0</v>
      </c>
      <c r="G46" s="283" t="n">
        <f aca="false">OperatingCurve!L42</f>
        <v>0</v>
      </c>
      <c r="H46" s="283" t="n">
        <f aca="false">OperatingCurve!N42</f>
        <v>0</v>
      </c>
      <c r="I46" s="273"/>
      <c r="J46" s="284" t="n">
        <f aca="false">OperatingCurve!V71</f>
        <v>38047</v>
      </c>
      <c r="K46" s="285" t="n">
        <f aca="false">OperatingCurve!Z71</f>
        <v>0</v>
      </c>
      <c r="L46" s="285" t="n">
        <f aca="false">OperatingCurve!Y71</f>
        <v>0</v>
      </c>
      <c r="M46" s="285" t="n">
        <f aca="false">OperatingCurve!AA71</f>
        <v>0</v>
      </c>
      <c r="O46" s="285" t="n">
        <f aca="false">OperatingCurve!AE71</f>
        <v>0</v>
      </c>
      <c r="P46" s="285" t="n">
        <f aca="false">OperatingCurve!AD71</f>
        <v>0</v>
      </c>
      <c r="Q46" s="285" t="n">
        <f aca="false">OperatingCurve!AF71</f>
        <v>0</v>
      </c>
      <c r="S46" s="285" t="n">
        <f aca="false">OperatingCurve!AJ71</f>
        <v>0</v>
      </c>
      <c r="T46" s="285" t="n">
        <f aca="false">OperatingCurve!AI71</f>
        <v>0</v>
      </c>
      <c r="U46" s="285" t="n">
        <f aca="false">OperatingCurve!AK71</f>
        <v>0</v>
      </c>
      <c r="W46" s="285" t="n">
        <f aca="false">OperatingCurve!AO71</f>
        <v>0.26325</v>
      </c>
      <c r="X46" s="285" t="n">
        <f aca="false">OperatingCurve!AN71</f>
        <v>0.585</v>
      </c>
      <c r="Y46" s="285" t="n">
        <f aca="false">OperatingCurve!AP71</f>
        <v>0.73125</v>
      </c>
      <c r="AA46" s="285" t="n">
        <f aca="false">OperatingCurve!AR71</f>
        <v>0.234</v>
      </c>
      <c r="AB46" s="285" t="n">
        <f aca="false">OperatingCurve!AQ71</f>
        <v>0.585</v>
      </c>
      <c r="AC46" s="285" t="n">
        <f aca="false">OperatingCurve!AS71</f>
        <v>0.43875</v>
      </c>
      <c r="AE46" s="285" t="n">
        <f aca="false">OperatingCurve!AU71</f>
        <v>-0.77624108129645</v>
      </c>
      <c r="AF46" s="285" t="n">
        <f aca="false">OperatingCurve!AT71</f>
        <v>12.4198573007432</v>
      </c>
      <c r="AG46" s="285" t="n">
        <f aca="false">OperatingCurve!AV71</f>
        <v>15.524821625929</v>
      </c>
      <c r="AI46" s="285" t="n">
        <f aca="false">OperatingCurve!AX71</f>
        <v>-0.620475</v>
      </c>
      <c r="AJ46" s="285" t="n">
        <f aca="false">OperatingCurve!AW71</f>
        <v>9.9276</v>
      </c>
      <c r="AK46" s="285" t="n">
        <f aca="false">OperatingCurve!AY71</f>
        <v>12.4095</v>
      </c>
      <c r="AM46" s="286" t="n">
        <f aca="false">OperatingCurve!AL71</f>
        <v>13</v>
      </c>
      <c r="AN46" s="287" t="n">
        <f aca="false">OperatingCurve!AM71</f>
        <v>0.3</v>
      </c>
      <c r="AP46" s="287" t="n">
        <f aca="false">OperatingCurve!BC101</f>
        <v>1</v>
      </c>
      <c r="AQ46" s="289" t="n">
        <f aca="false">OperatingCurve!BD101</f>
        <v>0</v>
      </c>
      <c r="AS46" s="287" t="n">
        <f aca="false">OperatingCurve!BF101</f>
        <v>0</v>
      </c>
      <c r="BE46" s="284" t="n">
        <f aca="false">OperatingCurve!V71</f>
        <v>38047</v>
      </c>
      <c r="BF46" s="289" t="n">
        <f aca="false">OperatingCurve!AZ71</f>
        <v>0</v>
      </c>
    </row>
    <row r="47" customFormat="false" ht="12.75" hidden="false" customHeight="false" outlineLevel="0" collapsed="false">
      <c r="A47" s="282" t="n">
        <f aca="false">OperatingCurve!D43</f>
        <v>37196</v>
      </c>
      <c r="B47" s="283" t="n">
        <f aca="false">OperatingCurve!H43</f>
        <v>150.689</v>
      </c>
      <c r="C47" s="283" t="n">
        <f aca="false">OperatingCurve!G43</f>
        <v>157.044</v>
      </c>
      <c r="D47" s="283" t="n">
        <f aca="false">OperatingCurve!I43</f>
        <v>189.569</v>
      </c>
      <c r="E47" s="278"/>
      <c r="F47" s="283" t="n">
        <f aca="false">OperatingCurve!M43</f>
        <v>0</v>
      </c>
      <c r="G47" s="283" t="n">
        <f aca="false">OperatingCurve!L43</f>
        <v>0</v>
      </c>
      <c r="H47" s="283" t="n">
        <f aca="false">OperatingCurve!N43</f>
        <v>0</v>
      </c>
      <c r="I47" s="273"/>
      <c r="J47" s="284" t="n">
        <f aca="false">OperatingCurve!V72</f>
        <v>38078</v>
      </c>
      <c r="K47" s="285" t="n">
        <f aca="false">OperatingCurve!Z72</f>
        <v>0</v>
      </c>
      <c r="L47" s="285" t="n">
        <f aca="false">OperatingCurve!Y72</f>
        <v>0</v>
      </c>
      <c r="M47" s="285" t="n">
        <f aca="false">OperatingCurve!AA72</f>
        <v>0</v>
      </c>
      <c r="O47" s="285" t="n">
        <f aca="false">OperatingCurve!AE72</f>
        <v>0</v>
      </c>
      <c r="P47" s="285" t="n">
        <f aca="false">OperatingCurve!AD72</f>
        <v>0</v>
      </c>
      <c r="Q47" s="285" t="n">
        <f aca="false">OperatingCurve!AF72</f>
        <v>0</v>
      </c>
      <c r="S47" s="285" t="n">
        <f aca="false">OperatingCurve!AJ72</f>
        <v>0</v>
      </c>
      <c r="T47" s="285" t="n">
        <f aca="false">OperatingCurve!AI72</f>
        <v>0</v>
      </c>
      <c r="U47" s="285" t="n">
        <f aca="false">OperatingCurve!AK72</f>
        <v>0</v>
      </c>
      <c r="W47" s="285" t="n">
        <f aca="false">OperatingCurve!AO72</f>
        <v>0.25425</v>
      </c>
      <c r="X47" s="285" t="n">
        <f aca="false">OperatingCurve!AN72</f>
        <v>0.565</v>
      </c>
      <c r="Y47" s="285" t="n">
        <f aca="false">OperatingCurve!AP72</f>
        <v>0.70625</v>
      </c>
      <c r="AA47" s="285" t="n">
        <f aca="false">OperatingCurve!AR72</f>
        <v>0.226</v>
      </c>
      <c r="AB47" s="285" t="n">
        <f aca="false">OperatingCurve!AQ72</f>
        <v>0.565</v>
      </c>
      <c r="AC47" s="285" t="n">
        <f aca="false">OperatingCurve!AS72</f>
        <v>0.42375</v>
      </c>
      <c r="AE47" s="285" t="n">
        <f aca="false">OperatingCurve!AU72</f>
        <v>-0.43048858158097</v>
      </c>
      <c r="AF47" s="285" t="n">
        <f aca="false">OperatingCurve!AT72</f>
        <v>6.88781730529552</v>
      </c>
      <c r="AG47" s="285" t="n">
        <f aca="false">OperatingCurve!AV72</f>
        <v>8.60977163161941</v>
      </c>
      <c r="AI47" s="285" t="n">
        <f aca="false">OperatingCurve!AX72</f>
        <v>-0.63225</v>
      </c>
      <c r="AJ47" s="285" t="n">
        <f aca="false">OperatingCurve!AW72</f>
        <v>10.116</v>
      </c>
      <c r="AK47" s="285" t="n">
        <f aca="false">OperatingCurve!AY72</f>
        <v>12.645</v>
      </c>
      <c r="AM47" s="286" t="n">
        <f aca="false">OperatingCurve!AL72</f>
        <v>14</v>
      </c>
      <c r="AN47" s="287" t="n">
        <f aca="false">OperatingCurve!AM72</f>
        <v>0.3</v>
      </c>
      <c r="AP47" s="287" t="n">
        <f aca="false">OperatingCurve!BC102</f>
        <v>2</v>
      </c>
      <c r="AQ47" s="289" t="n">
        <f aca="false">OperatingCurve!BD102</f>
        <v>0</v>
      </c>
      <c r="AS47" s="287" t="n">
        <f aca="false">OperatingCurve!BF102</f>
        <v>0</v>
      </c>
      <c r="BE47" s="284" t="n">
        <f aca="false">OperatingCurve!V72</f>
        <v>38078</v>
      </c>
      <c r="BF47" s="289" t="n">
        <f aca="false">OperatingCurve!AZ72</f>
        <v>0</v>
      </c>
    </row>
    <row r="48" customFormat="false" ht="12.75" hidden="false" customHeight="false" outlineLevel="0" collapsed="false">
      <c r="A48" s="282" t="n">
        <f aca="false">OperatingCurve!D44</f>
        <v>37226</v>
      </c>
      <c r="B48" s="283" t="n">
        <f aca="false">OperatingCurve!H44</f>
        <v>172.5</v>
      </c>
      <c r="C48" s="283" t="n">
        <f aca="false">OperatingCurve!G44</f>
        <v>179.025</v>
      </c>
      <c r="D48" s="283" t="n">
        <f aca="false">OperatingCurve!I44</f>
        <v>212.4</v>
      </c>
      <c r="E48" s="278"/>
      <c r="F48" s="283" t="n">
        <f aca="false">OperatingCurve!M44</f>
        <v>0</v>
      </c>
      <c r="G48" s="283" t="n">
        <f aca="false">OperatingCurve!L44</f>
        <v>0</v>
      </c>
      <c r="H48" s="283" t="n">
        <f aca="false">OperatingCurve!N44</f>
        <v>0</v>
      </c>
      <c r="I48" s="273"/>
      <c r="J48" s="284" t="n">
        <f aca="false">OperatingCurve!V73</f>
        <v>38108</v>
      </c>
      <c r="K48" s="285" t="n">
        <f aca="false">OperatingCurve!Z73</f>
        <v>0</v>
      </c>
      <c r="L48" s="285" t="n">
        <f aca="false">OperatingCurve!Y73</f>
        <v>0</v>
      </c>
      <c r="M48" s="285" t="n">
        <f aca="false">OperatingCurve!AA73</f>
        <v>0</v>
      </c>
      <c r="O48" s="285" t="n">
        <f aca="false">OperatingCurve!AE73</f>
        <v>0</v>
      </c>
      <c r="P48" s="285" t="n">
        <f aca="false">OperatingCurve!AD73</f>
        <v>0</v>
      </c>
      <c r="Q48" s="285" t="n">
        <f aca="false">OperatingCurve!AF73</f>
        <v>0</v>
      </c>
      <c r="S48" s="285" t="n">
        <f aca="false">OperatingCurve!AJ73</f>
        <v>0</v>
      </c>
      <c r="T48" s="285" t="n">
        <f aca="false">OperatingCurve!AI73</f>
        <v>0</v>
      </c>
      <c r="U48" s="285" t="n">
        <f aca="false">OperatingCurve!AK73</f>
        <v>0</v>
      </c>
      <c r="W48" s="285" t="n">
        <f aca="false">OperatingCurve!AO73</f>
        <v>0.25425</v>
      </c>
      <c r="X48" s="285" t="n">
        <f aca="false">OperatingCurve!AN73</f>
        <v>0.565</v>
      </c>
      <c r="Y48" s="285" t="n">
        <f aca="false">OperatingCurve!AP73</f>
        <v>0.70625</v>
      </c>
      <c r="AA48" s="285" t="n">
        <f aca="false">OperatingCurve!AR73</f>
        <v>0.226</v>
      </c>
      <c r="AB48" s="285" t="n">
        <f aca="false">OperatingCurve!AQ73</f>
        <v>0.565</v>
      </c>
      <c r="AC48" s="285" t="n">
        <f aca="false">OperatingCurve!AS73</f>
        <v>0.42375</v>
      </c>
      <c r="AE48" s="285" t="n">
        <f aca="false">OperatingCurve!AU73</f>
        <v>-0.469739398126976</v>
      </c>
      <c r="AF48" s="285" t="n">
        <f aca="false">OperatingCurve!AT73</f>
        <v>7.51583037003162</v>
      </c>
      <c r="AG48" s="285" t="n">
        <f aca="false">OperatingCurve!AV73</f>
        <v>9.39478796253952</v>
      </c>
      <c r="AI48" s="285" t="n">
        <f aca="false">OperatingCurve!AX73</f>
        <v>-0.620475</v>
      </c>
      <c r="AJ48" s="285" t="n">
        <f aca="false">OperatingCurve!AW73</f>
        <v>9.9276</v>
      </c>
      <c r="AK48" s="285" t="n">
        <f aca="false">OperatingCurve!AY73</f>
        <v>12.4095</v>
      </c>
      <c r="AM48" s="286" t="n">
        <f aca="false">OperatingCurve!AL73</f>
        <v>14</v>
      </c>
      <c r="AN48" s="287" t="n">
        <f aca="false">OperatingCurve!AM73</f>
        <v>0.3</v>
      </c>
      <c r="AP48" s="287" t="n">
        <f aca="false">OperatingCurve!BC103</f>
        <v>3</v>
      </c>
      <c r="AQ48" s="289" t="n">
        <f aca="false">OperatingCurve!BD103</f>
        <v>0.01</v>
      </c>
      <c r="AS48" s="287" t="n">
        <f aca="false">OperatingCurve!BF103</f>
        <v>0</v>
      </c>
      <c r="BE48" s="284" t="n">
        <f aca="false">OperatingCurve!V73</f>
        <v>38108</v>
      </c>
      <c r="BF48" s="289" t="n">
        <f aca="false">OperatingCurve!AZ73</f>
        <v>0</v>
      </c>
    </row>
    <row r="49" customFormat="false" ht="12.75" hidden="false" customHeight="false" outlineLevel="0" collapsed="false">
      <c r="A49" s="282" t="n">
        <f aca="false">OperatingCurve!D45</f>
        <v>37257</v>
      </c>
      <c r="B49" s="283" t="n">
        <f aca="false">OperatingCurve!H45</f>
        <v>175.104</v>
      </c>
      <c r="C49" s="283" t="n">
        <f aca="false">OperatingCurve!G45</f>
        <v>181.649</v>
      </c>
      <c r="D49" s="283" t="n">
        <f aca="false">OperatingCurve!I45</f>
        <v>201.584</v>
      </c>
      <c r="E49" s="278"/>
      <c r="F49" s="283" t="n">
        <f aca="false">OperatingCurve!M45</f>
        <v>0</v>
      </c>
      <c r="G49" s="283" t="n">
        <f aca="false">OperatingCurve!L45</f>
        <v>0</v>
      </c>
      <c r="H49" s="283" t="n">
        <f aca="false">OperatingCurve!N45</f>
        <v>0</v>
      </c>
      <c r="I49" s="273"/>
      <c r="J49" s="284" t="n">
        <f aca="false">OperatingCurve!V74</f>
        <v>38139</v>
      </c>
      <c r="K49" s="285" t="n">
        <f aca="false">OperatingCurve!Z74</f>
        <v>0</v>
      </c>
      <c r="L49" s="285" t="n">
        <f aca="false">OperatingCurve!Y74</f>
        <v>0</v>
      </c>
      <c r="M49" s="285" t="n">
        <f aca="false">OperatingCurve!AA74</f>
        <v>0</v>
      </c>
      <c r="O49" s="285" t="n">
        <f aca="false">OperatingCurve!AE74</f>
        <v>0</v>
      </c>
      <c r="P49" s="285" t="n">
        <f aca="false">OperatingCurve!AD74</f>
        <v>0</v>
      </c>
      <c r="Q49" s="285" t="n">
        <f aca="false">OperatingCurve!AF74</f>
        <v>0</v>
      </c>
      <c r="S49" s="285" t="n">
        <f aca="false">OperatingCurve!AJ74</f>
        <v>0</v>
      </c>
      <c r="T49" s="285" t="n">
        <f aca="false">OperatingCurve!AI74</f>
        <v>0</v>
      </c>
      <c r="U49" s="285" t="n">
        <f aca="false">OperatingCurve!AK74</f>
        <v>0</v>
      </c>
      <c r="W49" s="285" t="n">
        <f aca="false">OperatingCurve!AO74</f>
        <v>0.252</v>
      </c>
      <c r="X49" s="285" t="n">
        <f aca="false">OperatingCurve!AN74</f>
        <v>0.56</v>
      </c>
      <c r="Y49" s="285" t="n">
        <f aca="false">OperatingCurve!AP74</f>
        <v>0.7</v>
      </c>
      <c r="AA49" s="285" t="n">
        <f aca="false">OperatingCurve!AR74</f>
        <v>0.224</v>
      </c>
      <c r="AB49" s="285" t="n">
        <f aca="false">OperatingCurve!AQ74</f>
        <v>0.56</v>
      </c>
      <c r="AC49" s="285" t="n">
        <f aca="false">OperatingCurve!AS74</f>
        <v>0.42</v>
      </c>
      <c r="AE49" s="285" t="n">
        <f aca="false">OperatingCurve!AU74</f>
        <v>-0.58944177960962</v>
      </c>
      <c r="AF49" s="285" t="n">
        <f aca="false">OperatingCurve!AT74</f>
        <v>9.43106847375392</v>
      </c>
      <c r="AG49" s="285" t="n">
        <f aca="false">OperatingCurve!AV74</f>
        <v>11.7888355921924</v>
      </c>
      <c r="AI49" s="285" t="n">
        <f aca="false">OperatingCurve!AX74</f>
        <v>-0.58515</v>
      </c>
      <c r="AJ49" s="285" t="n">
        <f aca="false">OperatingCurve!AW74</f>
        <v>9.3624</v>
      </c>
      <c r="AK49" s="285" t="n">
        <f aca="false">OperatingCurve!AY74</f>
        <v>11.703</v>
      </c>
      <c r="AM49" s="286" t="n">
        <f aca="false">OperatingCurve!AL74</f>
        <v>14</v>
      </c>
      <c r="AN49" s="287" t="n">
        <f aca="false">OperatingCurve!AM74</f>
        <v>0.4</v>
      </c>
      <c r="AP49" s="287" t="n">
        <f aca="false">OperatingCurve!BC104</f>
        <v>4</v>
      </c>
      <c r="AQ49" s="289" t="n">
        <f aca="false">OperatingCurve!BD104</f>
        <v>0.015</v>
      </c>
      <c r="AS49" s="287" t="n">
        <f aca="false">OperatingCurve!BF104</f>
        <v>0</v>
      </c>
      <c r="BE49" s="284" t="n">
        <f aca="false">OperatingCurve!V74</f>
        <v>38139</v>
      </c>
      <c r="BF49" s="289" t="n">
        <f aca="false">OperatingCurve!AZ74</f>
        <v>0</v>
      </c>
    </row>
    <row r="50" customFormat="false" ht="12.75" hidden="false" customHeight="false" outlineLevel="0" collapsed="false">
      <c r="A50" s="282" t="n">
        <f aca="false">OperatingCurve!D46</f>
        <v>37288</v>
      </c>
      <c r="B50" s="283" t="n">
        <f aca="false">OperatingCurve!H46</f>
        <v>155.769</v>
      </c>
      <c r="C50" s="283" t="n">
        <f aca="false">OperatingCurve!G46</f>
        <v>162.164</v>
      </c>
      <c r="D50" s="283" t="n">
        <f aca="false">OperatingCurve!I46</f>
        <v>181.649</v>
      </c>
      <c r="E50" s="278"/>
      <c r="F50" s="283" t="n">
        <f aca="false">OperatingCurve!M46</f>
        <v>0</v>
      </c>
      <c r="G50" s="283" t="n">
        <f aca="false">OperatingCurve!L46</f>
        <v>0</v>
      </c>
      <c r="H50" s="283" t="n">
        <f aca="false">OperatingCurve!N46</f>
        <v>0</v>
      </c>
      <c r="I50" s="273"/>
      <c r="J50" s="284" t="n">
        <f aca="false">OperatingCurve!V75</f>
        <v>38169</v>
      </c>
      <c r="K50" s="285" t="n">
        <f aca="false">OperatingCurve!Z75</f>
        <v>0</v>
      </c>
      <c r="L50" s="285" t="n">
        <f aca="false">OperatingCurve!Y75</f>
        <v>0</v>
      </c>
      <c r="M50" s="285" t="n">
        <f aca="false">OperatingCurve!AA75</f>
        <v>0</v>
      </c>
      <c r="O50" s="285" t="n">
        <f aca="false">OperatingCurve!AE75</f>
        <v>0</v>
      </c>
      <c r="P50" s="285" t="n">
        <f aca="false">OperatingCurve!AD75</f>
        <v>0</v>
      </c>
      <c r="Q50" s="285" t="n">
        <f aca="false">OperatingCurve!AF75</f>
        <v>0</v>
      </c>
      <c r="S50" s="285" t="n">
        <f aca="false">OperatingCurve!AJ75</f>
        <v>0</v>
      </c>
      <c r="T50" s="285" t="n">
        <f aca="false">OperatingCurve!AI75</f>
        <v>0</v>
      </c>
      <c r="U50" s="285" t="n">
        <f aca="false">OperatingCurve!AK75</f>
        <v>0</v>
      </c>
      <c r="W50" s="285" t="n">
        <f aca="false">OperatingCurve!AO75</f>
        <v>0.24975</v>
      </c>
      <c r="X50" s="285" t="n">
        <f aca="false">OperatingCurve!AN75</f>
        <v>0.555</v>
      </c>
      <c r="Y50" s="285" t="n">
        <f aca="false">OperatingCurve!AP75</f>
        <v>0.69375</v>
      </c>
      <c r="AA50" s="285" t="n">
        <f aca="false">OperatingCurve!AR75</f>
        <v>0.222</v>
      </c>
      <c r="AB50" s="285" t="n">
        <f aca="false">OperatingCurve!AQ75</f>
        <v>0.555</v>
      </c>
      <c r="AC50" s="285" t="n">
        <f aca="false">OperatingCurve!AS75</f>
        <v>0.41625</v>
      </c>
      <c r="AE50" s="285" t="n">
        <f aca="false">OperatingCurve!AU75</f>
        <v>-0.911055880565399</v>
      </c>
      <c r="AF50" s="285" t="n">
        <f aca="false">OperatingCurve!AT75</f>
        <v>14.5768940890464</v>
      </c>
      <c r="AG50" s="285" t="n">
        <f aca="false">OperatingCurve!AV75</f>
        <v>18.221117611308</v>
      </c>
      <c r="AI50" s="285" t="n">
        <f aca="false">OperatingCurve!AX75</f>
        <v>-0.58515</v>
      </c>
      <c r="AJ50" s="285" t="n">
        <f aca="false">OperatingCurve!AW75</f>
        <v>9.3624</v>
      </c>
      <c r="AK50" s="285" t="n">
        <f aca="false">OperatingCurve!AY75</f>
        <v>11.703</v>
      </c>
      <c r="AM50" s="286" t="n">
        <f aca="false">OperatingCurve!AL75</f>
        <v>15</v>
      </c>
      <c r="AN50" s="287" t="n">
        <f aca="false">OperatingCurve!AM75</f>
        <v>0.4</v>
      </c>
      <c r="AP50" s="287" t="n">
        <f aca="false">OperatingCurve!BC105</f>
        <v>5</v>
      </c>
      <c r="AQ50" s="289" t="n">
        <f aca="false">OperatingCurve!BD105</f>
        <v>0.0175</v>
      </c>
      <c r="AS50" s="287" t="n">
        <f aca="false">OperatingCurve!BF105</f>
        <v>0</v>
      </c>
      <c r="BE50" s="284" t="n">
        <f aca="false">OperatingCurve!V75</f>
        <v>38169</v>
      </c>
      <c r="BF50" s="289" t="n">
        <f aca="false">OperatingCurve!AZ75</f>
        <v>0</v>
      </c>
    </row>
    <row r="51" customFormat="false" ht="12.75" hidden="false" customHeight="false" outlineLevel="0" collapsed="false">
      <c r="A51" s="282" t="n">
        <f aca="false">OperatingCurve!D47</f>
        <v>37316</v>
      </c>
      <c r="B51" s="283" t="n">
        <f aca="false">OperatingCurve!H47</f>
        <v>122.1</v>
      </c>
      <c r="C51" s="283" t="n">
        <f aca="false">OperatingCurve!G47</f>
        <v>128.225</v>
      </c>
      <c r="D51" s="283" t="n">
        <f aca="false">OperatingCurve!I47</f>
        <v>146.9</v>
      </c>
      <c r="E51" s="278"/>
      <c r="F51" s="283" t="n">
        <f aca="false">OperatingCurve!M47</f>
        <v>0</v>
      </c>
      <c r="G51" s="283" t="n">
        <f aca="false">OperatingCurve!L47</f>
        <v>0</v>
      </c>
      <c r="H51" s="283" t="n">
        <f aca="false">OperatingCurve!N47</f>
        <v>0</v>
      </c>
      <c r="I51" s="273"/>
      <c r="J51" s="284" t="n">
        <f aca="false">OperatingCurve!V76</f>
        <v>38200</v>
      </c>
      <c r="K51" s="285" t="n">
        <f aca="false">OperatingCurve!Z76</f>
        <v>0</v>
      </c>
      <c r="L51" s="285" t="n">
        <f aca="false">OperatingCurve!Y76</f>
        <v>0</v>
      </c>
      <c r="M51" s="285" t="n">
        <f aca="false">OperatingCurve!AA76</f>
        <v>0</v>
      </c>
      <c r="O51" s="285" t="n">
        <f aca="false">OperatingCurve!AE76</f>
        <v>0</v>
      </c>
      <c r="P51" s="285" t="n">
        <f aca="false">OperatingCurve!AD76</f>
        <v>0</v>
      </c>
      <c r="Q51" s="285" t="n">
        <f aca="false">OperatingCurve!AF76</f>
        <v>0</v>
      </c>
      <c r="S51" s="285" t="n">
        <f aca="false">OperatingCurve!AJ76</f>
        <v>0</v>
      </c>
      <c r="T51" s="285" t="n">
        <f aca="false">OperatingCurve!AI76</f>
        <v>0</v>
      </c>
      <c r="U51" s="285" t="n">
        <f aca="false">OperatingCurve!AK76</f>
        <v>0</v>
      </c>
      <c r="W51" s="285" t="n">
        <f aca="false">OperatingCurve!AO76</f>
        <v>0.24975</v>
      </c>
      <c r="X51" s="285" t="n">
        <f aca="false">OperatingCurve!AN76</f>
        <v>0.555</v>
      </c>
      <c r="Y51" s="285" t="n">
        <f aca="false">OperatingCurve!AP76</f>
        <v>0.69375</v>
      </c>
      <c r="AA51" s="285" t="n">
        <f aca="false">OperatingCurve!AR76</f>
        <v>0.222</v>
      </c>
      <c r="AB51" s="285" t="n">
        <f aca="false">OperatingCurve!AQ76</f>
        <v>0.555</v>
      </c>
      <c r="AC51" s="285" t="n">
        <f aca="false">OperatingCurve!AS76</f>
        <v>0.41625</v>
      </c>
      <c r="AE51" s="285" t="n">
        <f aca="false">OperatingCurve!AU76</f>
        <v>-1.49445530918815</v>
      </c>
      <c r="AF51" s="285" t="n">
        <f aca="false">OperatingCurve!AT76</f>
        <v>23.9112849470103</v>
      </c>
      <c r="AG51" s="285" t="n">
        <f aca="false">OperatingCurve!AV76</f>
        <v>29.8891061837629</v>
      </c>
      <c r="AI51" s="285" t="n">
        <f aca="false">OperatingCurve!AX76</f>
        <v>-0.573375</v>
      </c>
      <c r="AJ51" s="285" t="n">
        <f aca="false">OperatingCurve!AW76</f>
        <v>9.174</v>
      </c>
      <c r="AK51" s="285" t="n">
        <f aca="false">OperatingCurve!AY76</f>
        <v>11.4675</v>
      </c>
      <c r="AM51" s="286" t="n">
        <f aca="false">OperatingCurve!AL76</f>
        <v>15</v>
      </c>
      <c r="AN51" s="287" t="n">
        <f aca="false">OperatingCurve!AM76</f>
        <v>0.4</v>
      </c>
      <c r="AP51" s="287" t="n">
        <f aca="false">OperatingCurve!BC106</f>
        <v>6</v>
      </c>
      <c r="AQ51" s="289" t="n">
        <f aca="false">OperatingCurve!BD106</f>
        <v>0.025</v>
      </c>
      <c r="AS51" s="287" t="n">
        <f aca="false">OperatingCurve!BF106</f>
        <v>0</v>
      </c>
      <c r="BE51" s="284" t="n">
        <f aca="false">OperatingCurve!V76</f>
        <v>38200</v>
      </c>
      <c r="BF51" s="289" t="n">
        <f aca="false">OperatingCurve!AZ76</f>
        <v>0</v>
      </c>
    </row>
    <row r="52" customFormat="false" ht="12.75" hidden="false" customHeight="false" outlineLevel="0" collapsed="false">
      <c r="A52" s="282" t="n">
        <f aca="false">OperatingCurve!D48</f>
        <v>37347</v>
      </c>
      <c r="B52" s="283" t="n">
        <f aca="false">OperatingCurve!H48</f>
        <v>64.721</v>
      </c>
      <c r="C52" s="283" t="n">
        <f aca="false">OperatingCurve!G48</f>
        <v>70.356</v>
      </c>
      <c r="D52" s="283" t="n">
        <f aca="false">OperatingCurve!I48</f>
        <v>87.561</v>
      </c>
      <c r="E52" s="278"/>
      <c r="F52" s="283" t="n">
        <f aca="false">OperatingCurve!M48</f>
        <v>0</v>
      </c>
      <c r="G52" s="283" t="n">
        <f aca="false">OperatingCurve!L48</f>
        <v>0</v>
      </c>
      <c r="H52" s="283" t="n">
        <f aca="false">OperatingCurve!N48</f>
        <v>0</v>
      </c>
      <c r="I52" s="273"/>
      <c r="J52" s="284" t="n">
        <f aca="false">OperatingCurve!V77</f>
        <v>38231</v>
      </c>
      <c r="K52" s="285" t="n">
        <f aca="false">OperatingCurve!Z77</f>
        <v>0</v>
      </c>
      <c r="L52" s="285" t="n">
        <f aca="false">OperatingCurve!Y77</f>
        <v>0</v>
      </c>
      <c r="M52" s="285" t="n">
        <f aca="false">OperatingCurve!AA77</f>
        <v>0</v>
      </c>
      <c r="O52" s="285" t="n">
        <f aca="false">OperatingCurve!AE77</f>
        <v>0</v>
      </c>
      <c r="P52" s="285" t="n">
        <f aca="false">OperatingCurve!AD77</f>
        <v>0</v>
      </c>
      <c r="Q52" s="285" t="n">
        <f aca="false">OperatingCurve!AF77</f>
        <v>0</v>
      </c>
      <c r="S52" s="285" t="n">
        <f aca="false">OperatingCurve!AJ77</f>
        <v>0</v>
      </c>
      <c r="T52" s="285" t="n">
        <f aca="false">OperatingCurve!AI77</f>
        <v>0</v>
      </c>
      <c r="U52" s="285" t="n">
        <f aca="false">OperatingCurve!AK77</f>
        <v>0</v>
      </c>
      <c r="W52" s="285" t="n">
        <f aca="false">OperatingCurve!AO77</f>
        <v>0.252</v>
      </c>
      <c r="X52" s="285" t="n">
        <f aca="false">OperatingCurve!AN77</f>
        <v>0.56</v>
      </c>
      <c r="Y52" s="285" t="n">
        <f aca="false">OperatingCurve!AP77</f>
        <v>0.7</v>
      </c>
      <c r="AA52" s="285" t="n">
        <f aca="false">OperatingCurve!AR77</f>
        <v>0.224</v>
      </c>
      <c r="AB52" s="285" t="n">
        <f aca="false">OperatingCurve!AQ77</f>
        <v>0.56</v>
      </c>
      <c r="AC52" s="285" t="n">
        <f aca="false">OperatingCurve!AS77</f>
        <v>0.42</v>
      </c>
      <c r="AE52" s="285" t="n">
        <f aca="false">OperatingCurve!AU77</f>
        <v>-1.02648902895951</v>
      </c>
      <c r="AF52" s="285" t="n">
        <f aca="false">OperatingCurve!AT77</f>
        <v>16.4238244633521</v>
      </c>
      <c r="AG52" s="285" t="n">
        <f aca="false">OperatingCurve!AV77</f>
        <v>20.5297805791901</v>
      </c>
      <c r="AI52" s="285" t="n">
        <f aca="false">OperatingCurve!AX77</f>
        <v>-0.6087</v>
      </c>
      <c r="AJ52" s="285" t="n">
        <f aca="false">OperatingCurve!AW77</f>
        <v>9.7392</v>
      </c>
      <c r="AK52" s="285" t="n">
        <f aca="false">OperatingCurve!AY77</f>
        <v>12.174</v>
      </c>
      <c r="AM52" s="286" t="n">
        <f aca="false">OperatingCurve!AL77</f>
        <v>15</v>
      </c>
      <c r="AN52" s="287" t="n">
        <f aca="false">OperatingCurve!AM77</f>
        <v>0.4</v>
      </c>
      <c r="AP52" s="287" t="n">
        <f aca="false">OperatingCurve!BC107</f>
        <v>7</v>
      </c>
      <c r="AQ52" s="289" t="n">
        <f aca="false">OperatingCurve!BD107</f>
        <v>0.035</v>
      </c>
      <c r="AS52" s="287" t="n">
        <f aca="false">OperatingCurve!BF107</f>
        <v>0</v>
      </c>
      <c r="BE52" s="284" t="n">
        <f aca="false">OperatingCurve!V77</f>
        <v>38231</v>
      </c>
      <c r="BF52" s="289" t="n">
        <f aca="false">OperatingCurve!AZ77</f>
        <v>0</v>
      </c>
    </row>
    <row r="53" customFormat="false" ht="12.75" hidden="false" customHeight="false" outlineLevel="0" collapsed="false">
      <c r="A53" s="282" t="n">
        <f aca="false">OperatingCurve!D49</f>
        <v>37377</v>
      </c>
      <c r="B53" s="283" t="n">
        <f aca="false">OperatingCurve!H49</f>
        <v>69.225</v>
      </c>
      <c r="C53" s="283" t="n">
        <f aca="false">OperatingCurve!G49</f>
        <v>74.9</v>
      </c>
      <c r="D53" s="283" t="n">
        <f aca="false">OperatingCurve!I49</f>
        <v>92.225</v>
      </c>
      <c r="E53" s="278"/>
      <c r="F53" s="283" t="n">
        <f aca="false">OperatingCurve!M49</f>
        <v>0</v>
      </c>
      <c r="G53" s="283" t="n">
        <f aca="false">OperatingCurve!L49</f>
        <v>0</v>
      </c>
      <c r="H53" s="283" t="n">
        <f aca="false">OperatingCurve!N49</f>
        <v>0</v>
      </c>
      <c r="I53" s="273"/>
      <c r="J53" s="284" t="n">
        <f aca="false">OperatingCurve!V78</f>
        <v>38261</v>
      </c>
      <c r="K53" s="285" t="n">
        <f aca="false">OperatingCurve!Z78</f>
        <v>0</v>
      </c>
      <c r="L53" s="285" t="n">
        <f aca="false">OperatingCurve!Y78</f>
        <v>0</v>
      </c>
      <c r="M53" s="285" t="n">
        <f aca="false">OperatingCurve!AA78</f>
        <v>0</v>
      </c>
      <c r="O53" s="285" t="n">
        <f aca="false">OperatingCurve!AE78</f>
        <v>0</v>
      </c>
      <c r="P53" s="285" t="n">
        <f aca="false">OperatingCurve!AD78</f>
        <v>0</v>
      </c>
      <c r="Q53" s="285" t="n">
        <f aca="false">OperatingCurve!AF78</f>
        <v>0</v>
      </c>
      <c r="S53" s="285" t="n">
        <f aca="false">OperatingCurve!AJ78</f>
        <v>0</v>
      </c>
      <c r="T53" s="285" t="n">
        <f aca="false">OperatingCurve!AI78</f>
        <v>0</v>
      </c>
      <c r="U53" s="285" t="n">
        <f aca="false">OperatingCurve!AK78</f>
        <v>0</v>
      </c>
      <c r="W53" s="285" t="n">
        <f aca="false">OperatingCurve!AO78</f>
        <v>0.252</v>
      </c>
      <c r="X53" s="285" t="n">
        <f aca="false">OperatingCurve!AN78</f>
        <v>0.56</v>
      </c>
      <c r="Y53" s="285" t="n">
        <f aca="false">OperatingCurve!AP78</f>
        <v>0.7</v>
      </c>
      <c r="AA53" s="285" t="n">
        <f aca="false">OperatingCurve!AR78</f>
        <v>0.224</v>
      </c>
      <c r="AB53" s="285" t="n">
        <f aca="false">OperatingCurve!AQ78</f>
        <v>0.56</v>
      </c>
      <c r="AC53" s="285" t="n">
        <f aca="false">OperatingCurve!AS78</f>
        <v>0.42</v>
      </c>
      <c r="AE53" s="285" t="n">
        <f aca="false">OperatingCurve!AU78</f>
        <v>-0.570539157769866</v>
      </c>
      <c r="AF53" s="285" t="n">
        <f aca="false">OperatingCurve!AT78</f>
        <v>9.12862652431785</v>
      </c>
      <c r="AG53" s="285" t="n">
        <f aca="false">OperatingCurve!AV78</f>
        <v>11.4107831553973</v>
      </c>
      <c r="AI53" s="285" t="n">
        <f aca="false">OperatingCurve!AX78</f>
        <v>-0.596925</v>
      </c>
      <c r="AJ53" s="285" t="n">
        <f aca="false">OperatingCurve!AW78</f>
        <v>9.5508</v>
      </c>
      <c r="AK53" s="285" t="n">
        <f aca="false">OperatingCurve!AY78</f>
        <v>11.9385</v>
      </c>
      <c r="AM53" s="286" t="n">
        <f aca="false">OperatingCurve!AL78</f>
        <v>16</v>
      </c>
      <c r="AN53" s="287" t="n">
        <f aca="false">OperatingCurve!AM78</f>
        <v>0.4</v>
      </c>
      <c r="AP53" s="287" t="n">
        <f aca="false">OperatingCurve!BC108</f>
        <v>8</v>
      </c>
      <c r="AQ53" s="289" t="n">
        <f aca="false">OperatingCurve!BD108</f>
        <v>0.04</v>
      </c>
      <c r="AS53" s="287" t="n">
        <f aca="false">OperatingCurve!BF108</f>
        <v>0</v>
      </c>
      <c r="BE53" s="284" t="n">
        <f aca="false">OperatingCurve!V78</f>
        <v>38261</v>
      </c>
      <c r="BF53" s="289" t="n">
        <f aca="false">OperatingCurve!AZ78</f>
        <v>0</v>
      </c>
    </row>
    <row r="54" customFormat="false" ht="12.75" hidden="false" customHeight="false" outlineLevel="0" collapsed="false">
      <c r="A54" s="282" t="n">
        <f aca="false">OperatingCurve!D50</f>
        <v>37408</v>
      </c>
      <c r="B54" s="283" t="n">
        <f aca="false">OperatingCurve!H50</f>
        <v>80.625</v>
      </c>
      <c r="C54" s="283" t="n">
        <f aca="false">OperatingCurve!G50</f>
        <v>86.4</v>
      </c>
      <c r="D54" s="283" t="n">
        <f aca="false">OperatingCurve!I50</f>
        <v>104.025</v>
      </c>
      <c r="E54" s="278"/>
      <c r="F54" s="283" t="n">
        <f aca="false">OperatingCurve!M50</f>
        <v>0</v>
      </c>
      <c r="G54" s="283" t="n">
        <f aca="false">OperatingCurve!L50</f>
        <v>0</v>
      </c>
      <c r="H54" s="283" t="n">
        <f aca="false">OperatingCurve!N50</f>
        <v>0</v>
      </c>
      <c r="I54" s="273"/>
      <c r="J54" s="284" t="n">
        <f aca="false">OperatingCurve!V79</f>
        <v>38292</v>
      </c>
      <c r="K54" s="285" t="n">
        <f aca="false">OperatingCurve!Z79</f>
        <v>0</v>
      </c>
      <c r="L54" s="285" t="n">
        <f aca="false">OperatingCurve!Y79</f>
        <v>0</v>
      </c>
      <c r="M54" s="285" t="n">
        <f aca="false">OperatingCurve!AA79</f>
        <v>0</v>
      </c>
      <c r="O54" s="285" t="n">
        <f aca="false">OperatingCurve!AE79</f>
        <v>0</v>
      </c>
      <c r="P54" s="285" t="n">
        <f aca="false">OperatingCurve!AD79</f>
        <v>0</v>
      </c>
      <c r="Q54" s="285" t="n">
        <f aca="false">OperatingCurve!AF79</f>
        <v>0</v>
      </c>
      <c r="S54" s="285" t="n">
        <f aca="false">OperatingCurve!AJ79</f>
        <v>0</v>
      </c>
      <c r="T54" s="285" t="n">
        <f aca="false">OperatingCurve!AI79</f>
        <v>0</v>
      </c>
      <c r="U54" s="285" t="n">
        <f aca="false">OperatingCurve!AK79</f>
        <v>0</v>
      </c>
      <c r="W54" s="285" t="n">
        <f aca="false">OperatingCurve!AO79</f>
        <v>0.25425</v>
      </c>
      <c r="X54" s="285" t="n">
        <f aca="false">OperatingCurve!AN79</f>
        <v>0.565</v>
      </c>
      <c r="Y54" s="285" t="n">
        <f aca="false">OperatingCurve!AP79</f>
        <v>0.70625</v>
      </c>
      <c r="AA54" s="285" t="n">
        <f aca="false">OperatingCurve!AR79</f>
        <v>0.226</v>
      </c>
      <c r="AB54" s="285" t="n">
        <f aca="false">OperatingCurve!AQ79</f>
        <v>0.565</v>
      </c>
      <c r="AC54" s="285" t="n">
        <f aca="false">OperatingCurve!AS79</f>
        <v>0.42375</v>
      </c>
      <c r="AE54" s="285" t="n">
        <f aca="false">OperatingCurve!AU79</f>
        <v>-0.628600506478251</v>
      </c>
      <c r="AF54" s="285" t="n">
        <f aca="false">OperatingCurve!AT79</f>
        <v>10.057608103652</v>
      </c>
      <c r="AG54" s="285" t="n">
        <f aca="false">OperatingCurve!AV79</f>
        <v>12.572010129565</v>
      </c>
      <c r="AI54" s="285" t="n">
        <f aca="false">OperatingCurve!AX79</f>
        <v>-0.620475</v>
      </c>
      <c r="AJ54" s="285" t="n">
        <f aca="false">OperatingCurve!AW79</f>
        <v>9.9276</v>
      </c>
      <c r="AK54" s="285" t="n">
        <f aca="false">OperatingCurve!AY79</f>
        <v>12.4095</v>
      </c>
      <c r="AM54" s="286" t="n">
        <f aca="false">OperatingCurve!AL79</f>
        <v>16</v>
      </c>
      <c r="AN54" s="287" t="n">
        <f aca="false">OperatingCurve!AM79</f>
        <v>0.4</v>
      </c>
      <c r="AP54" s="287" t="n">
        <f aca="false">OperatingCurve!BC109</f>
        <v>9</v>
      </c>
      <c r="AQ54" s="289" t="n">
        <f aca="false">OperatingCurve!BD109</f>
        <v>0.05</v>
      </c>
      <c r="AS54" s="287" t="n">
        <f aca="false">OperatingCurve!BF109</f>
        <v>0</v>
      </c>
      <c r="BE54" s="284" t="n">
        <f aca="false">OperatingCurve!V79</f>
        <v>38292</v>
      </c>
      <c r="BF54" s="289" t="n">
        <f aca="false">OperatingCurve!AZ79</f>
        <v>0</v>
      </c>
    </row>
    <row r="55" customFormat="false" ht="12.75" hidden="false" customHeight="false" outlineLevel="0" collapsed="false">
      <c r="A55" s="282" t="n">
        <f aca="false">OperatingCurve!D51</f>
        <v>37438</v>
      </c>
      <c r="B55" s="283" t="n">
        <f aca="false">OperatingCurve!H51</f>
        <v>111.201</v>
      </c>
      <c r="C55" s="283" t="n">
        <f aca="false">OperatingCurve!G51</f>
        <v>117.236</v>
      </c>
      <c r="D55" s="283" t="n">
        <f aca="false">OperatingCurve!I51</f>
        <v>135.641</v>
      </c>
      <c r="E55" s="278"/>
      <c r="F55" s="283" t="n">
        <f aca="false">OperatingCurve!M51</f>
        <v>0</v>
      </c>
      <c r="G55" s="283" t="n">
        <f aca="false">OperatingCurve!L51</f>
        <v>0</v>
      </c>
      <c r="H55" s="283" t="n">
        <f aca="false">OperatingCurve!N51</f>
        <v>0</v>
      </c>
      <c r="I55" s="273"/>
      <c r="J55" s="284" t="n">
        <f aca="false">OperatingCurve!V80</f>
        <v>38322</v>
      </c>
      <c r="K55" s="285" t="n">
        <f aca="false">OperatingCurve!Z80</f>
        <v>0</v>
      </c>
      <c r="L55" s="285" t="n">
        <f aca="false">OperatingCurve!Y80</f>
        <v>0</v>
      </c>
      <c r="M55" s="285" t="n">
        <f aca="false">OperatingCurve!AA80</f>
        <v>0</v>
      </c>
      <c r="O55" s="285" t="n">
        <f aca="false">OperatingCurve!AE80</f>
        <v>0</v>
      </c>
      <c r="P55" s="285" t="n">
        <f aca="false">OperatingCurve!AD80</f>
        <v>0</v>
      </c>
      <c r="Q55" s="285" t="n">
        <f aca="false">OperatingCurve!AF80</f>
        <v>0</v>
      </c>
      <c r="S55" s="285" t="n">
        <f aca="false">OperatingCurve!AJ80</f>
        <v>0</v>
      </c>
      <c r="T55" s="285" t="n">
        <f aca="false">OperatingCurve!AI80</f>
        <v>0</v>
      </c>
      <c r="U55" s="285" t="n">
        <f aca="false">OperatingCurve!AK80</f>
        <v>0</v>
      </c>
      <c r="W55" s="285" t="n">
        <f aca="false">OperatingCurve!AO80</f>
        <v>0.2565</v>
      </c>
      <c r="X55" s="285" t="n">
        <f aca="false">OperatingCurve!AN80</f>
        <v>0.57</v>
      </c>
      <c r="Y55" s="285" t="n">
        <f aca="false">OperatingCurve!AP80</f>
        <v>0.7125</v>
      </c>
      <c r="AA55" s="285" t="n">
        <f aca="false">OperatingCurve!AR80</f>
        <v>0.228</v>
      </c>
      <c r="AB55" s="285" t="n">
        <f aca="false">OperatingCurve!AQ80</f>
        <v>0.57</v>
      </c>
      <c r="AC55" s="285" t="n">
        <f aca="false">OperatingCurve!AS80</f>
        <v>0.4275</v>
      </c>
      <c r="AE55" s="285" t="n">
        <f aca="false">OperatingCurve!AU80</f>
        <v>-1.07311053290668</v>
      </c>
      <c r="AF55" s="285" t="n">
        <f aca="false">OperatingCurve!AT80</f>
        <v>17.1697685265069</v>
      </c>
      <c r="AG55" s="285" t="n">
        <f aca="false">OperatingCurve!AV80</f>
        <v>21.4622106581337</v>
      </c>
      <c r="AI55" s="285" t="n">
        <f aca="false">OperatingCurve!AX80</f>
        <v>-0.620475</v>
      </c>
      <c r="AJ55" s="285" t="n">
        <f aca="false">OperatingCurve!AW80</f>
        <v>9.9276</v>
      </c>
      <c r="AK55" s="285" t="n">
        <f aca="false">OperatingCurve!AY80</f>
        <v>12.4095</v>
      </c>
      <c r="AM55" s="286" t="n">
        <f aca="false">OperatingCurve!AL80</f>
        <v>16</v>
      </c>
      <c r="AN55" s="287" t="n">
        <f aca="false">OperatingCurve!AM80</f>
        <v>0.4</v>
      </c>
      <c r="AP55" s="287" t="n">
        <f aca="false">OperatingCurve!BC110</f>
        <v>10</v>
      </c>
      <c r="AQ55" s="289" t="n">
        <f aca="false">OperatingCurve!BD110</f>
        <v>0.06</v>
      </c>
      <c r="BE55" s="284" t="n">
        <f aca="false">OperatingCurve!V80</f>
        <v>38322</v>
      </c>
      <c r="BF55" s="289" t="n">
        <f aca="false">OperatingCurve!AZ80</f>
        <v>0</v>
      </c>
    </row>
    <row r="56" customFormat="false" ht="12.75" hidden="false" customHeight="false" outlineLevel="0" collapsed="false">
      <c r="A56" s="282" t="n">
        <f aca="false">OperatingCurve!D52</f>
        <v>37469</v>
      </c>
      <c r="B56" s="283" t="n">
        <f aca="false">OperatingCurve!H52</f>
        <v>163.449</v>
      </c>
      <c r="C56" s="283" t="n">
        <f aca="false">OperatingCurve!G52</f>
        <v>169.904</v>
      </c>
      <c r="D56" s="283" t="n">
        <f aca="false">OperatingCurve!I52</f>
        <v>189.569</v>
      </c>
      <c r="E56" s="278"/>
      <c r="F56" s="283" t="n">
        <f aca="false">OperatingCurve!M52</f>
        <v>0</v>
      </c>
      <c r="G56" s="283" t="n">
        <f aca="false">OperatingCurve!L52</f>
        <v>0</v>
      </c>
      <c r="H56" s="283" t="n">
        <f aca="false">OperatingCurve!N52</f>
        <v>0</v>
      </c>
      <c r="I56" s="273"/>
      <c r="J56" s="284" t="n">
        <f aca="false">OperatingCurve!V81</f>
        <v>38353</v>
      </c>
      <c r="K56" s="285" t="n">
        <f aca="false">OperatingCurve!Z81</f>
        <v>0</v>
      </c>
      <c r="L56" s="285" t="n">
        <f aca="false">OperatingCurve!Y81</f>
        <v>0</v>
      </c>
      <c r="M56" s="285" t="n">
        <f aca="false">OperatingCurve!AA81</f>
        <v>0</v>
      </c>
      <c r="O56" s="285" t="n">
        <f aca="false">OperatingCurve!AE81</f>
        <v>0</v>
      </c>
      <c r="P56" s="285" t="n">
        <f aca="false">OperatingCurve!AD81</f>
        <v>0</v>
      </c>
      <c r="Q56" s="285" t="n">
        <f aca="false">OperatingCurve!AF81</f>
        <v>0</v>
      </c>
      <c r="S56" s="285" t="n">
        <f aca="false">OperatingCurve!AJ81</f>
        <v>0</v>
      </c>
      <c r="T56" s="285" t="n">
        <f aca="false">OperatingCurve!AI81</f>
        <v>0</v>
      </c>
      <c r="U56" s="285" t="n">
        <f aca="false">OperatingCurve!AK81</f>
        <v>0</v>
      </c>
      <c r="W56" s="285" t="n">
        <f aca="false">OperatingCurve!AO81</f>
        <v>0.2565</v>
      </c>
      <c r="X56" s="285" t="n">
        <f aca="false">OperatingCurve!AN81</f>
        <v>0.57</v>
      </c>
      <c r="Y56" s="285" t="n">
        <f aca="false">OperatingCurve!AP81</f>
        <v>0.7125</v>
      </c>
      <c r="AA56" s="285" t="n">
        <f aca="false">OperatingCurve!AR81</f>
        <v>0.228</v>
      </c>
      <c r="AB56" s="285" t="n">
        <f aca="false">OperatingCurve!AQ81</f>
        <v>0.57</v>
      </c>
      <c r="AC56" s="285" t="n">
        <f aca="false">OperatingCurve!AS81</f>
        <v>0.4275</v>
      </c>
      <c r="AE56" s="285" t="n">
        <f aca="false">OperatingCurve!AU81</f>
        <v>-0.933975788546176</v>
      </c>
      <c r="AF56" s="285" t="n">
        <f aca="false">OperatingCurve!AT81</f>
        <v>14.9436126167388</v>
      </c>
      <c r="AG56" s="285" t="n">
        <f aca="false">OperatingCurve!AV81</f>
        <v>18.6795157709235</v>
      </c>
      <c r="AI56" s="285" t="n">
        <f aca="false">OperatingCurve!AX81</f>
        <v>-0.620475</v>
      </c>
      <c r="AJ56" s="285" t="n">
        <f aca="false">OperatingCurve!AW81</f>
        <v>9.9276</v>
      </c>
      <c r="AK56" s="285" t="n">
        <f aca="false">OperatingCurve!AY81</f>
        <v>12.4095</v>
      </c>
      <c r="AM56" s="286" t="n">
        <f aca="false">OperatingCurve!AL81</f>
        <v>17</v>
      </c>
      <c r="AN56" s="287" t="n">
        <f aca="false">OperatingCurve!AM81</f>
        <v>0.4</v>
      </c>
      <c r="BE56" s="284" t="n">
        <f aca="false">OperatingCurve!V81</f>
        <v>38353</v>
      </c>
      <c r="BF56" s="289" t="n">
        <f aca="false">OperatingCurve!AZ81</f>
        <v>0</v>
      </c>
    </row>
    <row r="57" customFormat="false" ht="12.75" hidden="false" customHeight="false" outlineLevel="0" collapsed="false">
      <c r="A57" s="282" t="n">
        <f aca="false">OperatingCurve!D53</f>
        <v>37500</v>
      </c>
      <c r="B57" s="283" t="n">
        <f aca="false">OperatingCurve!H53</f>
        <v>120.881</v>
      </c>
      <c r="C57" s="283" t="n">
        <f aca="false">OperatingCurve!G53</f>
        <v>126.996</v>
      </c>
      <c r="D57" s="283" t="n">
        <f aca="false">OperatingCurve!I53</f>
        <v>145.641</v>
      </c>
      <c r="E57" s="278"/>
      <c r="F57" s="283" t="n">
        <f aca="false">OperatingCurve!M53</f>
        <v>0</v>
      </c>
      <c r="G57" s="283" t="n">
        <f aca="false">OperatingCurve!L53</f>
        <v>0</v>
      </c>
      <c r="H57" s="283" t="n">
        <f aca="false">OperatingCurve!N53</f>
        <v>0</v>
      </c>
      <c r="I57" s="273"/>
      <c r="J57" s="284" t="n">
        <f aca="false">OperatingCurve!V82</f>
        <v>38384</v>
      </c>
      <c r="K57" s="285" t="n">
        <f aca="false">OperatingCurve!Z82</f>
        <v>0</v>
      </c>
      <c r="L57" s="285" t="n">
        <f aca="false">OperatingCurve!Y82</f>
        <v>0</v>
      </c>
      <c r="M57" s="285" t="n">
        <f aca="false">OperatingCurve!AA82</f>
        <v>0</v>
      </c>
      <c r="O57" s="285" t="n">
        <f aca="false">OperatingCurve!AE82</f>
        <v>0</v>
      </c>
      <c r="P57" s="285" t="n">
        <f aca="false">OperatingCurve!AD82</f>
        <v>0</v>
      </c>
      <c r="Q57" s="285" t="n">
        <f aca="false">OperatingCurve!AF82</f>
        <v>0</v>
      </c>
      <c r="S57" s="285" t="n">
        <f aca="false">OperatingCurve!AJ82</f>
        <v>0</v>
      </c>
      <c r="T57" s="285" t="n">
        <f aca="false">OperatingCurve!AI82</f>
        <v>0</v>
      </c>
      <c r="U57" s="285" t="n">
        <f aca="false">OperatingCurve!AK82</f>
        <v>0</v>
      </c>
      <c r="W57" s="285" t="n">
        <f aca="false">OperatingCurve!AO82</f>
        <v>0.252</v>
      </c>
      <c r="X57" s="285" t="n">
        <f aca="false">OperatingCurve!AN82</f>
        <v>0.56</v>
      </c>
      <c r="Y57" s="285" t="n">
        <f aca="false">OperatingCurve!AP82</f>
        <v>0.7</v>
      </c>
      <c r="AA57" s="285" t="n">
        <f aca="false">OperatingCurve!AR82</f>
        <v>0.224</v>
      </c>
      <c r="AB57" s="285" t="n">
        <f aca="false">OperatingCurve!AQ82</f>
        <v>0.56</v>
      </c>
      <c r="AC57" s="285" t="n">
        <f aca="false">OperatingCurve!AS82</f>
        <v>0.42</v>
      </c>
      <c r="AE57" s="285" t="n">
        <f aca="false">OperatingCurve!AU82</f>
        <v>-0.798313435497948</v>
      </c>
      <c r="AF57" s="285" t="n">
        <f aca="false">OperatingCurve!AT82</f>
        <v>12.7730149679672</v>
      </c>
      <c r="AG57" s="285" t="n">
        <f aca="false">OperatingCurve!AV82</f>
        <v>15.966268709959</v>
      </c>
      <c r="AI57" s="285" t="n">
        <f aca="false">OperatingCurve!AX82</f>
        <v>-0.6263625</v>
      </c>
      <c r="AJ57" s="285" t="n">
        <f aca="false">OperatingCurve!AW82</f>
        <v>10.0218</v>
      </c>
      <c r="AK57" s="285" t="n">
        <f aca="false">OperatingCurve!AY82</f>
        <v>12.52725</v>
      </c>
      <c r="AM57" s="286" t="n">
        <f aca="false">OperatingCurve!AL82</f>
        <v>17</v>
      </c>
      <c r="AN57" s="287" t="n">
        <f aca="false">OperatingCurve!AM82</f>
        <v>0.4</v>
      </c>
      <c r="BE57" s="284" t="n">
        <f aca="false">OperatingCurve!V82</f>
        <v>38384</v>
      </c>
      <c r="BF57" s="289" t="n">
        <f aca="false">OperatingCurve!AZ82</f>
        <v>0</v>
      </c>
    </row>
    <row r="58" customFormat="false" ht="12.75" hidden="false" customHeight="false" outlineLevel="0" collapsed="false">
      <c r="A58" s="282" t="n">
        <f aca="false">OperatingCurve!D54</f>
        <v>37530</v>
      </c>
      <c r="B58" s="283" t="n">
        <f aca="false">OperatingCurve!H54</f>
        <v>78.329</v>
      </c>
      <c r="C58" s="283" t="n">
        <f aca="false">OperatingCurve!G54</f>
        <v>84.084</v>
      </c>
      <c r="D58" s="283" t="n">
        <f aca="false">OperatingCurve!I54</f>
        <v>101.649</v>
      </c>
      <c r="E58" s="278"/>
      <c r="F58" s="283" t="n">
        <f aca="false">OperatingCurve!M54</f>
        <v>0</v>
      </c>
      <c r="G58" s="283" t="n">
        <f aca="false">OperatingCurve!L54</f>
        <v>0</v>
      </c>
      <c r="H58" s="283" t="n">
        <f aca="false">OperatingCurve!N54</f>
        <v>0</v>
      </c>
      <c r="I58" s="273"/>
      <c r="J58" s="284" t="n">
        <f aca="false">OperatingCurve!V83</f>
        <v>38412</v>
      </c>
      <c r="K58" s="285" t="n">
        <f aca="false">OperatingCurve!Z83</f>
        <v>0</v>
      </c>
      <c r="L58" s="285" t="n">
        <f aca="false">OperatingCurve!Y83</f>
        <v>0</v>
      </c>
      <c r="M58" s="285" t="n">
        <f aca="false">OperatingCurve!AA83</f>
        <v>0</v>
      </c>
      <c r="O58" s="285" t="n">
        <f aca="false">OperatingCurve!AE83</f>
        <v>0</v>
      </c>
      <c r="P58" s="285" t="n">
        <f aca="false">OperatingCurve!AD83</f>
        <v>0</v>
      </c>
      <c r="Q58" s="285" t="n">
        <f aca="false">OperatingCurve!AF83</f>
        <v>0</v>
      </c>
      <c r="S58" s="285" t="n">
        <f aca="false">OperatingCurve!AJ83</f>
        <v>0</v>
      </c>
      <c r="T58" s="285" t="n">
        <f aca="false">OperatingCurve!AI83</f>
        <v>0</v>
      </c>
      <c r="U58" s="285" t="n">
        <f aca="false">OperatingCurve!AK83</f>
        <v>0</v>
      </c>
      <c r="W58" s="285" t="n">
        <f aca="false">OperatingCurve!AO83</f>
        <v>0.2475</v>
      </c>
      <c r="X58" s="285" t="n">
        <f aca="false">OperatingCurve!AN83</f>
        <v>0.55</v>
      </c>
      <c r="Y58" s="285" t="n">
        <f aca="false">OperatingCurve!AP83</f>
        <v>0.6875</v>
      </c>
      <c r="AA58" s="285" t="n">
        <f aca="false">OperatingCurve!AR83</f>
        <v>0.22</v>
      </c>
      <c r="AB58" s="285" t="n">
        <f aca="false">OperatingCurve!AQ83</f>
        <v>0.55</v>
      </c>
      <c r="AC58" s="285" t="n">
        <f aca="false">OperatingCurve!AS83</f>
        <v>0.4125</v>
      </c>
      <c r="AE58" s="285" t="n">
        <f aca="false">OperatingCurve!AU83</f>
        <v>-0.608809188518778</v>
      </c>
      <c r="AF58" s="285" t="n">
        <f aca="false">OperatingCurve!AT83</f>
        <v>9.74094701630045</v>
      </c>
      <c r="AG58" s="285" t="n">
        <f aca="false">OperatingCurve!AV83</f>
        <v>12.1761837703756</v>
      </c>
      <c r="AI58" s="285" t="n">
        <f aca="false">OperatingCurve!AX83</f>
        <v>-0.6381375</v>
      </c>
      <c r="AJ58" s="285" t="n">
        <f aca="false">OperatingCurve!AW83</f>
        <v>10.2102</v>
      </c>
      <c r="AK58" s="285" t="n">
        <f aca="false">OperatingCurve!AY83</f>
        <v>12.76275</v>
      </c>
      <c r="AM58" s="286" t="n">
        <f aca="false">OperatingCurve!AL83</f>
        <v>17</v>
      </c>
      <c r="AN58" s="287" t="n">
        <f aca="false">OperatingCurve!AM83</f>
        <v>0.4</v>
      </c>
      <c r="BE58" s="284" t="n">
        <f aca="false">OperatingCurve!V83</f>
        <v>38412</v>
      </c>
      <c r="BF58" s="289" t="n">
        <f aca="false">OperatingCurve!AZ83</f>
        <v>0</v>
      </c>
    </row>
    <row r="59" customFormat="false" ht="12.75" hidden="false" customHeight="false" outlineLevel="0" collapsed="false">
      <c r="A59" s="282" t="n">
        <f aca="false">OperatingCurve!D55</f>
        <v>37561</v>
      </c>
      <c r="B59" s="283" t="n">
        <f aca="false">OperatingCurve!H55</f>
        <v>91.056</v>
      </c>
      <c r="C59" s="283" t="n">
        <f aca="false">OperatingCurve!G55</f>
        <v>96.921</v>
      </c>
      <c r="D59" s="283" t="n">
        <f aca="false">OperatingCurve!I55</f>
        <v>114.816</v>
      </c>
      <c r="E59" s="278"/>
      <c r="F59" s="283" t="n">
        <f aca="false">OperatingCurve!M55</f>
        <v>0</v>
      </c>
      <c r="G59" s="283" t="n">
        <f aca="false">OperatingCurve!L55</f>
        <v>0</v>
      </c>
      <c r="H59" s="283" t="n">
        <f aca="false">OperatingCurve!N55</f>
        <v>0</v>
      </c>
      <c r="I59" s="273"/>
      <c r="J59" s="284" t="n">
        <f aca="false">OperatingCurve!V84</f>
        <v>38443</v>
      </c>
      <c r="K59" s="285" t="n">
        <f aca="false">OperatingCurve!Z84</f>
        <v>0</v>
      </c>
      <c r="L59" s="285" t="n">
        <f aca="false">OperatingCurve!Y84</f>
        <v>0</v>
      </c>
      <c r="M59" s="285" t="n">
        <f aca="false">OperatingCurve!AA84</f>
        <v>0</v>
      </c>
      <c r="O59" s="285" t="n">
        <f aca="false">OperatingCurve!AE84</f>
        <v>0</v>
      </c>
      <c r="P59" s="285" t="n">
        <f aca="false">OperatingCurve!AD84</f>
        <v>0</v>
      </c>
      <c r="Q59" s="285" t="n">
        <f aca="false">OperatingCurve!AF84</f>
        <v>0</v>
      </c>
      <c r="S59" s="285" t="n">
        <f aca="false">OperatingCurve!AJ84</f>
        <v>0</v>
      </c>
      <c r="T59" s="285" t="n">
        <f aca="false">OperatingCurve!AI84</f>
        <v>0</v>
      </c>
      <c r="U59" s="285" t="n">
        <f aca="false">OperatingCurve!AK84</f>
        <v>0</v>
      </c>
      <c r="W59" s="285" t="n">
        <f aca="false">OperatingCurve!AO84</f>
        <v>0.2295</v>
      </c>
      <c r="X59" s="285" t="n">
        <f aca="false">OperatingCurve!AN84</f>
        <v>0.51</v>
      </c>
      <c r="Y59" s="285" t="n">
        <f aca="false">OperatingCurve!AP84</f>
        <v>0.6375</v>
      </c>
      <c r="AA59" s="285" t="n">
        <f aca="false">OperatingCurve!AR84</f>
        <v>0.204</v>
      </c>
      <c r="AB59" s="285" t="n">
        <f aca="false">OperatingCurve!AQ84</f>
        <v>0.51</v>
      </c>
      <c r="AC59" s="285" t="n">
        <f aca="false">OperatingCurve!AS84</f>
        <v>0.3825</v>
      </c>
      <c r="AE59" s="285" t="n">
        <f aca="false">OperatingCurve!AU84</f>
        <v>-0.410147476715089</v>
      </c>
      <c r="AF59" s="285" t="n">
        <f aca="false">OperatingCurve!AT84</f>
        <v>6.56235962744143</v>
      </c>
      <c r="AG59" s="285" t="n">
        <f aca="false">OperatingCurve!AV84</f>
        <v>8.20294953430178</v>
      </c>
      <c r="AI59" s="285" t="n">
        <f aca="false">OperatingCurve!AX84</f>
        <v>-0.644025</v>
      </c>
      <c r="AJ59" s="285" t="n">
        <f aca="false">OperatingCurve!AW84</f>
        <v>10.3044</v>
      </c>
      <c r="AK59" s="285" t="n">
        <f aca="false">OperatingCurve!AY84</f>
        <v>12.8805</v>
      </c>
      <c r="AM59" s="286" t="n">
        <f aca="false">OperatingCurve!AL84</f>
        <v>18</v>
      </c>
      <c r="AN59" s="287" t="n">
        <f aca="false">OperatingCurve!AM84</f>
        <v>0.4</v>
      </c>
      <c r="BE59" s="284" t="n">
        <f aca="false">OperatingCurve!V84</f>
        <v>38443</v>
      </c>
      <c r="BF59" s="289" t="n">
        <f aca="false">OperatingCurve!AZ84</f>
        <v>0</v>
      </c>
    </row>
    <row r="60" customFormat="false" ht="12.75" hidden="false" customHeight="false" outlineLevel="0" collapsed="false">
      <c r="A60" s="282" t="n">
        <f aca="false">OperatingCurve!D56</f>
        <v>37591</v>
      </c>
      <c r="B60" s="283" t="n">
        <f aca="false">OperatingCurve!H56</f>
        <v>134.4</v>
      </c>
      <c r="C60" s="283" t="n">
        <f aca="false">OperatingCurve!G56</f>
        <v>140.625</v>
      </c>
      <c r="D60" s="283" t="n">
        <f aca="false">OperatingCurve!I56</f>
        <v>159.6</v>
      </c>
      <c r="E60" s="278"/>
      <c r="F60" s="283" t="n">
        <f aca="false">OperatingCurve!M56</f>
        <v>0</v>
      </c>
      <c r="G60" s="283" t="n">
        <f aca="false">OperatingCurve!L56</f>
        <v>0</v>
      </c>
      <c r="H60" s="283" t="n">
        <f aca="false">OperatingCurve!N56</f>
        <v>0</v>
      </c>
      <c r="I60" s="273"/>
      <c r="J60" s="284" t="n">
        <f aca="false">OperatingCurve!V85</f>
        <v>38473</v>
      </c>
      <c r="K60" s="285" t="n">
        <f aca="false">OperatingCurve!Z85</f>
        <v>0</v>
      </c>
      <c r="L60" s="285" t="n">
        <f aca="false">OperatingCurve!Y85</f>
        <v>0</v>
      </c>
      <c r="M60" s="285" t="n">
        <f aca="false">OperatingCurve!AA85</f>
        <v>0</v>
      </c>
      <c r="O60" s="285" t="n">
        <f aca="false">OperatingCurve!AE85</f>
        <v>0</v>
      </c>
      <c r="P60" s="285" t="n">
        <f aca="false">OperatingCurve!AD85</f>
        <v>0</v>
      </c>
      <c r="Q60" s="285" t="n">
        <f aca="false">OperatingCurve!AF85</f>
        <v>0</v>
      </c>
      <c r="S60" s="285" t="n">
        <f aca="false">OperatingCurve!AJ85</f>
        <v>0</v>
      </c>
      <c r="T60" s="285" t="n">
        <f aca="false">OperatingCurve!AI85</f>
        <v>0</v>
      </c>
      <c r="U60" s="285" t="n">
        <f aca="false">OperatingCurve!AK85</f>
        <v>0</v>
      </c>
      <c r="W60" s="285" t="n">
        <f aca="false">OperatingCurve!AO85</f>
        <v>0.225</v>
      </c>
      <c r="X60" s="285" t="n">
        <f aca="false">OperatingCurve!AN85</f>
        <v>0.5</v>
      </c>
      <c r="Y60" s="285" t="n">
        <f aca="false">OperatingCurve!AP85</f>
        <v>0.625</v>
      </c>
      <c r="AA60" s="285" t="n">
        <f aca="false">OperatingCurve!AR85</f>
        <v>0.2</v>
      </c>
      <c r="AB60" s="285" t="n">
        <f aca="false">OperatingCurve!AQ85</f>
        <v>0.5</v>
      </c>
      <c r="AC60" s="285" t="n">
        <f aca="false">OperatingCurve!AS85</f>
        <v>0.375</v>
      </c>
      <c r="AE60" s="285" t="n">
        <f aca="false">OperatingCurve!AU85</f>
        <v>-0.44252030135698</v>
      </c>
      <c r="AF60" s="285" t="n">
        <f aca="false">OperatingCurve!AT85</f>
        <v>7.08032482171168</v>
      </c>
      <c r="AG60" s="285" t="n">
        <f aca="false">OperatingCurve!AV85</f>
        <v>8.8504060271396</v>
      </c>
      <c r="AI60" s="285" t="n">
        <f aca="false">OperatingCurve!AX85</f>
        <v>-0.6263625</v>
      </c>
      <c r="AJ60" s="285" t="n">
        <f aca="false">OperatingCurve!AW85</f>
        <v>10.0218</v>
      </c>
      <c r="AK60" s="285" t="n">
        <f aca="false">OperatingCurve!AY85</f>
        <v>12.52725</v>
      </c>
      <c r="AM60" s="286" t="n">
        <f aca="false">OperatingCurve!AL85</f>
        <v>18</v>
      </c>
      <c r="AN60" s="287" t="n">
        <f aca="false">OperatingCurve!AM85</f>
        <v>0.4</v>
      </c>
      <c r="BE60" s="284" t="n">
        <f aca="false">OperatingCurve!V85</f>
        <v>38473</v>
      </c>
      <c r="BF60" s="289" t="n">
        <f aca="false">OperatingCurve!AZ85</f>
        <v>0</v>
      </c>
    </row>
    <row r="61" customFormat="false" ht="12.75" hidden="false" customHeight="false" outlineLevel="0" collapsed="false">
      <c r="A61" s="282" t="n">
        <f aca="false">OperatingCurve!D57</f>
        <v>37622</v>
      </c>
      <c r="B61" s="283" t="n">
        <f aca="false">OperatingCurve!H57</f>
        <v>107.604</v>
      </c>
      <c r="C61" s="283" t="n">
        <f aca="false">OperatingCurve!G57</f>
        <v>113.609</v>
      </c>
      <c r="D61" s="283" t="n">
        <f aca="false">OperatingCurve!I57</f>
        <v>131.924</v>
      </c>
      <c r="E61" s="278"/>
      <c r="F61" s="283" t="n">
        <f aca="false">OperatingCurve!M57</f>
        <v>0</v>
      </c>
      <c r="G61" s="283" t="n">
        <f aca="false">OperatingCurve!L57</f>
        <v>0</v>
      </c>
      <c r="H61" s="283" t="n">
        <f aca="false">OperatingCurve!N57</f>
        <v>0</v>
      </c>
      <c r="I61" s="273"/>
      <c r="J61" s="284" t="n">
        <f aca="false">OperatingCurve!V86</f>
        <v>38504</v>
      </c>
      <c r="K61" s="285" t="n">
        <f aca="false">OperatingCurve!Z86</f>
        <v>0</v>
      </c>
      <c r="L61" s="285" t="n">
        <f aca="false">OperatingCurve!Y86</f>
        <v>0</v>
      </c>
      <c r="M61" s="285" t="n">
        <f aca="false">OperatingCurve!AA86</f>
        <v>0</v>
      </c>
      <c r="O61" s="285" t="n">
        <f aca="false">OperatingCurve!AE86</f>
        <v>0</v>
      </c>
      <c r="P61" s="285" t="n">
        <f aca="false">OperatingCurve!AD86</f>
        <v>0</v>
      </c>
      <c r="Q61" s="285" t="n">
        <f aca="false">OperatingCurve!AF86</f>
        <v>0</v>
      </c>
      <c r="S61" s="285" t="n">
        <f aca="false">OperatingCurve!AJ86</f>
        <v>0</v>
      </c>
      <c r="T61" s="285" t="n">
        <f aca="false">OperatingCurve!AI86</f>
        <v>0</v>
      </c>
      <c r="U61" s="285" t="n">
        <f aca="false">OperatingCurve!AK86</f>
        <v>0</v>
      </c>
      <c r="W61" s="285" t="n">
        <f aca="false">OperatingCurve!AO86</f>
        <v>0.2205</v>
      </c>
      <c r="X61" s="285" t="n">
        <f aca="false">OperatingCurve!AN86</f>
        <v>0.49</v>
      </c>
      <c r="Y61" s="285" t="n">
        <f aca="false">OperatingCurve!AP86</f>
        <v>0.6125</v>
      </c>
      <c r="AA61" s="285" t="n">
        <f aca="false">OperatingCurve!AR86</f>
        <v>0.196</v>
      </c>
      <c r="AB61" s="285" t="n">
        <f aca="false">OperatingCurve!AQ86</f>
        <v>0.49</v>
      </c>
      <c r="AC61" s="285" t="n">
        <f aca="false">OperatingCurve!AS86</f>
        <v>0.3675</v>
      </c>
      <c r="AE61" s="285" t="n">
        <f aca="false">OperatingCurve!AU86</f>
        <v>-0.534312139259822</v>
      </c>
      <c r="AF61" s="285" t="n">
        <f aca="false">OperatingCurve!AT86</f>
        <v>8.54899422815716</v>
      </c>
      <c r="AG61" s="285" t="n">
        <f aca="false">OperatingCurve!AV86</f>
        <v>10.6862427851964</v>
      </c>
      <c r="AI61" s="285" t="n">
        <f aca="false">OperatingCurve!AX86</f>
        <v>-0.5910375</v>
      </c>
      <c r="AJ61" s="285" t="n">
        <f aca="false">OperatingCurve!AW86</f>
        <v>9.4566</v>
      </c>
      <c r="AK61" s="285" t="n">
        <f aca="false">OperatingCurve!AY86</f>
        <v>11.82075</v>
      </c>
      <c r="AM61" s="286" t="n">
        <f aca="false">OperatingCurve!AL86</f>
        <v>18</v>
      </c>
      <c r="AN61" s="287" t="n">
        <f aca="false">OperatingCurve!AM86</f>
        <v>0.4</v>
      </c>
      <c r="BE61" s="284" t="n">
        <f aca="false">OperatingCurve!V86</f>
        <v>38504</v>
      </c>
      <c r="BF61" s="289" t="n">
        <f aca="false">OperatingCurve!AZ86</f>
        <v>0</v>
      </c>
    </row>
    <row r="62" customFormat="false" ht="12.75" hidden="false" customHeight="false" outlineLevel="0" collapsed="false">
      <c r="A62" s="282" t="n">
        <f aca="false">OperatingCurve!D58</f>
        <v>37653</v>
      </c>
      <c r="B62" s="283" t="n">
        <f aca="false">OperatingCurve!H58</f>
        <v>94.569</v>
      </c>
      <c r="C62" s="283" t="n">
        <f aca="false">OperatingCurve!G58</f>
        <v>100.464</v>
      </c>
      <c r="D62" s="283" t="n">
        <f aca="false">OperatingCurve!I58</f>
        <v>118.449</v>
      </c>
      <c r="E62" s="278"/>
      <c r="F62" s="283" t="n">
        <f aca="false">OperatingCurve!M58</f>
        <v>0</v>
      </c>
      <c r="G62" s="283" t="n">
        <f aca="false">OperatingCurve!L58</f>
        <v>0</v>
      </c>
      <c r="H62" s="283" t="n">
        <f aca="false">OperatingCurve!N58</f>
        <v>0</v>
      </c>
      <c r="I62" s="273"/>
      <c r="J62" s="284" t="n">
        <f aca="false">OperatingCurve!V87</f>
        <v>38534</v>
      </c>
      <c r="K62" s="285" t="n">
        <f aca="false">OperatingCurve!Z87</f>
        <v>0</v>
      </c>
      <c r="L62" s="285" t="n">
        <f aca="false">OperatingCurve!Y87</f>
        <v>0</v>
      </c>
      <c r="M62" s="285" t="n">
        <f aca="false">OperatingCurve!AA87</f>
        <v>0</v>
      </c>
      <c r="O62" s="285" t="n">
        <f aca="false">OperatingCurve!AE87</f>
        <v>0</v>
      </c>
      <c r="P62" s="285" t="n">
        <f aca="false">OperatingCurve!AD87</f>
        <v>0</v>
      </c>
      <c r="Q62" s="285" t="n">
        <f aca="false">OperatingCurve!AF87</f>
        <v>0</v>
      </c>
      <c r="S62" s="285" t="n">
        <f aca="false">OperatingCurve!AJ87</f>
        <v>0</v>
      </c>
      <c r="T62" s="285" t="n">
        <f aca="false">OperatingCurve!AI87</f>
        <v>0</v>
      </c>
      <c r="U62" s="285" t="n">
        <f aca="false">OperatingCurve!AK87</f>
        <v>0</v>
      </c>
      <c r="W62" s="285" t="n">
        <f aca="false">OperatingCurve!AO87</f>
        <v>0.2205</v>
      </c>
      <c r="X62" s="285" t="n">
        <f aca="false">OperatingCurve!AN87</f>
        <v>0.49</v>
      </c>
      <c r="Y62" s="285" t="n">
        <f aca="false">OperatingCurve!AP87</f>
        <v>0.6125</v>
      </c>
      <c r="AA62" s="285" t="n">
        <f aca="false">OperatingCurve!AR87</f>
        <v>0.196</v>
      </c>
      <c r="AB62" s="285" t="n">
        <f aca="false">OperatingCurve!AQ87</f>
        <v>0.49</v>
      </c>
      <c r="AC62" s="285" t="n">
        <f aca="false">OperatingCurve!AS87</f>
        <v>0.3675</v>
      </c>
      <c r="AE62" s="285" t="n">
        <f aca="false">OperatingCurve!AU87</f>
        <v>-0.754368248518309</v>
      </c>
      <c r="AF62" s="285" t="n">
        <f aca="false">OperatingCurve!AT87</f>
        <v>12.069891976293</v>
      </c>
      <c r="AG62" s="285" t="n">
        <f aca="false">OperatingCurve!AV87</f>
        <v>15.0873649703662</v>
      </c>
      <c r="AI62" s="285" t="n">
        <f aca="false">OperatingCurve!AX87</f>
        <v>-0.58515</v>
      </c>
      <c r="AJ62" s="285" t="n">
        <f aca="false">OperatingCurve!AW87</f>
        <v>9.3624</v>
      </c>
      <c r="AK62" s="285" t="n">
        <f aca="false">OperatingCurve!AY87</f>
        <v>11.703</v>
      </c>
      <c r="AM62" s="286" t="n">
        <f aca="false">OperatingCurve!AL87</f>
        <v>19</v>
      </c>
      <c r="AN62" s="287" t="n">
        <f aca="false">OperatingCurve!AM87</f>
        <v>0.4</v>
      </c>
      <c r="BE62" s="284" t="n">
        <f aca="false">OperatingCurve!V87</f>
        <v>38534</v>
      </c>
      <c r="BF62" s="289" t="n">
        <f aca="false">OperatingCurve!AZ87</f>
        <v>0</v>
      </c>
    </row>
    <row r="63" customFormat="false" ht="12.75" hidden="false" customHeight="false" outlineLevel="0" collapsed="false">
      <c r="A63" s="282" t="n">
        <f aca="false">OperatingCurve!D59</f>
        <v>37681</v>
      </c>
      <c r="B63" s="283" t="n">
        <f aca="false">OperatingCurve!H59</f>
        <v>76.041</v>
      </c>
      <c r="C63" s="283" t="n">
        <f aca="false">OperatingCurve!G59</f>
        <v>81.776</v>
      </c>
      <c r="D63" s="283" t="n">
        <f aca="false">OperatingCurve!I59</f>
        <v>99.281</v>
      </c>
      <c r="E63" s="278"/>
      <c r="F63" s="283" t="n">
        <f aca="false">OperatingCurve!M59</f>
        <v>0</v>
      </c>
      <c r="G63" s="283" t="n">
        <f aca="false">OperatingCurve!L59</f>
        <v>0</v>
      </c>
      <c r="H63" s="283" t="n">
        <f aca="false">OperatingCurve!N59</f>
        <v>0</v>
      </c>
      <c r="I63" s="273"/>
      <c r="J63" s="284" t="n">
        <f aca="false">OperatingCurve!V88</f>
        <v>38565</v>
      </c>
      <c r="K63" s="285" t="n">
        <f aca="false">OperatingCurve!Z88</f>
        <v>0</v>
      </c>
      <c r="L63" s="285" t="n">
        <f aca="false">OperatingCurve!Y88</f>
        <v>0</v>
      </c>
      <c r="M63" s="285" t="n">
        <f aca="false">OperatingCurve!AA88</f>
        <v>0</v>
      </c>
      <c r="O63" s="285" t="n">
        <f aca="false">OperatingCurve!AE88</f>
        <v>0</v>
      </c>
      <c r="P63" s="285" t="n">
        <f aca="false">OperatingCurve!AD88</f>
        <v>0</v>
      </c>
      <c r="Q63" s="285" t="n">
        <f aca="false">OperatingCurve!AF88</f>
        <v>0</v>
      </c>
      <c r="S63" s="285" t="n">
        <f aca="false">OperatingCurve!AJ88</f>
        <v>0</v>
      </c>
      <c r="T63" s="285" t="n">
        <f aca="false">OperatingCurve!AI88</f>
        <v>0</v>
      </c>
      <c r="U63" s="285" t="n">
        <f aca="false">OperatingCurve!AK88</f>
        <v>0</v>
      </c>
      <c r="W63" s="285" t="n">
        <f aca="false">OperatingCurve!AO88</f>
        <v>0.2205</v>
      </c>
      <c r="X63" s="285" t="n">
        <f aca="false">OperatingCurve!AN88</f>
        <v>0.49</v>
      </c>
      <c r="Y63" s="285" t="n">
        <f aca="false">OperatingCurve!AP88</f>
        <v>0.6125</v>
      </c>
      <c r="AA63" s="285" t="n">
        <f aca="false">OperatingCurve!AR88</f>
        <v>0.196</v>
      </c>
      <c r="AB63" s="285" t="n">
        <f aca="false">OperatingCurve!AQ88</f>
        <v>0.49</v>
      </c>
      <c r="AC63" s="285" t="n">
        <f aca="false">OperatingCurve!AS88</f>
        <v>0.3675</v>
      </c>
      <c r="AE63" s="285" t="n">
        <f aca="false">OperatingCurve!AU88</f>
        <v>-1.23717188213058</v>
      </c>
      <c r="AF63" s="285" t="n">
        <f aca="false">OperatingCurve!AT88</f>
        <v>19.7947501140894</v>
      </c>
      <c r="AG63" s="285" t="n">
        <f aca="false">OperatingCurve!AV88</f>
        <v>24.7434376426117</v>
      </c>
      <c r="AI63" s="285" t="n">
        <f aca="false">OperatingCurve!AX88</f>
        <v>-0.5792625</v>
      </c>
      <c r="AJ63" s="285" t="n">
        <f aca="false">OperatingCurve!AW88</f>
        <v>9.2682</v>
      </c>
      <c r="AK63" s="285" t="n">
        <f aca="false">OperatingCurve!AY88</f>
        <v>11.58525</v>
      </c>
      <c r="AM63" s="286" t="n">
        <f aca="false">OperatingCurve!AL88</f>
        <v>19</v>
      </c>
      <c r="AN63" s="287" t="n">
        <f aca="false">OperatingCurve!AM88</f>
        <v>0.4</v>
      </c>
      <c r="BE63" s="284" t="n">
        <f aca="false">OperatingCurve!V88</f>
        <v>38565</v>
      </c>
      <c r="BF63" s="289" t="n">
        <f aca="false">OperatingCurve!AZ88</f>
        <v>0</v>
      </c>
    </row>
    <row r="64" customFormat="false" ht="12.75" hidden="false" customHeight="false" outlineLevel="0" collapsed="false">
      <c r="A64" s="282" t="n">
        <f aca="false">OperatingCurve!D60</f>
        <v>37712</v>
      </c>
      <c r="B64" s="283" t="n">
        <f aca="false">OperatingCurve!H60</f>
        <v>44.849</v>
      </c>
      <c r="C64" s="283" t="n">
        <f aca="false">OperatingCurve!G60</f>
        <v>50.304</v>
      </c>
      <c r="D64" s="283" t="n">
        <f aca="false">OperatingCurve!I60</f>
        <v>66.969</v>
      </c>
      <c r="E64" s="278"/>
      <c r="F64" s="283" t="n">
        <f aca="false">OperatingCurve!M60</f>
        <v>0</v>
      </c>
      <c r="G64" s="283" t="n">
        <f aca="false">OperatingCurve!L60</f>
        <v>0</v>
      </c>
      <c r="H64" s="283" t="n">
        <f aca="false">OperatingCurve!N60</f>
        <v>0</v>
      </c>
      <c r="I64" s="273"/>
      <c r="J64" s="284" t="n">
        <f aca="false">OperatingCurve!V89</f>
        <v>38596</v>
      </c>
      <c r="K64" s="285" t="n">
        <f aca="false">OperatingCurve!Z89</f>
        <v>0</v>
      </c>
      <c r="L64" s="285" t="n">
        <f aca="false">OperatingCurve!Y89</f>
        <v>0</v>
      </c>
      <c r="M64" s="285" t="n">
        <f aca="false">OperatingCurve!AA89</f>
        <v>0</v>
      </c>
      <c r="O64" s="285" t="n">
        <f aca="false">OperatingCurve!AE89</f>
        <v>0</v>
      </c>
      <c r="P64" s="285" t="n">
        <f aca="false">OperatingCurve!AD89</f>
        <v>0</v>
      </c>
      <c r="Q64" s="285" t="n">
        <f aca="false">OperatingCurve!AF89</f>
        <v>0</v>
      </c>
      <c r="S64" s="285" t="n">
        <f aca="false">OperatingCurve!AJ89</f>
        <v>0</v>
      </c>
      <c r="T64" s="285" t="n">
        <f aca="false">OperatingCurve!AI89</f>
        <v>0</v>
      </c>
      <c r="U64" s="285" t="n">
        <f aca="false">OperatingCurve!AK89</f>
        <v>0</v>
      </c>
      <c r="W64" s="285" t="n">
        <f aca="false">OperatingCurve!AO89</f>
        <v>0.2205</v>
      </c>
      <c r="X64" s="285" t="n">
        <f aca="false">OperatingCurve!AN89</f>
        <v>0.49</v>
      </c>
      <c r="Y64" s="285" t="n">
        <f aca="false">OperatingCurve!AP89</f>
        <v>0.6125</v>
      </c>
      <c r="AA64" s="285" t="n">
        <f aca="false">OperatingCurve!AR89</f>
        <v>0.196</v>
      </c>
      <c r="AB64" s="285" t="n">
        <f aca="false">OperatingCurve!AQ89</f>
        <v>0.49</v>
      </c>
      <c r="AC64" s="285" t="n">
        <f aca="false">OperatingCurve!AS89</f>
        <v>0.3675</v>
      </c>
      <c r="AE64" s="285" t="n">
        <f aca="false">OperatingCurve!AU89</f>
        <v>-0.842982681887772</v>
      </c>
      <c r="AF64" s="285" t="n">
        <f aca="false">OperatingCurve!AT89</f>
        <v>13.4877229102044</v>
      </c>
      <c r="AG64" s="285" t="n">
        <f aca="false">OperatingCurve!AV89</f>
        <v>16.8596536377554</v>
      </c>
      <c r="AI64" s="285" t="n">
        <f aca="false">OperatingCurve!AX89</f>
        <v>-0.6145875</v>
      </c>
      <c r="AJ64" s="285" t="n">
        <f aca="false">OperatingCurve!AW89</f>
        <v>9.8334</v>
      </c>
      <c r="AK64" s="285" t="n">
        <f aca="false">OperatingCurve!AY89</f>
        <v>12.29175</v>
      </c>
      <c r="AM64" s="286" t="n">
        <f aca="false">OperatingCurve!AL89</f>
        <v>19</v>
      </c>
      <c r="AN64" s="287" t="n">
        <f aca="false">OperatingCurve!AM89</f>
        <v>0.4</v>
      </c>
      <c r="BE64" s="284" t="n">
        <f aca="false">OperatingCurve!V89</f>
        <v>38596</v>
      </c>
      <c r="BF64" s="289" t="n">
        <f aca="false">OperatingCurve!AZ89</f>
        <v>0</v>
      </c>
    </row>
    <row r="65" customFormat="false" ht="12.75" hidden="false" customHeight="false" outlineLevel="0" collapsed="false">
      <c r="A65" s="282" t="n">
        <f aca="false">OperatingCurve!D61</f>
        <v>37742</v>
      </c>
      <c r="B65" s="283" t="n">
        <f aca="false">OperatingCurve!H61</f>
        <v>49.209</v>
      </c>
      <c r="C65" s="283" t="n">
        <f aca="false">OperatingCurve!G61</f>
        <v>54.704</v>
      </c>
      <c r="D65" s="283" t="n">
        <f aca="false">OperatingCurve!I61</f>
        <v>71.489</v>
      </c>
      <c r="E65" s="278"/>
      <c r="F65" s="283" t="n">
        <f aca="false">OperatingCurve!M61</f>
        <v>0</v>
      </c>
      <c r="G65" s="283" t="n">
        <f aca="false">OperatingCurve!L61</f>
        <v>0</v>
      </c>
      <c r="H65" s="283" t="n">
        <f aca="false">OperatingCurve!N61</f>
        <v>0</v>
      </c>
      <c r="I65" s="273"/>
      <c r="J65" s="284" t="n">
        <f aca="false">OperatingCurve!V90</f>
        <v>38626</v>
      </c>
      <c r="K65" s="285" t="n">
        <f aca="false">OperatingCurve!Z90</f>
        <v>0</v>
      </c>
      <c r="L65" s="285" t="n">
        <f aca="false">OperatingCurve!Y90</f>
        <v>0</v>
      </c>
      <c r="M65" s="285" t="n">
        <f aca="false">OperatingCurve!AA90</f>
        <v>0</v>
      </c>
      <c r="O65" s="285" t="n">
        <f aca="false">OperatingCurve!AE90</f>
        <v>0</v>
      </c>
      <c r="P65" s="285" t="n">
        <f aca="false">OperatingCurve!AD90</f>
        <v>0</v>
      </c>
      <c r="Q65" s="285" t="n">
        <f aca="false">OperatingCurve!AF90</f>
        <v>0</v>
      </c>
      <c r="S65" s="285" t="n">
        <f aca="false">OperatingCurve!AJ90</f>
        <v>0</v>
      </c>
      <c r="T65" s="285" t="n">
        <f aca="false">OperatingCurve!AI90</f>
        <v>0</v>
      </c>
      <c r="U65" s="285" t="n">
        <f aca="false">OperatingCurve!AK90</f>
        <v>0</v>
      </c>
      <c r="W65" s="285" t="n">
        <f aca="false">OperatingCurve!AO90</f>
        <v>0.2205</v>
      </c>
      <c r="X65" s="285" t="n">
        <f aca="false">OperatingCurve!AN90</f>
        <v>0.49</v>
      </c>
      <c r="Y65" s="285" t="n">
        <f aca="false">OperatingCurve!AP90</f>
        <v>0.6125</v>
      </c>
      <c r="AA65" s="285" t="n">
        <f aca="false">OperatingCurve!AR90</f>
        <v>0.196</v>
      </c>
      <c r="AB65" s="285" t="n">
        <f aca="false">OperatingCurve!AQ90</f>
        <v>0.49</v>
      </c>
      <c r="AC65" s="285" t="n">
        <f aca="false">OperatingCurve!AS90</f>
        <v>0.3675</v>
      </c>
      <c r="AE65" s="285" t="n">
        <f aca="false">OperatingCurve!AU90</f>
        <v>-0.500543619112672</v>
      </c>
      <c r="AF65" s="285" t="n">
        <f aca="false">OperatingCurve!AT90</f>
        <v>8.00869790580275</v>
      </c>
      <c r="AG65" s="285" t="n">
        <f aca="false">OperatingCurve!AV90</f>
        <v>10.0108723822534</v>
      </c>
      <c r="AI65" s="285" t="n">
        <f aca="false">OperatingCurve!AX90</f>
        <v>-0.6028125</v>
      </c>
      <c r="AJ65" s="285" t="n">
        <f aca="false">OperatingCurve!AW90</f>
        <v>9.645</v>
      </c>
      <c r="AK65" s="285" t="n">
        <f aca="false">OperatingCurve!AY90</f>
        <v>12.05625</v>
      </c>
      <c r="AM65" s="286" t="n">
        <f aca="false">OperatingCurve!AL90</f>
        <v>20</v>
      </c>
      <c r="AN65" s="287" t="n">
        <f aca="false">OperatingCurve!AM90</f>
        <v>0.4</v>
      </c>
      <c r="BE65" s="284" t="n">
        <f aca="false">OperatingCurve!V90</f>
        <v>38626</v>
      </c>
      <c r="BF65" s="289" t="n">
        <f aca="false">OperatingCurve!AZ90</f>
        <v>0</v>
      </c>
    </row>
    <row r="66" customFormat="false" ht="12.75" hidden="false" customHeight="false" outlineLevel="0" collapsed="false">
      <c r="A66" s="282" t="n">
        <f aca="false">OperatingCurve!D62</f>
        <v>37773</v>
      </c>
      <c r="B66" s="283" t="n">
        <f aca="false">OperatingCurve!H62</f>
        <v>59.136</v>
      </c>
      <c r="C66" s="283" t="n">
        <f aca="false">OperatingCurve!G62</f>
        <v>64.721</v>
      </c>
      <c r="D66" s="283" t="n">
        <f aca="false">OperatingCurve!I62</f>
        <v>81.776</v>
      </c>
      <c r="E66" s="278"/>
      <c r="F66" s="283" t="n">
        <f aca="false">OperatingCurve!M62</f>
        <v>0</v>
      </c>
      <c r="G66" s="283" t="n">
        <f aca="false">OperatingCurve!L62</f>
        <v>0</v>
      </c>
      <c r="H66" s="283" t="n">
        <f aca="false">OperatingCurve!N62</f>
        <v>0</v>
      </c>
      <c r="I66" s="273"/>
      <c r="J66" s="284" t="n">
        <f aca="false">OperatingCurve!V91</f>
        <v>38657</v>
      </c>
      <c r="K66" s="285" t="n">
        <f aca="false">OperatingCurve!Z91</f>
        <v>0</v>
      </c>
      <c r="L66" s="285" t="n">
        <f aca="false">OperatingCurve!Y91</f>
        <v>0</v>
      </c>
      <c r="M66" s="285" t="n">
        <f aca="false">OperatingCurve!AA91</f>
        <v>0</v>
      </c>
      <c r="O66" s="285" t="n">
        <f aca="false">OperatingCurve!AE91</f>
        <v>0</v>
      </c>
      <c r="P66" s="285" t="n">
        <f aca="false">OperatingCurve!AD91</f>
        <v>0</v>
      </c>
      <c r="Q66" s="285" t="n">
        <f aca="false">OperatingCurve!AF91</f>
        <v>0</v>
      </c>
      <c r="S66" s="285" t="n">
        <f aca="false">OperatingCurve!AJ91</f>
        <v>0</v>
      </c>
      <c r="T66" s="285" t="n">
        <f aca="false">OperatingCurve!AI91</f>
        <v>0</v>
      </c>
      <c r="U66" s="285" t="n">
        <f aca="false">OperatingCurve!AK91</f>
        <v>0</v>
      </c>
      <c r="W66" s="285" t="n">
        <f aca="false">OperatingCurve!AO91</f>
        <v>0.2205</v>
      </c>
      <c r="X66" s="285" t="n">
        <f aca="false">OperatingCurve!AN91</f>
        <v>0.49</v>
      </c>
      <c r="Y66" s="285" t="n">
        <f aca="false">OperatingCurve!AP91</f>
        <v>0.6125</v>
      </c>
      <c r="AA66" s="285" t="n">
        <f aca="false">OperatingCurve!AR91</f>
        <v>0.196</v>
      </c>
      <c r="AB66" s="285" t="n">
        <f aca="false">OperatingCurve!AQ91</f>
        <v>0.49</v>
      </c>
      <c r="AC66" s="285" t="n">
        <f aca="false">OperatingCurve!AS91</f>
        <v>0.3675</v>
      </c>
      <c r="AE66" s="285" t="n">
        <f aca="false">OperatingCurve!AU91</f>
        <v>-0.534312139259822</v>
      </c>
      <c r="AF66" s="285" t="n">
        <f aca="false">OperatingCurve!AT91</f>
        <v>8.54899422815716</v>
      </c>
      <c r="AG66" s="285" t="n">
        <f aca="false">OperatingCurve!AV91</f>
        <v>10.6862427851964</v>
      </c>
      <c r="AI66" s="285" t="n">
        <f aca="false">OperatingCurve!AX91</f>
        <v>-0.6263625</v>
      </c>
      <c r="AJ66" s="285" t="n">
        <f aca="false">OperatingCurve!AW91</f>
        <v>10.0218</v>
      </c>
      <c r="AK66" s="285" t="n">
        <f aca="false">OperatingCurve!AY91</f>
        <v>12.52725</v>
      </c>
      <c r="AM66" s="286" t="n">
        <f aca="false">OperatingCurve!AL91</f>
        <v>20</v>
      </c>
      <c r="AN66" s="287" t="n">
        <f aca="false">OperatingCurve!AM91</f>
        <v>0.4</v>
      </c>
      <c r="BE66" s="284" t="n">
        <f aca="false">OperatingCurve!V91</f>
        <v>38657</v>
      </c>
      <c r="BF66" s="289" t="n">
        <f aca="false">OperatingCurve!AZ91</f>
        <v>0</v>
      </c>
    </row>
    <row r="67" customFormat="false" ht="12.75" hidden="false" customHeight="false" outlineLevel="0" collapsed="false">
      <c r="A67" s="282" t="n">
        <f aca="false">OperatingCurve!D63</f>
        <v>37803</v>
      </c>
      <c r="B67" s="283" t="n">
        <f aca="false">OperatingCurve!H63</f>
        <v>82.929</v>
      </c>
      <c r="C67" s="283" t="n">
        <f aca="false">OperatingCurve!G63</f>
        <v>88.724</v>
      </c>
      <c r="D67" s="283" t="n">
        <f aca="false">OperatingCurve!I63</f>
        <v>106.409</v>
      </c>
      <c r="E67" s="278"/>
      <c r="F67" s="283" t="n">
        <f aca="false">OperatingCurve!M63</f>
        <v>0</v>
      </c>
      <c r="G67" s="283" t="n">
        <f aca="false">OperatingCurve!L63</f>
        <v>0</v>
      </c>
      <c r="H67" s="283" t="n">
        <f aca="false">OperatingCurve!N63</f>
        <v>0</v>
      </c>
      <c r="I67" s="273"/>
      <c r="J67" s="284" t="n">
        <f aca="false">OperatingCurve!V92</f>
        <v>38687</v>
      </c>
      <c r="K67" s="285" t="n">
        <f aca="false">OperatingCurve!Z92</f>
        <v>0</v>
      </c>
      <c r="L67" s="285" t="n">
        <f aca="false">OperatingCurve!Y92</f>
        <v>0</v>
      </c>
      <c r="M67" s="285" t="n">
        <f aca="false">OperatingCurve!AA92</f>
        <v>0</v>
      </c>
      <c r="O67" s="285" t="n">
        <f aca="false">OperatingCurve!AE92</f>
        <v>0</v>
      </c>
      <c r="P67" s="285" t="n">
        <f aca="false">OperatingCurve!AD92</f>
        <v>0</v>
      </c>
      <c r="Q67" s="285" t="n">
        <f aca="false">OperatingCurve!AF92</f>
        <v>0</v>
      </c>
      <c r="S67" s="285" t="n">
        <f aca="false">OperatingCurve!AJ92</f>
        <v>0</v>
      </c>
      <c r="T67" s="285" t="n">
        <f aca="false">OperatingCurve!AI92</f>
        <v>0</v>
      </c>
      <c r="U67" s="285" t="n">
        <f aca="false">OperatingCurve!AK92</f>
        <v>0</v>
      </c>
      <c r="W67" s="285" t="n">
        <f aca="false">OperatingCurve!AO92</f>
        <v>0.22275</v>
      </c>
      <c r="X67" s="285" t="n">
        <f aca="false">OperatingCurve!AN92</f>
        <v>0.495</v>
      </c>
      <c r="Y67" s="285" t="n">
        <f aca="false">OperatingCurve!AP92</f>
        <v>0.61875</v>
      </c>
      <c r="AA67" s="285" t="n">
        <f aca="false">OperatingCurve!AR92</f>
        <v>0.198</v>
      </c>
      <c r="AB67" s="285" t="n">
        <f aca="false">OperatingCurve!AQ92</f>
        <v>0.495</v>
      </c>
      <c r="AC67" s="285" t="n">
        <f aca="false">OperatingCurve!AS92</f>
        <v>0.37125</v>
      </c>
      <c r="AE67" s="285" t="n">
        <f aca="false">OperatingCurve!AU92</f>
        <v>-0.865546068391296</v>
      </c>
      <c r="AF67" s="285" t="n">
        <f aca="false">OperatingCurve!AT92</f>
        <v>13.8487370942607</v>
      </c>
      <c r="AG67" s="285" t="n">
        <f aca="false">OperatingCurve!AV92</f>
        <v>17.3109213678259</v>
      </c>
      <c r="AI67" s="285" t="n">
        <f aca="false">OperatingCurve!AX92</f>
        <v>-0.63225</v>
      </c>
      <c r="AJ67" s="285" t="n">
        <f aca="false">OperatingCurve!AW92</f>
        <v>10.116</v>
      </c>
      <c r="AK67" s="285" t="n">
        <f aca="false">OperatingCurve!AY92</f>
        <v>12.645</v>
      </c>
      <c r="AM67" s="286" t="n">
        <f aca="false">OperatingCurve!AL92</f>
        <v>20</v>
      </c>
      <c r="AN67" s="287" t="n">
        <f aca="false">OperatingCurve!AM92</f>
        <v>0.4</v>
      </c>
      <c r="BE67" s="284" t="n">
        <f aca="false">OperatingCurve!V92</f>
        <v>38687</v>
      </c>
      <c r="BF67" s="289" t="n">
        <f aca="false">OperatingCurve!AZ92</f>
        <v>0</v>
      </c>
    </row>
    <row r="68" customFormat="false" ht="12.75" hidden="false" customHeight="false" outlineLevel="0" collapsed="false">
      <c r="A68" s="282" t="n">
        <f aca="false">OperatingCurve!D64</f>
        <v>37834</v>
      </c>
      <c r="B68" s="283" t="n">
        <f aca="false">OperatingCurve!H64</f>
        <v>122.1</v>
      </c>
      <c r="C68" s="283" t="n">
        <f aca="false">OperatingCurve!G64</f>
        <v>128.225</v>
      </c>
      <c r="D68" s="283" t="n">
        <f aca="false">OperatingCurve!I64</f>
        <v>146.9</v>
      </c>
      <c r="E68" s="278"/>
      <c r="F68" s="283" t="n">
        <f aca="false">OperatingCurve!M64</f>
        <v>0</v>
      </c>
      <c r="G68" s="283" t="n">
        <f aca="false">OperatingCurve!L64</f>
        <v>0</v>
      </c>
      <c r="H68" s="283" t="n">
        <f aca="false">OperatingCurve!N64</f>
        <v>0</v>
      </c>
      <c r="I68" s="273"/>
      <c r="J68" s="284" t="n">
        <f aca="false">OperatingCurve!V93</f>
        <v>38718</v>
      </c>
      <c r="K68" s="285" t="n">
        <f aca="false">OperatingCurve!Z93</f>
        <v>0</v>
      </c>
      <c r="L68" s="285" t="n">
        <f aca="false">OperatingCurve!Y93</f>
        <v>0</v>
      </c>
      <c r="M68" s="285" t="n">
        <f aca="false">OperatingCurve!AA93</f>
        <v>0</v>
      </c>
      <c r="O68" s="285" t="n">
        <f aca="false">OperatingCurve!AE93</f>
        <v>0</v>
      </c>
      <c r="P68" s="285" t="n">
        <f aca="false">OperatingCurve!AD93</f>
        <v>0</v>
      </c>
      <c r="Q68" s="285" t="n">
        <f aca="false">OperatingCurve!AF93</f>
        <v>0</v>
      </c>
      <c r="S68" s="285" t="n">
        <f aca="false">OperatingCurve!AJ93</f>
        <v>0</v>
      </c>
      <c r="T68" s="285" t="n">
        <f aca="false">OperatingCurve!AI93</f>
        <v>0</v>
      </c>
      <c r="U68" s="285" t="n">
        <f aca="false">OperatingCurve!AK93</f>
        <v>0</v>
      </c>
      <c r="W68" s="285" t="n">
        <f aca="false">OperatingCurve!AO93</f>
        <v>0.22275</v>
      </c>
      <c r="X68" s="285" t="n">
        <f aca="false">OperatingCurve!AN93</f>
        <v>0.495</v>
      </c>
      <c r="Y68" s="285" t="n">
        <f aca="false">OperatingCurve!AP93</f>
        <v>0.61875</v>
      </c>
      <c r="AA68" s="285" t="n">
        <f aca="false">OperatingCurve!AR93</f>
        <v>0.198</v>
      </c>
      <c r="AB68" s="285" t="n">
        <f aca="false">OperatingCurve!AQ93</f>
        <v>0.495</v>
      </c>
      <c r="AC68" s="285" t="n">
        <f aca="false">OperatingCurve!AS93</f>
        <v>0.37125</v>
      </c>
      <c r="AE68" s="285" t="n">
        <f aca="false">OperatingCurve!AU93</f>
        <v>-0.469739398126976</v>
      </c>
      <c r="AF68" s="285" t="n">
        <f aca="false">OperatingCurve!AT93</f>
        <v>7.51583037003162</v>
      </c>
      <c r="AG68" s="285" t="n">
        <f aca="false">OperatingCurve!AV93</f>
        <v>9.39478796253952</v>
      </c>
      <c r="AI68" s="285" t="n">
        <f aca="false">OperatingCurve!AX93</f>
        <v>-0.644025</v>
      </c>
      <c r="AJ68" s="285" t="n">
        <f aca="false">OperatingCurve!AW93</f>
        <v>10.3044</v>
      </c>
      <c r="AK68" s="285" t="n">
        <f aca="false">OperatingCurve!AY93</f>
        <v>12.8805</v>
      </c>
      <c r="AM68" s="286" t="n">
        <f aca="false">OperatingCurve!AL93</f>
        <v>21</v>
      </c>
      <c r="AN68" s="287" t="n">
        <f aca="false">OperatingCurve!AM93</f>
        <v>0.4</v>
      </c>
      <c r="BE68" s="284" t="n">
        <f aca="false">OperatingCurve!V93</f>
        <v>38718</v>
      </c>
      <c r="BF68" s="289" t="n">
        <f aca="false">OperatingCurve!AZ93</f>
        <v>0</v>
      </c>
    </row>
    <row r="69" customFormat="false" ht="12.75" hidden="false" customHeight="false" outlineLevel="0" collapsed="false">
      <c r="A69" s="282" t="n">
        <f aca="false">OperatingCurve!D65</f>
        <v>37865</v>
      </c>
      <c r="B69" s="283" t="n">
        <f aca="false">OperatingCurve!H65</f>
        <v>89.889</v>
      </c>
      <c r="C69" s="283" t="n">
        <f aca="false">OperatingCurve!G65</f>
        <v>95.744</v>
      </c>
      <c r="D69" s="283" t="n">
        <f aca="false">OperatingCurve!I65</f>
        <v>113.609</v>
      </c>
      <c r="E69" s="278"/>
      <c r="F69" s="283" t="n">
        <f aca="false">OperatingCurve!M65</f>
        <v>0</v>
      </c>
      <c r="G69" s="283" t="n">
        <f aca="false">OperatingCurve!L65</f>
        <v>0</v>
      </c>
      <c r="H69" s="283" t="n">
        <f aca="false">OperatingCurve!N65</f>
        <v>0</v>
      </c>
      <c r="I69" s="273"/>
      <c r="J69" s="284" t="n">
        <f aca="false">OperatingCurve!V94</f>
        <v>38749</v>
      </c>
      <c r="K69" s="285" t="n">
        <f aca="false">OperatingCurve!Z94</f>
        <v>0</v>
      </c>
      <c r="L69" s="285" t="n">
        <f aca="false">OperatingCurve!Y94</f>
        <v>0</v>
      </c>
      <c r="M69" s="285" t="n">
        <f aca="false">OperatingCurve!AA94</f>
        <v>0</v>
      </c>
      <c r="O69" s="285" t="n">
        <f aca="false">OperatingCurve!AE94</f>
        <v>0</v>
      </c>
      <c r="P69" s="285" t="n">
        <f aca="false">OperatingCurve!AD94</f>
        <v>0</v>
      </c>
      <c r="Q69" s="285" t="n">
        <f aca="false">OperatingCurve!AF94</f>
        <v>0</v>
      </c>
      <c r="S69" s="285" t="n">
        <f aca="false">OperatingCurve!AJ94</f>
        <v>0</v>
      </c>
      <c r="T69" s="285" t="n">
        <f aca="false">OperatingCurve!AI94</f>
        <v>0</v>
      </c>
      <c r="U69" s="285" t="n">
        <f aca="false">OperatingCurve!AK94</f>
        <v>0</v>
      </c>
      <c r="W69" s="285" t="n">
        <f aca="false">OperatingCurve!AO94</f>
        <v>0.2205</v>
      </c>
      <c r="X69" s="285" t="n">
        <f aca="false">OperatingCurve!AN94</f>
        <v>0.49</v>
      </c>
      <c r="Y69" s="285" t="n">
        <f aca="false">OperatingCurve!AP94</f>
        <v>0.6125</v>
      </c>
      <c r="AA69" s="285" t="n">
        <f aca="false">OperatingCurve!AR94</f>
        <v>0.196</v>
      </c>
      <c r="AB69" s="285" t="n">
        <f aca="false">OperatingCurve!AQ94</f>
        <v>0.49</v>
      </c>
      <c r="AC69" s="285" t="n">
        <f aca="false">OperatingCurve!AS94</f>
        <v>0.3675</v>
      </c>
      <c r="AE69" s="285" t="n">
        <f aca="false">OperatingCurve!AU94</f>
        <v>-0.419655399211954</v>
      </c>
      <c r="AF69" s="285" t="n">
        <f aca="false">OperatingCurve!AT94</f>
        <v>6.71448638739126</v>
      </c>
      <c r="AG69" s="285" t="n">
        <f aca="false">OperatingCurve!AV94</f>
        <v>8.39310798423907</v>
      </c>
      <c r="AI69" s="285" t="n">
        <f aca="false">OperatingCurve!AX94</f>
        <v>-0.6499125</v>
      </c>
      <c r="AJ69" s="285" t="n">
        <f aca="false">OperatingCurve!AW94</f>
        <v>10.3986</v>
      </c>
      <c r="AK69" s="285" t="n">
        <f aca="false">OperatingCurve!AY94</f>
        <v>12.99825</v>
      </c>
      <c r="AM69" s="286" t="n">
        <f aca="false">OperatingCurve!AL94</f>
        <v>21</v>
      </c>
      <c r="AN69" s="287" t="n">
        <f aca="false">OperatingCurve!AM94</f>
        <v>0.4</v>
      </c>
      <c r="BE69" s="284" t="n">
        <f aca="false">OperatingCurve!V94</f>
        <v>38749</v>
      </c>
      <c r="BF69" s="289" t="n">
        <f aca="false">OperatingCurve!AZ94</f>
        <v>0</v>
      </c>
    </row>
    <row r="70" customFormat="false" ht="12.75" hidden="false" customHeight="false" outlineLevel="0" collapsed="false">
      <c r="A70" s="282" t="n">
        <f aca="false">OperatingCurve!D66</f>
        <v>37895</v>
      </c>
      <c r="B70" s="283" t="n">
        <f aca="false">OperatingCurve!H66</f>
        <v>56.916</v>
      </c>
      <c r="C70" s="283" t="n">
        <f aca="false">OperatingCurve!G66</f>
        <v>62.481</v>
      </c>
      <c r="D70" s="283" t="n">
        <f aca="false">OperatingCurve!I66</f>
        <v>79.476</v>
      </c>
      <c r="E70" s="278"/>
      <c r="F70" s="283" t="n">
        <f aca="false">OperatingCurve!M66</f>
        <v>0</v>
      </c>
      <c r="G70" s="283" t="n">
        <f aca="false">OperatingCurve!L66</f>
        <v>0</v>
      </c>
      <c r="H70" s="283" t="n">
        <f aca="false">OperatingCurve!N66</f>
        <v>0</v>
      </c>
      <c r="I70" s="273"/>
      <c r="J70" s="284" t="n">
        <f aca="false">OperatingCurve!V95</f>
        <v>38777</v>
      </c>
      <c r="K70" s="285" t="n">
        <f aca="false">OperatingCurve!Z95</f>
        <v>0</v>
      </c>
      <c r="L70" s="285" t="n">
        <f aca="false">OperatingCurve!Y95</f>
        <v>0</v>
      </c>
      <c r="M70" s="285" t="n">
        <f aca="false">OperatingCurve!AA95</f>
        <v>0</v>
      </c>
      <c r="O70" s="285" t="n">
        <f aca="false">OperatingCurve!AE95</f>
        <v>0</v>
      </c>
      <c r="P70" s="285" t="n">
        <f aca="false">OperatingCurve!AD95</f>
        <v>0</v>
      </c>
      <c r="Q70" s="285" t="n">
        <f aca="false">OperatingCurve!AF95</f>
        <v>0</v>
      </c>
      <c r="S70" s="285" t="n">
        <f aca="false">OperatingCurve!AJ95</f>
        <v>0</v>
      </c>
      <c r="T70" s="285" t="n">
        <f aca="false">OperatingCurve!AI95</f>
        <v>0</v>
      </c>
      <c r="U70" s="285" t="n">
        <f aca="false">OperatingCurve!AK95</f>
        <v>0</v>
      </c>
      <c r="W70" s="285" t="n">
        <f aca="false">OperatingCurve!AO95</f>
        <v>0.21375</v>
      </c>
      <c r="X70" s="285" t="n">
        <f aca="false">OperatingCurve!AN95</f>
        <v>0.475</v>
      </c>
      <c r="Y70" s="285" t="n">
        <f aca="false">OperatingCurve!AP95</f>
        <v>0.59375</v>
      </c>
      <c r="AA70" s="285" t="n">
        <f aca="false">OperatingCurve!AR95</f>
        <v>0.19</v>
      </c>
      <c r="AB70" s="285" t="n">
        <f aca="false">OperatingCurve!AQ95</f>
        <v>0.475</v>
      </c>
      <c r="AC70" s="285" t="n">
        <f aca="false">OperatingCurve!AS95</f>
        <v>0.35625</v>
      </c>
      <c r="AE70" s="285" t="n">
        <f aca="false">OperatingCurve!AU95</f>
        <v>-0.410147476715089</v>
      </c>
      <c r="AF70" s="285" t="n">
        <f aca="false">OperatingCurve!AT95</f>
        <v>6.56235962744143</v>
      </c>
      <c r="AG70" s="285" t="n">
        <f aca="false">OperatingCurve!AV95</f>
        <v>8.20294953430178</v>
      </c>
      <c r="AI70" s="285" t="n">
        <f aca="false">OperatingCurve!AX95</f>
        <v>-0.6558</v>
      </c>
      <c r="AJ70" s="285" t="n">
        <f aca="false">OperatingCurve!AW95</f>
        <v>10.4928</v>
      </c>
      <c r="AK70" s="285" t="n">
        <f aca="false">OperatingCurve!AY95</f>
        <v>13.116</v>
      </c>
      <c r="AM70" s="286" t="n">
        <f aca="false">OperatingCurve!AL95</f>
        <v>21</v>
      </c>
      <c r="AN70" s="287" t="n">
        <f aca="false">OperatingCurve!AM95</f>
        <v>0.4</v>
      </c>
      <c r="BE70" s="284" t="n">
        <f aca="false">OperatingCurve!V95</f>
        <v>38777</v>
      </c>
      <c r="BF70" s="289" t="n">
        <f aca="false">OperatingCurve!AZ95</f>
        <v>0</v>
      </c>
    </row>
    <row r="71" customFormat="false" ht="12.75" hidden="false" customHeight="false" outlineLevel="0" collapsed="false">
      <c r="A71" s="282" t="n">
        <f aca="false">OperatingCurve!D67</f>
        <v>37926</v>
      </c>
      <c r="B71" s="283" t="n">
        <f aca="false">OperatingCurve!H67</f>
        <v>63.6</v>
      </c>
      <c r="C71" s="283" t="n">
        <f aca="false">OperatingCurve!G67</f>
        <v>69.225</v>
      </c>
      <c r="D71" s="283" t="n">
        <f aca="false">OperatingCurve!I67</f>
        <v>86.4</v>
      </c>
      <c r="E71" s="278"/>
      <c r="F71" s="283" t="n">
        <f aca="false">OperatingCurve!M67</f>
        <v>0</v>
      </c>
      <c r="G71" s="283" t="n">
        <f aca="false">OperatingCurve!L67</f>
        <v>0</v>
      </c>
      <c r="H71" s="283" t="n">
        <f aca="false">OperatingCurve!N67</f>
        <v>0</v>
      </c>
      <c r="I71" s="273"/>
      <c r="J71" s="284" t="n">
        <f aca="false">OperatingCurve!V96</f>
        <v>38808</v>
      </c>
      <c r="K71" s="285" t="n">
        <f aca="false">OperatingCurve!Z96</f>
        <v>0</v>
      </c>
      <c r="L71" s="285" t="n">
        <f aca="false">OperatingCurve!Y96</f>
        <v>0</v>
      </c>
      <c r="M71" s="285" t="n">
        <f aca="false">OperatingCurve!AA96</f>
        <v>0</v>
      </c>
      <c r="O71" s="285" t="n">
        <f aca="false">OperatingCurve!AE96</f>
        <v>0</v>
      </c>
      <c r="P71" s="285" t="n">
        <f aca="false">OperatingCurve!AD96</f>
        <v>0</v>
      </c>
      <c r="Q71" s="285" t="n">
        <f aca="false">OperatingCurve!AF96</f>
        <v>0</v>
      </c>
      <c r="S71" s="285" t="n">
        <f aca="false">OperatingCurve!AJ96</f>
        <v>0</v>
      </c>
      <c r="T71" s="285" t="n">
        <f aca="false">OperatingCurve!AI96</f>
        <v>0</v>
      </c>
      <c r="U71" s="285" t="n">
        <f aca="false">OperatingCurve!AK96</f>
        <v>0</v>
      </c>
      <c r="W71" s="285" t="n">
        <f aca="false">OperatingCurve!AO96</f>
        <v>0.21375</v>
      </c>
      <c r="X71" s="285" t="n">
        <f aca="false">OperatingCurve!AN96</f>
        <v>0.475</v>
      </c>
      <c r="Y71" s="285" t="n">
        <f aca="false">OperatingCurve!AP96</f>
        <v>0.59375</v>
      </c>
      <c r="AA71" s="285" t="n">
        <f aca="false">OperatingCurve!AR96</f>
        <v>0.19</v>
      </c>
      <c r="AB71" s="285" t="n">
        <f aca="false">OperatingCurve!AQ96</f>
        <v>0.475</v>
      </c>
      <c r="AC71" s="285" t="n">
        <f aca="false">OperatingCurve!AS96</f>
        <v>0.35625</v>
      </c>
      <c r="AE71" s="285" t="n">
        <f aca="false">OperatingCurve!AU96</f>
        <v>-0.402107379613998</v>
      </c>
      <c r="AF71" s="285" t="n">
        <f aca="false">OperatingCurve!AT96</f>
        <v>6.43371807382396</v>
      </c>
      <c r="AG71" s="285" t="n">
        <f aca="false">OperatingCurve!AV96</f>
        <v>8.04214759227995</v>
      </c>
      <c r="AI71" s="285" t="n">
        <f aca="false">OperatingCurve!AX96</f>
        <v>-0.6616875</v>
      </c>
      <c r="AJ71" s="285" t="n">
        <f aca="false">OperatingCurve!AW96</f>
        <v>10.587</v>
      </c>
      <c r="AK71" s="285" t="n">
        <f aca="false">OperatingCurve!AY96</f>
        <v>13.23375</v>
      </c>
      <c r="AM71" s="286" t="n">
        <f aca="false">OperatingCurve!AL96</f>
        <v>22</v>
      </c>
      <c r="AN71" s="287" t="n">
        <f aca="false">OperatingCurve!AM96</f>
        <v>0.4</v>
      </c>
      <c r="BE71" s="284" t="n">
        <f aca="false">OperatingCurve!V96</f>
        <v>38808</v>
      </c>
      <c r="BF71" s="289" t="n">
        <f aca="false">OperatingCurve!AZ96</f>
        <v>0</v>
      </c>
    </row>
    <row r="72" customFormat="false" ht="12.75" hidden="false" customHeight="false" outlineLevel="0" collapsed="false">
      <c r="A72" s="282" t="n">
        <f aca="false">OperatingCurve!D68</f>
        <v>37956</v>
      </c>
      <c r="B72" s="283" t="n">
        <f aca="false">OperatingCurve!H68</f>
        <v>95.744</v>
      </c>
      <c r="C72" s="283" t="n">
        <f aca="false">OperatingCurve!G68</f>
        <v>101.649</v>
      </c>
      <c r="D72" s="283" t="n">
        <f aca="false">OperatingCurve!I68</f>
        <v>119.664</v>
      </c>
      <c r="E72" s="278"/>
      <c r="F72" s="283" t="n">
        <f aca="false">OperatingCurve!M68</f>
        <v>0</v>
      </c>
      <c r="G72" s="283" t="n">
        <f aca="false">OperatingCurve!L68</f>
        <v>0</v>
      </c>
      <c r="H72" s="283" t="n">
        <f aca="false">OperatingCurve!N68</f>
        <v>0</v>
      </c>
      <c r="I72" s="273"/>
      <c r="J72" s="284" t="n">
        <f aca="false">OperatingCurve!V97</f>
        <v>38838</v>
      </c>
      <c r="K72" s="285" t="n">
        <f aca="false">OperatingCurve!Z97</f>
        <v>0</v>
      </c>
      <c r="L72" s="285" t="n">
        <f aca="false">OperatingCurve!Y97</f>
        <v>0</v>
      </c>
      <c r="M72" s="285" t="n">
        <f aca="false">OperatingCurve!AA97</f>
        <v>0</v>
      </c>
      <c r="O72" s="285" t="n">
        <f aca="false">OperatingCurve!AE97</f>
        <v>0</v>
      </c>
      <c r="P72" s="285" t="n">
        <f aca="false">OperatingCurve!AD97</f>
        <v>0</v>
      </c>
      <c r="Q72" s="285" t="n">
        <f aca="false">OperatingCurve!AF97</f>
        <v>0</v>
      </c>
      <c r="S72" s="285" t="n">
        <f aca="false">OperatingCurve!AJ97</f>
        <v>0</v>
      </c>
      <c r="T72" s="285" t="n">
        <f aca="false">OperatingCurve!AI97</f>
        <v>0</v>
      </c>
      <c r="U72" s="285" t="n">
        <f aca="false">OperatingCurve!AK97</f>
        <v>0</v>
      </c>
      <c r="W72" s="285" t="n">
        <f aca="false">OperatingCurve!AO97</f>
        <v>0.2115</v>
      </c>
      <c r="X72" s="285" t="n">
        <f aca="false">OperatingCurve!AN97</f>
        <v>0.47</v>
      </c>
      <c r="Y72" s="285" t="n">
        <f aca="false">OperatingCurve!AP97</f>
        <v>0.5875</v>
      </c>
      <c r="AA72" s="285" t="n">
        <f aca="false">OperatingCurve!AR97</f>
        <v>0.188</v>
      </c>
      <c r="AB72" s="285" t="n">
        <f aca="false">OperatingCurve!AQ97</f>
        <v>0.47</v>
      </c>
      <c r="AC72" s="285" t="n">
        <f aca="false">OperatingCurve!AS97</f>
        <v>0.3525</v>
      </c>
      <c r="AE72" s="285" t="n">
        <f aca="false">OperatingCurve!AU97</f>
        <v>-0.43048858158097</v>
      </c>
      <c r="AF72" s="285" t="n">
        <f aca="false">OperatingCurve!AT97</f>
        <v>6.88781730529552</v>
      </c>
      <c r="AG72" s="285" t="n">
        <f aca="false">OperatingCurve!AV97</f>
        <v>8.60977163161941</v>
      </c>
      <c r="AI72" s="285" t="n">
        <f aca="false">OperatingCurve!AX97</f>
        <v>-0.644025</v>
      </c>
      <c r="AJ72" s="285" t="n">
        <f aca="false">OperatingCurve!AW97</f>
        <v>10.3044</v>
      </c>
      <c r="AK72" s="285" t="n">
        <f aca="false">OperatingCurve!AY97</f>
        <v>12.8805</v>
      </c>
      <c r="AM72" s="286" t="n">
        <f aca="false">OperatingCurve!AL97</f>
        <v>22</v>
      </c>
      <c r="AN72" s="287" t="n">
        <f aca="false">OperatingCurve!AM97</f>
        <v>0.4</v>
      </c>
      <c r="BE72" s="284" t="n">
        <f aca="false">OperatingCurve!V97</f>
        <v>38838</v>
      </c>
      <c r="BF72" s="289" t="n">
        <f aca="false">OperatingCurve!AZ97</f>
        <v>0</v>
      </c>
    </row>
    <row r="73" customFormat="false" ht="12.75" hidden="false" customHeight="false" outlineLevel="0" collapsed="false">
      <c r="A73" s="282" t="n">
        <f aca="false">OperatingCurve!D69</f>
        <v>37987</v>
      </c>
      <c r="B73" s="283" t="n">
        <f aca="false">OperatingCurve!H69</f>
        <v>69.225</v>
      </c>
      <c r="C73" s="283" t="n">
        <f aca="false">OperatingCurve!G69</f>
        <v>74.9</v>
      </c>
      <c r="D73" s="283" t="n">
        <f aca="false">OperatingCurve!I69</f>
        <v>92.225</v>
      </c>
      <c r="E73" s="278"/>
      <c r="F73" s="283" t="n">
        <f aca="false">OperatingCurve!M69</f>
        <v>0</v>
      </c>
      <c r="G73" s="283" t="n">
        <f aca="false">OperatingCurve!L69</f>
        <v>0</v>
      </c>
      <c r="H73" s="283" t="n">
        <f aca="false">OperatingCurve!N69</f>
        <v>0</v>
      </c>
      <c r="I73" s="273"/>
      <c r="J73" s="284" t="n">
        <f aca="false">OperatingCurve!V98</f>
        <v>38869</v>
      </c>
      <c r="K73" s="285" t="n">
        <f aca="false">OperatingCurve!Z98</f>
        <v>0</v>
      </c>
      <c r="L73" s="285" t="n">
        <f aca="false">OperatingCurve!Y98</f>
        <v>0</v>
      </c>
      <c r="M73" s="285" t="n">
        <f aca="false">OperatingCurve!AA98</f>
        <v>0</v>
      </c>
      <c r="O73" s="285" t="n">
        <f aca="false">OperatingCurve!AE98</f>
        <v>0</v>
      </c>
      <c r="P73" s="285" t="n">
        <f aca="false">OperatingCurve!AD98</f>
        <v>0</v>
      </c>
      <c r="Q73" s="285" t="n">
        <f aca="false">OperatingCurve!AF98</f>
        <v>0</v>
      </c>
      <c r="S73" s="285" t="n">
        <f aca="false">OperatingCurve!AJ98</f>
        <v>0</v>
      </c>
      <c r="T73" s="285" t="n">
        <f aca="false">OperatingCurve!AI98</f>
        <v>0</v>
      </c>
      <c r="U73" s="285" t="n">
        <f aca="false">OperatingCurve!AK98</f>
        <v>0</v>
      </c>
      <c r="W73" s="285" t="n">
        <f aca="false">OperatingCurve!AO98</f>
        <v>0.2115</v>
      </c>
      <c r="X73" s="285" t="n">
        <f aca="false">OperatingCurve!AN98</f>
        <v>0.47</v>
      </c>
      <c r="Y73" s="285" t="n">
        <f aca="false">OperatingCurve!AP98</f>
        <v>0.5875</v>
      </c>
      <c r="AA73" s="285" t="n">
        <f aca="false">OperatingCurve!AR98</f>
        <v>0.188</v>
      </c>
      <c r="AB73" s="285" t="n">
        <f aca="false">OperatingCurve!AQ98</f>
        <v>0.47</v>
      </c>
      <c r="AC73" s="285" t="n">
        <f aca="false">OperatingCurve!AS98</f>
        <v>0.3525</v>
      </c>
      <c r="AE73" s="285" t="n">
        <f aca="false">OperatingCurve!AU98</f>
        <v>-0.517091326059428</v>
      </c>
      <c r="AF73" s="285" t="n">
        <f aca="false">OperatingCurve!AT98</f>
        <v>8.27346121695085</v>
      </c>
      <c r="AG73" s="285" t="n">
        <f aca="false">OperatingCurve!AV98</f>
        <v>10.3418265211886</v>
      </c>
      <c r="AI73" s="285" t="n">
        <f aca="false">OperatingCurve!AX98</f>
        <v>-0.6087</v>
      </c>
      <c r="AJ73" s="285" t="n">
        <f aca="false">OperatingCurve!AW98</f>
        <v>9.7392</v>
      </c>
      <c r="AK73" s="285" t="n">
        <f aca="false">OperatingCurve!AY98</f>
        <v>12.174</v>
      </c>
      <c r="AM73" s="286" t="n">
        <f aca="false">OperatingCurve!AL98</f>
        <v>22</v>
      </c>
      <c r="AN73" s="287" t="n">
        <f aca="false">OperatingCurve!AM98</f>
        <v>0.4</v>
      </c>
      <c r="BE73" s="284" t="n">
        <f aca="false">OperatingCurve!V98</f>
        <v>38869</v>
      </c>
      <c r="BF73" s="289" t="n">
        <f aca="false">OperatingCurve!AZ98</f>
        <v>0</v>
      </c>
    </row>
    <row r="74" customFormat="false" ht="12.75" hidden="false" customHeight="false" outlineLevel="0" collapsed="false">
      <c r="A74" s="282" t="n">
        <f aca="false">OperatingCurve!D70</f>
        <v>38018</v>
      </c>
      <c r="B74" s="283" t="n">
        <f aca="false">OperatingCurve!H70</f>
        <v>60.249</v>
      </c>
      <c r="C74" s="283" t="n">
        <f aca="false">OperatingCurve!G70</f>
        <v>65.844</v>
      </c>
      <c r="D74" s="283" t="n">
        <f aca="false">OperatingCurve!I70</f>
        <v>82.929</v>
      </c>
      <c r="E74" s="278"/>
      <c r="F74" s="283" t="n">
        <f aca="false">OperatingCurve!M70</f>
        <v>0</v>
      </c>
      <c r="G74" s="283" t="n">
        <f aca="false">OperatingCurve!L70</f>
        <v>0</v>
      </c>
      <c r="H74" s="283" t="n">
        <f aca="false">OperatingCurve!N70</f>
        <v>0</v>
      </c>
      <c r="I74" s="273"/>
      <c r="J74" s="284" t="n">
        <f aca="false">OperatingCurve!V99</f>
        <v>38899</v>
      </c>
      <c r="K74" s="285" t="n">
        <f aca="false">OperatingCurve!Z99</f>
        <v>0</v>
      </c>
      <c r="L74" s="285" t="n">
        <f aca="false">OperatingCurve!Y99</f>
        <v>0</v>
      </c>
      <c r="M74" s="285" t="n">
        <f aca="false">OperatingCurve!AA99</f>
        <v>0</v>
      </c>
      <c r="O74" s="285" t="n">
        <f aca="false">OperatingCurve!AE99</f>
        <v>0</v>
      </c>
      <c r="P74" s="285" t="n">
        <f aca="false">OperatingCurve!AD99</f>
        <v>0</v>
      </c>
      <c r="Q74" s="285" t="n">
        <f aca="false">OperatingCurve!AF99</f>
        <v>0</v>
      </c>
      <c r="S74" s="285" t="n">
        <f aca="false">OperatingCurve!AJ99</f>
        <v>0</v>
      </c>
      <c r="T74" s="285" t="n">
        <f aca="false">OperatingCurve!AI99</f>
        <v>0</v>
      </c>
      <c r="U74" s="285" t="n">
        <f aca="false">OperatingCurve!AK99</f>
        <v>0</v>
      </c>
      <c r="W74" s="285" t="n">
        <f aca="false">OperatingCurve!AO99</f>
        <v>0.2115</v>
      </c>
      <c r="X74" s="285" t="n">
        <f aca="false">OperatingCurve!AN99</f>
        <v>0.47</v>
      </c>
      <c r="Y74" s="285" t="n">
        <f aca="false">OperatingCurve!AP99</f>
        <v>0.5875</v>
      </c>
      <c r="AA74" s="285" t="n">
        <f aca="false">OperatingCurve!AR99</f>
        <v>0.188</v>
      </c>
      <c r="AB74" s="285" t="n">
        <f aca="false">OperatingCurve!AQ99</f>
        <v>0.47</v>
      </c>
      <c r="AC74" s="285" t="n">
        <f aca="false">OperatingCurve!AS99</f>
        <v>0.3525</v>
      </c>
      <c r="AE74" s="285" t="n">
        <f aca="false">OperatingCurve!AU99</f>
        <v>-0.517091326059428</v>
      </c>
      <c r="AF74" s="285" t="n">
        <f aca="false">OperatingCurve!AT99</f>
        <v>8.27346121695085</v>
      </c>
      <c r="AG74" s="285" t="n">
        <f aca="false">OperatingCurve!AV99</f>
        <v>10.3418265211886</v>
      </c>
      <c r="AI74" s="285" t="n">
        <f aca="false">OperatingCurve!AX99</f>
        <v>-0.6087</v>
      </c>
      <c r="AJ74" s="285" t="n">
        <f aca="false">OperatingCurve!AW99</f>
        <v>9.7392</v>
      </c>
      <c r="AK74" s="285" t="n">
        <f aca="false">OperatingCurve!AY99</f>
        <v>12.174</v>
      </c>
      <c r="AM74" s="286" t="n">
        <f aca="false">OperatingCurve!AL99</f>
        <v>23</v>
      </c>
      <c r="AN74" s="287" t="n">
        <f aca="false">OperatingCurve!AM99</f>
        <v>0.4</v>
      </c>
      <c r="BE74" s="284" t="n">
        <f aca="false">OperatingCurve!V99</f>
        <v>38899</v>
      </c>
      <c r="BF74" s="289" t="n">
        <f aca="false">OperatingCurve!AZ99</f>
        <v>0</v>
      </c>
    </row>
    <row r="75" customFormat="false" ht="12.75" hidden="false" customHeight="false" outlineLevel="0" collapsed="false">
      <c r="A75" s="282" t="n">
        <f aca="false">OperatingCurve!D71</f>
        <v>38047</v>
      </c>
      <c r="B75" s="283" t="n">
        <f aca="false">OperatingCurve!H71</f>
        <v>49.209</v>
      </c>
      <c r="C75" s="283" t="n">
        <f aca="false">OperatingCurve!G71</f>
        <v>54.704</v>
      </c>
      <c r="D75" s="283" t="n">
        <f aca="false">OperatingCurve!I71</f>
        <v>71.489</v>
      </c>
      <c r="E75" s="278"/>
      <c r="F75" s="283" t="n">
        <f aca="false">OperatingCurve!M71</f>
        <v>0</v>
      </c>
      <c r="G75" s="283" t="n">
        <f aca="false">OperatingCurve!L71</f>
        <v>0</v>
      </c>
      <c r="H75" s="283" t="n">
        <f aca="false">OperatingCurve!N71</f>
        <v>0</v>
      </c>
      <c r="I75" s="273"/>
      <c r="J75" s="284" t="n">
        <f aca="false">OperatingCurve!V100</f>
        <v>38930</v>
      </c>
      <c r="K75" s="285" t="n">
        <f aca="false">OperatingCurve!Z100</f>
        <v>0</v>
      </c>
      <c r="L75" s="285" t="n">
        <f aca="false">OperatingCurve!Y100</f>
        <v>0</v>
      </c>
      <c r="M75" s="285" t="n">
        <f aca="false">OperatingCurve!AA100</f>
        <v>0</v>
      </c>
      <c r="O75" s="285" t="n">
        <f aca="false">OperatingCurve!AE100</f>
        <v>0</v>
      </c>
      <c r="P75" s="285" t="n">
        <f aca="false">OperatingCurve!AD100</f>
        <v>0</v>
      </c>
      <c r="Q75" s="285" t="n">
        <f aca="false">OperatingCurve!AF100</f>
        <v>0</v>
      </c>
      <c r="S75" s="285" t="n">
        <f aca="false">OperatingCurve!AJ100</f>
        <v>0</v>
      </c>
      <c r="T75" s="285" t="n">
        <f aca="false">OperatingCurve!AI100</f>
        <v>0</v>
      </c>
      <c r="U75" s="285" t="n">
        <f aca="false">OperatingCurve!AK100</f>
        <v>0</v>
      </c>
      <c r="W75" s="285" t="n">
        <f aca="false">OperatingCurve!AO100</f>
        <v>0.2115</v>
      </c>
      <c r="X75" s="285" t="n">
        <f aca="false">OperatingCurve!AN100</f>
        <v>0.47</v>
      </c>
      <c r="Y75" s="285" t="n">
        <f aca="false">OperatingCurve!AP100</f>
        <v>0.5875</v>
      </c>
      <c r="AA75" s="285" t="n">
        <f aca="false">OperatingCurve!AR100</f>
        <v>0.188</v>
      </c>
      <c r="AB75" s="285" t="n">
        <f aca="false">OperatingCurve!AQ100</f>
        <v>0.47</v>
      </c>
      <c r="AC75" s="285" t="n">
        <f aca="false">OperatingCurve!AS100</f>
        <v>0.3525</v>
      </c>
      <c r="AE75" s="285" t="n">
        <f aca="false">OperatingCurve!AU100</f>
        <v>-0.58944177960962</v>
      </c>
      <c r="AF75" s="285" t="n">
        <f aca="false">OperatingCurve!AT100</f>
        <v>9.43106847375392</v>
      </c>
      <c r="AG75" s="285" t="n">
        <f aca="false">OperatingCurve!AV100</f>
        <v>11.7888355921924</v>
      </c>
      <c r="AI75" s="285" t="n">
        <f aca="false">OperatingCurve!AX100</f>
        <v>-0.6028125</v>
      </c>
      <c r="AJ75" s="285" t="n">
        <f aca="false">OperatingCurve!AW100</f>
        <v>9.645</v>
      </c>
      <c r="AK75" s="285" t="n">
        <f aca="false">OperatingCurve!AY100</f>
        <v>12.05625</v>
      </c>
      <c r="AM75" s="286" t="n">
        <f aca="false">OperatingCurve!AL100</f>
        <v>23</v>
      </c>
      <c r="AN75" s="287" t="n">
        <f aca="false">OperatingCurve!AM100</f>
        <v>0.4</v>
      </c>
      <c r="BE75" s="284" t="n">
        <f aca="false">OperatingCurve!V100</f>
        <v>38930</v>
      </c>
      <c r="BF75" s="289" t="n">
        <f aca="false">OperatingCurve!AZ100</f>
        <v>0</v>
      </c>
    </row>
    <row r="76" customFormat="false" ht="12.75" hidden="false" customHeight="false" outlineLevel="0" collapsed="false">
      <c r="A76" s="282" t="n">
        <f aca="false">OperatingCurve!D72</f>
        <v>38078</v>
      </c>
      <c r="B76" s="283" t="n">
        <f aca="false">OperatingCurve!H72</f>
        <v>28.784</v>
      </c>
      <c r="C76" s="283" t="n">
        <f aca="false">OperatingCurve!G72</f>
        <v>34.089</v>
      </c>
      <c r="D76" s="283" t="n">
        <f aca="false">OperatingCurve!I72</f>
        <v>50.304</v>
      </c>
      <c r="E76" s="278"/>
      <c r="F76" s="283" t="n">
        <f aca="false">OperatingCurve!M72</f>
        <v>0</v>
      </c>
      <c r="G76" s="283" t="n">
        <f aca="false">OperatingCurve!L72</f>
        <v>0</v>
      </c>
      <c r="H76" s="283" t="n">
        <f aca="false">OperatingCurve!N72</f>
        <v>0</v>
      </c>
      <c r="I76" s="273"/>
      <c r="J76" s="284" t="n">
        <f aca="false">OperatingCurve!V101</f>
        <v>38961</v>
      </c>
      <c r="K76" s="285" t="n">
        <f aca="false">OperatingCurve!Z101</f>
        <v>0</v>
      </c>
      <c r="L76" s="285" t="n">
        <f aca="false">OperatingCurve!Y101</f>
        <v>0</v>
      </c>
      <c r="M76" s="285" t="n">
        <f aca="false">OperatingCurve!AA101</f>
        <v>0</v>
      </c>
      <c r="O76" s="285" t="n">
        <f aca="false">OperatingCurve!AE101</f>
        <v>0</v>
      </c>
      <c r="P76" s="285" t="n">
        <f aca="false">OperatingCurve!AD101</f>
        <v>0</v>
      </c>
      <c r="Q76" s="285" t="n">
        <f aca="false">OperatingCurve!AF101</f>
        <v>0</v>
      </c>
      <c r="S76" s="285" t="n">
        <f aca="false">OperatingCurve!AJ101</f>
        <v>0</v>
      </c>
      <c r="T76" s="285" t="n">
        <f aca="false">OperatingCurve!AI101</f>
        <v>0</v>
      </c>
      <c r="U76" s="285" t="n">
        <f aca="false">OperatingCurve!AK101</f>
        <v>0</v>
      </c>
      <c r="W76" s="285" t="n">
        <f aca="false">OperatingCurve!AO101</f>
        <v>0.2115</v>
      </c>
      <c r="X76" s="285" t="n">
        <f aca="false">OperatingCurve!AN101</f>
        <v>0.47</v>
      </c>
      <c r="Y76" s="285" t="n">
        <f aca="false">OperatingCurve!AP101</f>
        <v>0.5875</v>
      </c>
      <c r="AA76" s="285" t="n">
        <f aca="false">OperatingCurve!AR101</f>
        <v>0.188</v>
      </c>
      <c r="AB76" s="285" t="n">
        <f aca="false">OperatingCurve!AQ101</f>
        <v>0.47</v>
      </c>
      <c r="AC76" s="285" t="n">
        <f aca="false">OperatingCurve!AS101</f>
        <v>0.3525</v>
      </c>
      <c r="AE76" s="285" t="n">
        <f aca="false">OperatingCurve!AU101</f>
        <v>-0.455637578174882</v>
      </c>
      <c r="AF76" s="285" t="n">
        <f aca="false">OperatingCurve!AT101</f>
        <v>7.29020125079811</v>
      </c>
      <c r="AG76" s="285" t="n">
        <f aca="false">OperatingCurve!AV101</f>
        <v>9.11275156349763</v>
      </c>
      <c r="AI76" s="285" t="n">
        <f aca="false">OperatingCurve!AX101</f>
        <v>-0.63225</v>
      </c>
      <c r="AJ76" s="285" t="n">
        <f aca="false">OperatingCurve!AW101</f>
        <v>10.116</v>
      </c>
      <c r="AK76" s="285" t="n">
        <f aca="false">OperatingCurve!AY101</f>
        <v>12.645</v>
      </c>
      <c r="AM76" s="286" t="n">
        <f aca="false">OperatingCurve!AL101</f>
        <v>23</v>
      </c>
      <c r="AN76" s="287" t="n">
        <f aca="false">OperatingCurve!AM101</f>
        <v>0.4</v>
      </c>
      <c r="BE76" s="284" t="n">
        <f aca="false">OperatingCurve!V101</f>
        <v>38961</v>
      </c>
      <c r="BF76" s="289" t="n">
        <f aca="false">OperatingCurve!AZ101</f>
        <v>0</v>
      </c>
    </row>
    <row r="77" customFormat="false" ht="12.75" hidden="false" customHeight="false" outlineLevel="0" collapsed="false">
      <c r="A77" s="282" t="n">
        <f aca="false">OperatingCurve!D73</f>
        <v>38108</v>
      </c>
      <c r="B77" s="283" t="n">
        <f aca="false">OperatingCurve!H73</f>
        <v>31.961</v>
      </c>
      <c r="C77" s="283" t="n">
        <f aca="false">OperatingCurve!G73</f>
        <v>37.296</v>
      </c>
      <c r="D77" s="283" t="n">
        <f aca="false">OperatingCurve!I73</f>
        <v>53.601</v>
      </c>
      <c r="E77" s="278"/>
      <c r="F77" s="283" t="n">
        <f aca="false">OperatingCurve!M73</f>
        <v>0</v>
      </c>
      <c r="G77" s="283" t="n">
        <f aca="false">OperatingCurve!L73</f>
        <v>0</v>
      </c>
      <c r="H77" s="283" t="n">
        <f aca="false">OperatingCurve!N73</f>
        <v>0</v>
      </c>
      <c r="I77" s="273"/>
      <c r="J77" s="284" t="n">
        <f aca="false">OperatingCurve!V102</f>
        <v>38991</v>
      </c>
      <c r="K77" s="285" t="n">
        <f aca="false">OperatingCurve!Z102</f>
        <v>0</v>
      </c>
      <c r="L77" s="285" t="n">
        <f aca="false">OperatingCurve!Y102</f>
        <v>0</v>
      </c>
      <c r="M77" s="285" t="n">
        <f aca="false">OperatingCurve!AA102</f>
        <v>0</v>
      </c>
      <c r="O77" s="285" t="n">
        <f aca="false">OperatingCurve!AE102</f>
        <v>0</v>
      </c>
      <c r="P77" s="285" t="n">
        <f aca="false">OperatingCurve!AD102</f>
        <v>0</v>
      </c>
      <c r="Q77" s="285" t="n">
        <f aca="false">OperatingCurve!AF102</f>
        <v>0</v>
      </c>
      <c r="S77" s="285" t="n">
        <f aca="false">OperatingCurve!AJ102</f>
        <v>0</v>
      </c>
      <c r="T77" s="285" t="n">
        <f aca="false">OperatingCurve!AI102</f>
        <v>0</v>
      </c>
      <c r="U77" s="285" t="n">
        <f aca="false">OperatingCurve!AK102</f>
        <v>0</v>
      </c>
      <c r="W77" s="285" t="n">
        <f aca="false">OperatingCurve!AO102</f>
        <v>0.2115</v>
      </c>
      <c r="X77" s="285" t="n">
        <f aca="false">OperatingCurve!AN102</f>
        <v>0.47</v>
      </c>
      <c r="Y77" s="285" t="n">
        <f aca="false">OperatingCurve!AP102</f>
        <v>0.5875</v>
      </c>
      <c r="AA77" s="285" t="n">
        <f aca="false">OperatingCurve!AR102</f>
        <v>0.188</v>
      </c>
      <c r="AB77" s="285" t="n">
        <f aca="false">OperatingCurve!AQ102</f>
        <v>0.47</v>
      </c>
      <c r="AC77" s="285" t="n">
        <f aca="false">OperatingCurve!AS102</f>
        <v>0.3525</v>
      </c>
      <c r="AE77" s="285" t="n">
        <f aca="false">OperatingCurve!AU102</f>
        <v>-0.484735205974953</v>
      </c>
      <c r="AF77" s="285" t="n">
        <f aca="false">OperatingCurve!AT102</f>
        <v>7.75576329559925</v>
      </c>
      <c r="AG77" s="285" t="n">
        <f aca="false">OperatingCurve!AV102</f>
        <v>9.69470411949907</v>
      </c>
      <c r="AI77" s="285" t="n">
        <f aca="false">OperatingCurve!AX102</f>
        <v>-0.620475</v>
      </c>
      <c r="AJ77" s="285" t="n">
        <f aca="false">OperatingCurve!AW102</f>
        <v>9.9276</v>
      </c>
      <c r="AK77" s="285" t="n">
        <f aca="false">OperatingCurve!AY102</f>
        <v>12.4095</v>
      </c>
      <c r="AM77" s="286" t="n">
        <f aca="false">OperatingCurve!AL102</f>
        <v>24</v>
      </c>
      <c r="AN77" s="287" t="n">
        <f aca="false">OperatingCurve!AM102</f>
        <v>0.4</v>
      </c>
      <c r="BE77" s="284" t="n">
        <f aca="false">OperatingCurve!V102</f>
        <v>38991</v>
      </c>
      <c r="BF77" s="289" t="n">
        <f aca="false">OperatingCurve!AZ102</f>
        <v>0</v>
      </c>
    </row>
    <row r="78" customFormat="false" ht="12.75" hidden="false" customHeight="false" outlineLevel="0" collapsed="false">
      <c r="A78" s="282" t="n">
        <f aca="false">OperatingCurve!D74</f>
        <v>38139</v>
      </c>
      <c r="B78" s="283" t="n">
        <f aca="false">OperatingCurve!H74</f>
        <v>39.444</v>
      </c>
      <c r="C78" s="283" t="n">
        <f aca="false">OperatingCurve!G74</f>
        <v>44.849</v>
      </c>
      <c r="D78" s="283" t="n">
        <f aca="false">OperatingCurve!I74</f>
        <v>61.364</v>
      </c>
      <c r="E78" s="278"/>
      <c r="F78" s="283" t="n">
        <f aca="false">OperatingCurve!M74</f>
        <v>0</v>
      </c>
      <c r="G78" s="283" t="n">
        <f aca="false">OperatingCurve!L74</f>
        <v>0</v>
      </c>
      <c r="H78" s="283" t="n">
        <f aca="false">OperatingCurve!N74</f>
        <v>0</v>
      </c>
      <c r="I78" s="273"/>
      <c r="J78" s="284" t="n">
        <f aca="false">OperatingCurve!V103</f>
        <v>39022</v>
      </c>
      <c r="K78" s="285" t="n">
        <f aca="false">OperatingCurve!Z103</f>
        <v>0</v>
      </c>
      <c r="L78" s="285" t="n">
        <f aca="false">OperatingCurve!Y103</f>
        <v>0</v>
      </c>
      <c r="M78" s="285" t="n">
        <f aca="false">OperatingCurve!AA103</f>
        <v>0</v>
      </c>
      <c r="O78" s="285" t="n">
        <f aca="false">OperatingCurve!AE103</f>
        <v>0</v>
      </c>
      <c r="P78" s="285" t="n">
        <f aca="false">OperatingCurve!AD103</f>
        <v>0</v>
      </c>
      <c r="Q78" s="285" t="n">
        <f aca="false">OperatingCurve!AF103</f>
        <v>0</v>
      </c>
      <c r="S78" s="285" t="n">
        <f aca="false">OperatingCurve!AJ103</f>
        <v>0</v>
      </c>
      <c r="T78" s="285" t="n">
        <f aca="false">OperatingCurve!AI103</f>
        <v>0</v>
      </c>
      <c r="U78" s="285" t="n">
        <f aca="false">OperatingCurve!AK103</f>
        <v>0</v>
      </c>
      <c r="W78" s="285" t="n">
        <f aca="false">OperatingCurve!AO103</f>
        <v>0.21375</v>
      </c>
      <c r="X78" s="285" t="n">
        <f aca="false">OperatingCurve!AN103</f>
        <v>0.475</v>
      </c>
      <c r="Y78" s="285" t="n">
        <f aca="false">OperatingCurve!AP103</f>
        <v>0.59375</v>
      </c>
      <c r="AA78" s="285" t="n">
        <f aca="false">OperatingCurve!AR103</f>
        <v>0.19</v>
      </c>
      <c r="AB78" s="285" t="n">
        <f aca="false">OperatingCurve!AQ103</f>
        <v>0.475</v>
      </c>
      <c r="AC78" s="285" t="n">
        <f aca="false">OperatingCurve!AS103</f>
        <v>0.35625</v>
      </c>
      <c r="AE78" s="285" t="n">
        <f aca="false">OperatingCurve!AU103</f>
        <v>-0.43048858158097</v>
      </c>
      <c r="AF78" s="285" t="n">
        <f aca="false">OperatingCurve!AT103</f>
        <v>6.88781730529552</v>
      </c>
      <c r="AG78" s="285" t="n">
        <f aca="false">OperatingCurve!AV103</f>
        <v>8.60977163161941</v>
      </c>
      <c r="AI78" s="285" t="n">
        <f aca="false">OperatingCurve!AX103</f>
        <v>-0.644025</v>
      </c>
      <c r="AJ78" s="285" t="n">
        <f aca="false">OperatingCurve!AW103</f>
        <v>10.3044</v>
      </c>
      <c r="AK78" s="285" t="n">
        <f aca="false">OperatingCurve!AY103</f>
        <v>12.8805</v>
      </c>
      <c r="AM78" s="286" t="n">
        <f aca="false">OperatingCurve!AL103</f>
        <v>24</v>
      </c>
      <c r="AN78" s="287" t="n">
        <f aca="false">OperatingCurve!AM103</f>
        <v>0.4</v>
      </c>
      <c r="BE78" s="284" t="n">
        <f aca="false">OperatingCurve!V103</f>
        <v>39022</v>
      </c>
      <c r="BF78" s="289" t="n">
        <f aca="false">OperatingCurve!AZ103</f>
        <v>0</v>
      </c>
    </row>
    <row r="79" customFormat="false" ht="12.75" hidden="false" customHeight="false" outlineLevel="0" collapsed="false">
      <c r="A79" s="282" t="n">
        <f aca="false">OperatingCurve!D75</f>
        <v>38169</v>
      </c>
      <c r="B79" s="283" t="n">
        <f aca="false">OperatingCurve!H75</f>
        <v>55.809</v>
      </c>
      <c r="C79" s="283" t="n">
        <f aca="false">OperatingCurve!G75</f>
        <v>61.364</v>
      </c>
      <c r="D79" s="283" t="n">
        <f aca="false">OperatingCurve!I75</f>
        <v>78.329</v>
      </c>
      <c r="E79" s="278"/>
      <c r="F79" s="283" t="n">
        <f aca="false">OperatingCurve!M75</f>
        <v>0</v>
      </c>
      <c r="G79" s="283" t="n">
        <f aca="false">OperatingCurve!L75</f>
        <v>0</v>
      </c>
      <c r="H79" s="283" t="n">
        <f aca="false">OperatingCurve!N75</f>
        <v>0</v>
      </c>
      <c r="I79" s="273"/>
      <c r="J79" s="284" t="n">
        <f aca="false">OperatingCurve!V104</f>
        <v>39052</v>
      </c>
      <c r="K79" s="285" t="n">
        <f aca="false">OperatingCurve!Z104</f>
        <v>0</v>
      </c>
      <c r="L79" s="285" t="n">
        <f aca="false">OperatingCurve!Y104</f>
        <v>0</v>
      </c>
      <c r="M79" s="285" t="n">
        <f aca="false">OperatingCurve!AA104</f>
        <v>0</v>
      </c>
      <c r="O79" s="285" t="n">
        <f aca="false">OperatingCurve!AE104</f>
        <v>0</v>
      </c>
      <c r="P79" s="285" t="n">
        <f aca="false">OperatingCurve!AD104</f>
        <v>0</v>
      </c>
      <c r="Q79" s="285" t="n">
        <f aca="false">OperatingCurve!AF104</f>
        <v>0</v>
      </c>
      <c r="S79" s="285" t="n">
        <f aca="false">OperatingCurve!AJ104</f>
        <v>0</v>
      </c>
      <c r="T79" s="285" t="n">
        <f aca="false">OperatingCurve!AI104</f>
        <v>0</v>
      </c>
      <c r="U79" s="285" t="n">
        <f aca="false">OperatingCurve!AK104</f>
        <v>0</v>
      </c>
      <c r="W79" s="285" t="n">
        <f aca="false">OperatingCurve!AO104</f>
        <v>0.2205</v>
      </c>
      <c r="X79" s="285" t="n">
        <f aca="false">OperatingCurve!AN104</f>
        <v>0.49</v>
      </c>
      <c r="Y79" s="285" t="n">
        <f aca="false">OperatingCurve!AP104</f>
        <v>0.6125</v>
      </c>
      <c r="AA79" s="285" t="n">
        <f aca="false">OperatingCurve!AR104</f>
        <v>0.196</v>
      </c>
      <c r="AB79" s="285" t="n">
        <f aca="false">OperatingCurve!AQ104</f>
        <v>0.49</v>
      </c>
      <c r="AC79" s="285" t="n">
        <f aca="false">OperatingCurve!AS104</f>
        <v>0.3675</v>
      </c>
      <c r="AE79" s="285" t="n">
        <f aca="false">OperatingCurve!AU104</f>
        <v>-0.44252030135698</v>
      </c>
      <c r="AF79" s="285" t="n">
        <f aca="false">OperatingCurve!AT104</f>
        <v>7.08032482171168</v>
      </c>
      <c r="AG79" s="285" t="n">
        <f aca="false">OperatingCurve!AV104</f>
        <v>8.8504060271396</v>
      </c>
      <c r="AI79" s="285" t="n">
        <f aca="false">OperatingCurve!AX104</f>
        <v>-0.6558</v>
      </c>
      <c r="AJ79" s="285" t="n">
        <f aca="false">OperatingCurve!AW104</f>
        <v>10.4928</v>
      </c>
      <c r="AK79" s="285" t="n">
        <f aca="false">OperatingCurve!AY104</f>
        <v>13.116</v>
      </c>
      <c r="AM79" s="286" t="n">
        <f aca="false">OperatingCurve!AL104</f>
        <v>24</v>
      </c>
      <c r="AN79" s="287" t="n">
        <f aca="false">OperatingCurve!AM104</f>
        <v>0.4</v>
      </c>
      <c r="BE79" s="284" t="n">
        <f aca="false">OperatingCurve!V104</f>
        <v>39052</v>
      </c>
      <c r="BF79" s="289" t="n">
        <f aca="false">OperatingCurve!AZ104</f>
        <v>0</v>
      </c>
    </row>
    <row r="80" customFormat="false" ht="12.75" hidden="false" customHeight="false" outlineLevel="0" collapsed="false">
      <c r="A80" s="282" t="n">
        <f aca="false">OperatingCurve!D76</f>
        <v>38200</v>
      </c>
      <c r="B80" s="283" t="n">
        <f aca="false">OperatingCurve!H76</f>
        <v>84.084</v>
      </c>
      <c r="C80" s="283" t="n">
        <f aca="false">OperatingCurve!G76</f>
        <v>89.889</v>
      </c>
      <c r="D80" s="283" t="n">
        <f aca="false">OperatingCurve!I76</f>
        <v>107.604</v>
      </c>
      <c r="E80" s="278"/>
      <c r="F80" s="283" t="n">
        <f aca="false">OperatingCurve!M76</f>
        <v>0</v>
      </c>
      <c r="G80" s="283" t="n">
        <f aca="false">OperatingCurve!L76</f>
        <v>0</v>
      </c>
      <c r="H80" s="283" t="n">
        <f aca="false">OperatingCurve!N76</f>
        <v>0</v>
      </c>
      <c r="I80" s="273"/>
      <c r="J80" s="284" t="n">
        <f aca="false">OperatingCurve!V105</f>
        <v>39083</v>
      </c>
      <c r="K80" s="285" t="n">
        <f aca="false">OperatingCurve!Z105</f>
        <v>0</v>
      </c>
      <c r="L80" s="285" t="n">
        <f aca="false">OperatingCurve!Y105</f>
        <v>0</v>
      </c>
      <c r="M80" s="285" t="n">
        <f aca="false">OperatingCurve!AA105</f>
        <v>0</v>
      </c>
      <c r="O80" s="285" t="n">
        <f aca="false">OperatingCurve!AE105</f>
        <v>0</v>
      </c>
      <c r="P80" s="285" t="n">
        <f aca="false">OperatingCurve!AD105</f>
        <v>0</v>
      </c>
      <c r="Q80" s="285" t="n">
        <f aca="false">OperatingCurve!AF105</f>
        <v>0</v>
      </c>
      <c r="S80" s="285" t="n">
        <f aca="false">OperatingCurve!AJ105</f>
        <v>0</v>
      </c>
      <c r="T80" s="285" t="n">
        <f aca="false">OperatingCurve!AI105</f>
        <v>0</v>
      </c>
      <c r="U80" s="285" t="n">
        <f aca="false">OperatingCurve!AK105</f>
        <v>0</v>
      </c>
      <c r="W80" s="285" t="n">
        <f aca="false">OperatingCurve!AO105</f>
        <v>0.22275</v>
      </c>
      <c r="X80" s="285" t="n">
        <f aca="false">OperatingCurve!AN105</f>
        <v>0.495</v>
      </c>
      <c r="Y80" s="285" t="n">
        <f aca="false">OperatingCurve!AP105</f>
        <v>0.61875</v>
      </c>
      <c r="AA80" s="285" t="n">
        <f aca="false">OperatingCurve!AR105</f>
        <v>0.198</v>
      </c>
      <c r="AB80" s="285" t="n">
        <f aca="false">OperatingCurve!AQ105</f>
        <v>0.495</v>
      </c>
      <c r="AC80" s="285" t="n">
        <f aca="false">OperatingCurve!AS105</f>
        <v>0.37125</v>
      </c>
      <c r="AE80" s="285" t="n">
        <f aca="false">OperatingCurve!AU105</f>
        <v>-0.410147476715089</v>
      </c>
      <c r="AF80" s="285" t="n">
        <f aca="false">OperatingCurve!AT105</f>
        <v>6.56235962744143</v>
      </c>
      <c r="AG80" s="285" t="n">
        <f aca="false">OperatingCurve!AV105</f>
        <v>8.20294953430178</v>
      </c>
      <c r="AI80" s="285" t="n">
        <f aca="false">OperatingCurve!AX105</f>
        <v>-0.6558</v>
      </c>
      <c r="AJ80" s="285" t="n">
        <f aca="false">OperatingCurve!AW105</f>
        <v>10.4928</v>
      </c>
      <c r="AK80" s="285" t="n">
        <f aca="false">OperatingCurve!AY105</f>
        <v>13.116</v>
      </c>
      <c r="AM80" s="286" t="n">
        <f aca="false">OperatingCurve!AL105</f>
        <v>25</v>
      </c>
      <c r="AN80" s="287" t="n">
        <f aca="false">OperatingCurve!AM105</f>
        <v>0.4</v>
      </c>
      <c r="BE80" s="284" t="n">
        <f aca="false">OperatingCurve!V105</f>
        <v>39083</v>
      </c>
      <c r="BF80" s="289" t="n">
        <f aca="false">OperatingCurve!AZ105</f>
        <v>0</v>
      </c>
    </row>
    <row r="81" customFormat="false" ht="12.75" hidden="false" customHeight="false" outlineLevel="0" collapsed="false">
      <c r="A81" s="282" t="n">
        <f aca="false">OperatingCurve!D77</f>
        <v>38231</v>
      </c>
      <c r="B81" s="283" t="n">
        <f aca="false">OperatingCurve!H77</f>
        <v>61.364</v>
      </c>
      <c r="C81" s="283" t="n">
        <f aca="false">OperatingCurve!G77</f>
        <v>66.969</v>
      </c>
      <c r="D81" s="283" t="n">
        <f aca="false">OperatingCurve!I77</f>
        <v>84.084</v>
      </c>
      <c r="E81" s="278"/>
      <c r="F81" s="283" t="n">
        <f aca="false">OperatingCurve!M77</f>
        <v>0</v>
      </c>
      <c r="G81" s="283" t="n">
        <f aca="false">OperatingCurve!L77</f>
        <v>0</v>
      </c>
      <c r="H81" s="283" t="n">
        <f aca="false">OperatingCurve!N77</f>
        <v>0</v>
      </c>
      <c r="I81" s="273"/>
      <c r="J81" s="284" t="n">
        <f aca="false">OperatingCurve!V106</f>
        <v>39114</v>
      </c>
      <c r="K81" s="285" t="n">
        <f aca="false">OperatingCurve!Z106</f>
        <v>0</v>
      </c>
      <c r="L81" s="285" t="n">
        <f aca="false">OperatingCurve!Y106</f>
        <v>0</v>
      </c>
      <c r="M81" s="285" t="n">
        <f aca="false">OperatingCurve!AA106</f>
        <v>0</v>
      </c>
      <c r="O81" s="285" t="n">
        <f aca="false">OperatingCurve!AE106</f>
        <v>0</v>
      </c>
      <c r="P81" s="285" t="n">
        <f aca="false">OperatingCurve!AD106</f>
        <v>0</v>
      </c>
      <c r="Q81" s="285" t="n">
        <f aca="false">OperatingCurve!AF106</f>
        <v>0</v>
      </c>
      <c r="S81" s="285" t="n">
        <f aca="false">OperatingCurve!AJ106</f>
        <v>0</v>
      </c>
      <c r="T81" s="285" t="n">
        <f aca="false">OperatingCurve!AI106</f>
        <v>0</v>
      </c>
      <c r="U81" s="285" t="n">
        <f aca="false">OperatingCurve!AK106</f>
        <v>0</v>
      </c>
      <c r="W81" s="285" t="n">
        <f aca="false">OperatingCurve!AO106</f>
        <v>0.2115</v>
      </c>
      <c r="X81" s="285" t="n">
        <f aca="false">OperatingCurve!AN106</f>
        <v>0.47</v>
      </c>
      <c r="Y81" s="285" t="n">
        <f aca="false">OperatingCurve!AP106</f>
        <v>0.5875</v>
      </c>
      <c r="AA81" s="285" t="n">
        <f aca="false">OperatingCurve!AR106</f>
        <v>0.188</v>
      </c>
      <c r="AB81" s="285" t="n">
        <f aca="false">OperatingCurve!AQ106</f>
        <v>0.47</v>
      </c>
      <c r="AC81" s="285" t="n">
        <f aca="false">OperatingCurve!AS106</f>
        <v>0.3525</v>
      </c>
      <c r="AE81" s="285" t="n">
        <f aca="false">OperatingCurve!AU106</f>
        <v>-0.395696014851329</v>
      </c>
      <c r="AF81" s="285" t="n">
        <f aca="false">OperatingCurve!AT106</f>
        <v>6.33113623762127</v>
      </c>
      <c r="AG81" s="285" t="n">
        <f aca="false">OperatingCurve!AV106</f>
        <v>7.91392029702658</v>
      </c>
      <c r="AI81" s="285" t="n">
        <f aca="false">OperatingCurve!AX106</f>
        <v>-0.667575</v>
      </c>
      <c r="AJ81" s="285" t="n">
        <f aca="false">OperatingCurve!AW106</f>
        <v>10.6812</v>
      </c>
      <c r="AK81" s="285" t="n">
        <f aca="false">OperatingCurve!AY106</f>
        <v>13.3515</v>
      </c>
      <c r="AM81" s="286" t="n">
        <f aca="false">OperatingCurve!AL106</f>
        <v>25</v>
      </c>
      <c r="AN81" s="287" t="n">
        <f aca="false">OperatingCurve!AM106</f>
        <v>0.4</v>
      </c>
      <c r="BE81" s="284" t="n">
        <f aca="false">OperatingCurve!V106</f>
        <v>39114</v>
      </c>
      <c r="BF81" s="289" t="n">
        <f aca="false">OperatingCurve!AZ106</f>
        <v>0</v>
      </c>
    </row>
    <row r="82" customFormat="false" ht="12.75" hidden="false" customHeight="false" outlineLevel="0" collapsed="false">
      <c r="A82" s="282" t="n">
        <f aca="false">OperatingCurve!D78</f>
        <v>38261</v>
      </c>
      <c r="B82" s="283" t="n">
        <f aca="false">OperatingCurve!H78</f>
        <v>38.369</v>
      </c>
      <c r="C82" s="283" t="n">
        <f aca="false">OperatingCurve!G78</f>
        <v>43.764</v>
      </c>
      <c r="D82" s="283" t="n">
        <f aca="false">OperatingCurve!I78</f>
        <v>60.249</v>
      </c>
      <c r="E82" s="278"/>
      <c r="F82" s="283" t="n">
        <f aca="false">OperatingCurve!M78</f>
        <v>0</v>
      </c>
      <c r="G82" s="283" t="n">
        <f aca="false">OperatingCurve!L78</f>
        <v>0</v>
      </c>
      <c r="H82" s="283" t="n">
        <f aca="false">OperatingCurve!N78</f>
        <v>0</v>
      </c>
      <c r="I82" s="273"/>
      <c r="J82" s="284" t="n">
        <f aca="false">OperatingCurve!V107</f>
        <v>39142</v>
      </c>
      <c r="K82" s="285" t="n">
        <f aca="false">OperatingCurve!Z107</f>
        <v>0</v>
      </c>
      <c r="L82" s="285" t="n">
        <f aca="false">OperatingCurve!Y107</f>
        <v>0</v>
      </c>
      <c r="M82" s="285" t="n">
        <f aca="false">OperatingCurve!AA107</f>
        <v>0</v>
      </c>
      <c r="O82" s="285" t="n">
        <f aca="false">OperatingCurve!AE107</f>
        <v>0</v>
      </c>
      <c r="P82" s="285" t="n">
        <f aca="false">OperatingCurve!AD107</f>
        <v>0</v>
      </c>
      <c r="Q82" s="285" t="n">
        <f aca="false">OperatingCurve!AF107</f>
        <v>0</v>
      </c>
      <c r="S82" s="285" t="n">
        <f aca="false">OperatingCurve!AJ107</f>
        <v>0</v>
      </c>
      <c r="T82" s="285" t="n">
        <f aca="false">OperatingCurve!AI107</f>
        <v>0</v>
      </c>
      <c r="U82" s="285" t="n">
        <f aca="false">OperatingCurve!AK107</f>
        <v>0</v>
      </c>
      <c r="W82" s="285" t="n">
        <f aca="false">OperatingCurve!AO107</f>
        <v>0.20475</v>
      </c>
      <c r="X82" s="285" t="n">
        <f aca="false">OperatingCurve!AN107</f>
        <v>0.455</v>
      </c>
      <c r="Y82" s="285" t="n">
        <f aca="false">OperatingCurve!AP107</f>
        <v>0.56875</v>
      </c>
      <c r="AA82" s="285" t="n">
        <f aca="false">OperatingCurve!AR107</f>
        <v>0.182</v>
      </c>
      <c r="AB82" s="285" t="n">
        <f aca="false">OperatingCurve!AQ107</f>
        <v>0.455</v>
      </c>
      <c r="AC82" s="285" t="n">
        <f aca="false">OperatingCurve!AS107</f>
        <v>0.34125</v>
      </c>
      <c r="AE82" s="285" t="n">
        <f aca="false">OperatingCurve!AU107</f>
        <v>-0.395696014851329</v>
      </c>
      <c r="AF82" s="285" t="n">
        <f aca="false">OperatingCurve!AT107</f>
        <v>6.33113623762127</v>
      </c>
      <c r="AG82" s="285" t="n">
        <f aca="false">OperatingCurve!AV107</f>
        <v>7.91392029702658</v>
      </c>
      <c r="AI82" s="285" t="n">
        <f aca="false">OperatingCurve!AX107</f>
        <v>-0.667575</v>
      </c>
      <c r="AJ82" s="285" t="n">
        <f aca="false">OperatingCurve!AW107</f>
        <v>10.6812</v>
      </c>
      <c r="AK82" s="285" t="n">
        <f aca="false">OperatingCurve!AY107</f>
        <v>13.3515</v>
      </c>
      <c r="AM82" s="286" t="n">
        <f aca="false">OperatingCurve!AL107</f>
        <v>25</v>
      </c>
      <c r="AN82" s="287" t="n">
        <f aca="false">OperatingCurve!AM107</f>
        <v>0.4</v>
      </c>
      <c r="BE82" s="284" t="n">
        <f aca="false">OperatingCurve!V107</f>
        <v>39142</v>
      </c>
      <c r="BF82" s="289" t="n">
        <f aca="false">OperatingCurve!AZ107</f>
        <v>0</v>
      </c>
    </row>
    <row r="83" customFormat="false" ht="12.75" hidden="false" customHeight="false" outlineLevel="0" collapsed="false">
      <c r="A83" s="282" t="n">
        <f aca="false">OperatingCurve!D79</f>
        <v>38292</v>
      </c>
      <c r="B83" s="283" t="n">
        <f aca="false">OperatingCurve!H79</f>
        <v>41.6</v>
      </c>
      <c r="C83" s="283" t="n">
        <f aca="false">OperatingCurve!G79</f>
        <v>47.025</v>
      </c>
      <c r="D83" s="283" t="n">
        <f aca="false">OperatingCurve!I79</f>
        <v>63.6</v>
      </c>
      <c r="E83" s="278"/>
      <c r="F83" s="283" t="n">
        <f aca="false">OperatingCurve!M79</f>
        <v>0</v>
      </c>
      <c r="G83" s="283" t="n">
        <f aca="false">OperatingCurve!L79</f>
        <v>0</v>
      </c>
      <c r="H83" s="283" t="n">
        <f aca="false">OperatingCurve!N79</f>
        <v>0</v>
      </c>
      <c r="I83" s="273"/>
      <c r="J83" s="284" t="n">
        <f aca="false">OperatingCurve!V108</f>
        <v>39173</v>
      </c>
      <c r="K83" s="285" t="n">
        <f aca="false">OperatingCurve!Z108</f>
        <v>0</v>
      </c>
      <c r="L83" s="285" t="n">
        <f aca="false">OperatingCurve!Y108</f>
        <v>0</v>
      </c>
      <c r="M83" s="285" t="n">
        <f aca="false">OperatingCurve!AA108</f>
        <v>0</v>
      </c>
      <c r="O83" s="285" t="n">
        <f aca="false">OperatingCurve!AE108</f>
        <v>0</v>
      </c>
      <c r="P83" s="285" t="n">
        <f aca="false">OperatingCurve!AD108</f>
        <v>0</v>
      </c>
      <c r="Q83" s="285" t="n">
        <f aca="false">OperatingCurve!AF108</f>
        <v>0</v>
      </c>
      <c r="S83" s="285" t="n">
        <f aca="false">OperatingCurve!AJ108</f>
        <v>0</v>
      </c>
      <c r="T83" s="285" t="n">
        <f aca="false">OperatingCurve!AI108</f>
        <v>0</v>
      </c>
      <c r="U83" s="285" t="n">
        <f aca="false">OperatingCurve!AK108</f>
        <v>0</v>
      </c>
      <c r="W83" s="285" t="n">
        <f aca="false">OperatingCurve!AO108</f>
        <v>0.20475</v>
      </c>
      <c r="X83" s="285" t="n">
        <f aca="false">OperatingCurve!AN108</f>
        <v>0.455</v>
      </c>
      <c r="Y83" s="285" t="n">
        <f aca="false">OperatingCurve!AP108</f>
        <v>0.56875</v>
      </c>
      <c r="AA83" s="285" t="n">
        <f aca="false">OperatingCurve!AR108</f>
        <v>0.182</v>
      </c>
      <c r="AB83" s="285" t="n">
        <f aca="false">OperatingCurve!AQ108</f>
        <v>0.455</v>
      </c>
      <c r="AC83" s="285" t="n">
        <f aca="false">OperatingCurve!AS108</f>
        <v>0.34125</v>
      </c>
      <c r="AE83" s="285" t="n">
        <f aca="false">OperatingCurve!AU108</f>
        <v>-0.39109561761751</v>
      </c>
      <c r="AF83" s="285" t="n">
        <f aca="false">OperatingCurve!AT108</f>
        <v>6.25752988188016</v>
      </c>
      <c r="AG83" s="285" t="n">
        <f aca="false">OperatingCurve!AV108</f>
        <v>7.8219123523502</v>
      </c>
      <c r="AI83" s="285" t="n">
        <f aca="false">OperatingCurve!AX108</f>
        <v>-0.6734625</v>
      </c>
      <c r="AJ83" s="285" t="n">
        <f aca="false">OperatingCurve!AW108</f>
        <v>10.7754</v>
      </c>
      <c r="AK83" s="285" t="n">
        <f aca="false">OperatingCurve!AY108</f>
        <v>13.46925</v>
      </c>
      <c r="AM83" s="286" t="n">
        <f aca="false">OperatingCurve!AL108</f>
        <v>26</v>
      </c>
      <c r="AN83" s="287" t="n">
        <f aca="false">OperatingCurve!AM108</f>
        <v>0.4</v>
      </c>
      <c r="BE83" s="284" t="n">
        <f aca="false">OperatingCurve!V108</f>
        <v>39173</v>
      </c>
      <c r="BF83" s="289" t="n">
        <f aca="false">OperatingCurve!AZ108</f>
        <v>0</v>
      </c>
    </row>
    <row r="84" customFormat="false" ht="12.75" hidden="false" customHeight="false" outlineLevel="0" collapsed="false">
      <c r="A84" s="282" t="n">
        <f aca="false">OperatingCurve!D80</f>
        <v>38322</v>
      </c>
      <c r="B84" s="283" t="n">
        <f aca="false">OperatingCurve!H80</f>
        <v>63.6</v>
      </c>
      <c r="C84" s="283" t="n">
        <f aca="false">OperatingCurve!G80</f>
        <v>69.225</v>
      </c>
      <c r="D84" s="283" t="n">
        <f aca="false">OperatingCurve!I80</f>
        <v>86.4</v>
      </c>
      <c r="E84" s="278"/>
      <c r="F84" s="283" t="n">
        <f aca="false">OperatingCurve!M80</f>
        <v>0</v>
      </c>
      <c r="G84" s="283" t="n">
        <f aca="false">OperatingCurve!L80</f>
        <v>0</v>
      </c>
      <c r="H84" s="283" t="n">
        <f aca="false">OperatingCurve!N80</f>
        <v>0</v>
      </c>
      <c r="I84" s="273"/>
      <c r="J84" s="284" t="n">
        <f aca="false">OperatingCurve!V109</f>
        <v>39203</v>
      </c>
      <c r="K84" s="285" t="n">
        <f aca="false">OperatingCurve!Z109</f>
        <v>0</v>
      </c>
      <c r="L84" s="285" t="n">
        <f aca="false">OperatingCurve!Y109</f>
        <v>0</v>
      </c>
      <c r="M84" s="285" t="n">
        <f aca="false">OperatingCurve!AA109</f>
        <v>0</v>
      </c>
      <c r="O84" s="285" t="n">
        <f aca="false">OperatingCurve!AE109</f>
        <v>0</v>
      </c>
      <c r="P84" s="285" t="n">
        <f aca="false">OperatingCurve!AD109</f>
        <v>0</v>
      </c>
      <c r="Q84" s="285" t="n">
        <f aca="false">OperatingCurve!AF109</f>
        <v>0</v>
      </c>
      <c r="S84" s="285" t="n">
        <f aca="false">OperatingCurve!AJ109</f>
        <v>0</v>
      </c>
      <c r="T84" s="285" t="n">
        <f aca="false">OperatingCurve!AI109</f>
        <v>0</v>
      </c>
      <c r="U84" s="285" t="n">
        <f aca="false">OperatingCurve!AK109</f>
        <v>0</v>
      </c>
      <c r="W84" s="285" t="n">
        <f aca="false">OperatingCurve!AO109</f>
        <v>0.20475</v>
      </c>
      <c r="X84" s="285" t="n">
        <f aca="false">OperatingCurve!AN109</f>
        <v>0.455</v>
      </c>
      <c r="Y84" s="285" t="n">
        <f aca="false">OperatingCurve!AP109</f>
        <v>0.56875</v>
      </c>
      <c r="AA84" s="285" t="n">
        <f aca="false">OperatingCurve!AR109</f>
        <v>0.182</v>
      </c>
      <c r="AB84" s="285" t="n">
        <f aca="false">OperatingCurve!AQ109</f>
        <v>0.455</v>
      </c>
      <c r="AC84" s="285" t="n">
        <f aca="false">OperatingCurve!AS109</f>
        <v>0.34125</v>
      </c>
      <c r="AE84" s="285" t="n">
        <f aca="false">OperatingCurve!AU109</f>
        <v>-0.410147476715089</v>
      </c>
      <c r="AF84" s="285" t="n">
        <f aca="false">OperatingCurve!AT109</f>
        <v>6.56235962744143</v>
      </c>
      <c r="AG84" s="285" t="n">
        <f aca="false">OperatingCurve!AV109</f>
        <v>8.20294953430178</v>
      </c>
      <c r="AI84" s="285" t="n">
        <f aca="false">OperatingCurve!AX109</f>
        <v>-0.6558</v>
      </c>
      <c r="AJ84" s="285" t="n">
        <f aca="false">OperatingCurve!AW109</f>
        <v>10.4928</v>
      </c>
      <c r="AK84" s="285" t="n">
        <f aca="false">OperatingCurve!AY109</f>
        <v>13.116</v>
      </c>
      <c r="AM84" s="286" t="n">
        <f aca="false">OperatingCurve!AL109</f>
        <v>26</v>
      </c>
      <c r="AN84" s="287" t="n">
        <f aca="false">OperatingCurve!AM109</f>
        <v>0.4</v>
      </c>
      <c r="BE84" s="284" t="n">
        <f aca="false">OperatingCurve!V109</f>
        <v>39203</v>
      </c>
      <c r="BF84" s="289" t="n">
        <f aca="false">OperatingCurve!AZ109</f>
        <v>0</v>
      </c>
    </row>
    <row r="85" customFormat="false" ht="12.75" hidden="false" customHeight="false" outlineLevel="0" collapsed="false">
      <c r="A85" s="282" t="n">
        <f aca="false">OperatingCurve!D81</f>
        <v>38353</v>
      </c>
      <c r="B85" s="283" t="n">
        <f aca="false">OperatingCurve!H81</f>
        <v>56.916</v>
      </c>
      <c r="C85" s="283" t="n">
        <f aca="false">OperatingCurve!G81</f>
        <v>62.481</v>
      </c>
      <c r="D85" s="283" t="n">
        <f aca="false">OperatingCurve!I81</f>
        <v>79.476</v>
      </c>
      <c r="E85" s="278"/>
      <c r="F85" s="283" t="n">
        <f aca="false">OperatingCurve!M81</f>
        <v>0</v>
      </c>
      <c r="G85" s="283" t="n">
        <f aca="false">OperatingCurve!L81</f>
        <v>0</v>
      </c>
      <c r="H85" s="283" t="n">
        <f aca="false">OperatingCurve!N81</f>
        <v>0</v>
      </c>
      <c r="I85" s="273"/>
      <c r="J85" s="284" t="n">
        <f aca="false">OperatingCurve!V110</f>
        <v>39234</v>
      </c>
      <c r="K85" s="285" t="n">
        <f aca="false">OperatingCurve!Z110</f>
        <v>0</v>
      </c>
      <c r="L85" s="285" t="n">
        <f aca="false">OperatingCurve!Y110</f>
        <v>0</v>
      </c>
      <c r="M85" s="285" t="n">
        <f aca="false">OperatingCurve!AA110</f>
        <v>0</v>
      </c>
      <c r="O85" s="285" t="n">
        <f aca="false">OperatingCurve!AE110</f>
        <v>0</v>
      </c>
      <c r="P85" s="285" t="n">
        <f aca="false">OperatingCurve!AD110</f>
        <v>0</v>
      </c>
      <c r="Q85" s="285" t="n">
        <f aca="false">OperatingCurve!AF110</f>
        <v>0</v>
      </c>
      <c r="S85" s="285" t="n">
        <f aca="false">OperatingCurve!AJ110</f>
        <v>0</v>
      </c>
      <c r="T85" s="285" t="n">
        <f aca="false">OperatingCurve!AI110</f>
        <v>0</v>
      </c>
      <c r="U85" s="285" t="n">
        <f aca="false">OperatingCurve!AK110</f>
        <v>0</v>
      </c>
      <c r="W85" s="285" t="n">
        <f aca="false">OperatingCurve!AO110</f>
        <v>0.19575</v>
      </c>
      <c r="X85" s="285" t="n">
        <f aca="false">OperatingCurve!AN110</f>
        <v>0.435</v>
      </c>
      <c r="Y85" s="285" t="n">
        <f aca="false">OperatingCurve!AP110</f>
        <v>0.54375</v>
      </c>
      <c r="AA85" s="285" t="n">
        <f aca="false">OperatingCurve!AR110</f>
        <v>0.174</v>
      </c>
      <c r="AB85" s="285" t="n">
        <f aca="false">OperatingCurve!AQ110</f>
        <v>0.435</v>
      </c>
      <c r="AC85" s="285" t="n">
        <f aca="false">OperatingCurve!AS110</f>
        <v>0.32625</v>
      </c>
      <c r="AE85" s="285" t="n">
        <f aca="false">OperatingCurve!AU110</f>
        <v>-0.484735205974953</v>
      </c>
      <c r="AF85" s="285" t="n">
        <f aca="false">OperatingCurve!AT110</f>
        <v>7.75576329559925</v>
      </c>
      <c r="AG85" s="285" t="n">
        <f aca="false">OperatingCurve!AV110</f>
        <v>9.69470411949907</v>
      </c>
      <c r="AI85" s="285" t="n">
        <f aca="false">OperatingCurve!AX110</f>
        <v>-0.620475</v>
      </c>
      <c r="AJ85" s="285" t="n">
        <f aca="false">OperatingCurve!AW110</f>
        <v>9.9276</v>
      </c>
      <c r="AK85" s="285" t="n">
        <f aca="false">OperatingCurve!AY110</f>
        <v>12.4095</v>
      </c>
      <c r="AM85" s="286" t="n">
        <f aca="false">OperatingCurve!AL110</f>
        <v>26</v>
      </c>
      <c r="AN85" s="287" t="n">
        <f aca="false">OperatingCurve!AM110</f>
        <v>0.4</v>
      </c>
      <c r="BE85" s="284" t="n">
        <f aca="false">OperatingCurve!V110</f>
        <v>39234</v>
      </c>
      <c r="BF85" s="289" t="n">
        <f aca="false">OperatingCurve!AZ110</f>
        <v>0</v>
      </c>
    </row>
    <row r="86" customFormat="false" ht="12.75" hidden="false" customHeight="false" outlineLevel="0" collapsed="false">
      <c r="A86" s="282" t="n">
        <f aca="false">OperatingCurve!D82</f>
        <v>38384</v>
      </c>
      <c r="B86" s="283" t="n">
        <f aca="false">OperatingCurve!H82</f>
        <v>50.304</v>
      </c>
      <c r="C86" s="283" t="n">
        <f aca="false">OperatingCurve!G82</f>
        <v>55.809</v>
      </c>
      <c r="D86" s="283" t="n">
        <f aca="false">OperatingCurve!I82</f>
        <v>72.624</v>
      </c>
      <c r="E86" s="278"/>
      <c r="F86" s="283" t="n">
        <f aca="false">OperatingCurve!M82</f>
        <v>0</v>
      </c>
      <c r="G86" s="283" t="n">
        <f aca="false">OperatingCurve!L82</f>
        <v>0</v>
      </c>
      <c r="H86" s="283" t="n">
        <f aca="false">OperatingCurve!N82</f>
        <v>0</v>
      </c>
      <c r="I86" s="273"/>
      <c r="J86" s="284" t="n">
        <f aca="false">OperatingCurve!V111</f>
        <v>39264</v>
      </c>
      <c r="K86" s="285" t="n">
        <f aca="false">OperatingCurve!Z111</f>
        <v>0</v>
      </c>
      <c r="L86" s="285" t="n">
        <f aca="false">OperatingCurve!Y111</f>
        <v>0</v>
      </c>
      <c r="M86" s="285" t="n">
        <f aca="false">OperatingCurve!AA111</f>
        <v>0</v>
      </c>
      <c r="O86" s="285" t="n">
        <f aca="false">OperatingCurve!AE111</f>
        <v>0</v>
      </c>
      <c r="P86" s="285" t="n">
        <f aca="false">OperatingCurve!AD111</f>
        <v>0</v>
      </c>
      <c r="Q86" s="285" t="n">
        <f aca="false">OperatingCurve!AF111</f>
        <v>0</v>
      </c>
      <c r="S86" s="285" t="n">
        <f aca="false">OperatingCurve!AJ111</f>
        <v>0</v>
      </c>
      <c r="T86" s="285" t="n">
        <f aca="false">OperatingCurve!AI111</f>
        <v>0</v>
      </c>
      <c r="U86" s="285" t="n">
        <f aca="false">OperatingCurve!AK111</f>
        <v>0</v>
      </c>
      <c r="W86" s="285" t="n">
        <f aca="false">OperatingCurve!AO111</f>
        <v>0.19575</v>
      </c>
      <c r="X86" s="285" t="n">
        <f aca="false">OperatingCurve!AN111</f>
        <v>0.435</v>
      </c>
      <c r="Y86" s="285" t="n">
        <f aca="false">OperatingCurve!AP111</f>
        <v>0.54375</v>
      </c>
      <c r="AA86" s="285" t="n">
        <f aca="false">OperatingCurve!AR111</f>
        <v>0.174</v>
      </c>
      <c r="AB86" s="285" t="n">
        <f aca="false">OperatingCurve!AQ111</f>
        <v>0.435</v>
      </c>
      <c r="AC86" s="285" t="n">
        <f aca="false">OperatingCurve!AS111</f>
        <v>0.32625</v>
      </c>
      <c r="AE86" s="285" t="n">
        <f aca="false">OperatingCurve!AU111</f>
        <v>-0.484735205974953</v>
      </c>
      <c r="AF86" s="285" t="n">
        <f aca="false">OperatingCurve!AT111</f>
        <v>7.75576329559925</v>
      </c>
      <c r="AG86" s="285" t="n">
        <f aca="false">OperatingCurve!AV111</f>
        <v>9.69470411949907</v>
      </c>
      <c r="AI86" s="285" t="n">
        <f aca="false">OperatingCurve!AX111</f>
        <v>-0.620475</v>
      </c>
      <c r="AJ86" s="285" t="n">
        <f aca="false">OperatingCurve!AW111</f>
        <v>9.9276</v>
      </c>
      <c r="AK86" s="285" t="n">
        <f aca="false">OperatingCurve!AY111</f>
        <v>12.4095</v>
      </c>
      <c r="AM86" s="286" t="n">
        <f aca="false">OperatingCurve!AL111</f>
        <v>27</v>
      </c>
      <c r="AN86" s="287" t="n">
        <f aca="false">OperatingCurve!AM111</f>
        <v>0.4</v>
      </c>
      <c r="BE86" s="284" t="n">
        <f aca="false">OperatingCurve!V111</f>
        <v>39264</v>
      </c>
      <c r="BF86" s="289" t="n">
        <f aca="false">OperatingCurve!AZ111</f>
        <v>0</v>
      </c>
    </row>
    <row r="87" customFormat="false" ht="12.75" hidden="false" customHeight="false" outlineLevel="0" collapsed="false">
      <c r="A87" s="282" t="n">
        <f aca="false">OperatingCurve!D83</f>
        <v>38412</v>
      </c>
      <c r="B87" s="283" t="n">
        <f aca="false">OperatingCurve!H83</f>
        <v>40.521</v>
      </c>
      <c r="C87" s="283" t="n">
        <f aca="false">OperatingCurve!G83</f>
        <v>45.936</v>
      </c>
      <c r="D87" s="283" t="n">
        <f aca="false">OperatingCurve!I83</f>
        <v>62.481</v>
      </c>
      <c r="E87" s="278"/>
      <c r="F87" s="283" t="n">
        <f aca="false">OperatingCurve!M83</f>
        <v>0</v>
      </c>
      <c r="G87" s="283" t="n">
        <f aca="false">OperatingCurve!L83</f>
        <v>0</v>
      </c>
      <c r="H87" s="283" t="n">
        <f aca="false">OperatingCurve!N83</f>
        <v>0</v>
      </c>
      <c r="I87" s="273"/>
      <c r="J87" s="284" t="n">
        <f aca="false">OperatingCurve!V112</f>
        <v>39295</v>
      </c>
      <c r="K87" s="285" t="n">
        <f aca="false">OperatingCurve!Z112</f>
        <v>0</v>
      </c>
      <c r="L87" s="285" t="n">
        <f aca="false">OperatingCurve!Y112</f>
        <v>0</v>
      </c>
      <c r="M87" s="285" t="n">
        <f aca="false">OperatingCurve!AA112</f>
        <v>0</v>
      </c>
      <c r="O87" s="285" t="n">
        <f aca="false">OperatingCurve!AE112</f>
        <v>0</v>
      </c>
      <c r="P87" s="285" t="n">
        <f aca="false">OperatingCurve!AD112</f>
        <v>0</v>
      </c>
      <c r="Q87" s="285" t="n">
        <f aca="false">OperatingCurve!AF112</f>
        <v>0</v>
      </c>
      <c r="S87" s="285" t="n">
        <f aca="false">OperatingCurve!AJ112</f>
        <v>0</v>
      </c>
      <c r="T87" s="285" t="n">
        <f aca="false">OperatingCurve!AI112</f>
        <v>0</v>
      </c>
      <c r="U87" s="285" t="n">
        <f aca="false">OperatingCurve!AK112</f>
        <v>0</v>
      </c>
      <c r="W87" s="285" t="n">
        <f aca="false">OperatingCurve!AO112</f>
        <v>0.19575</v>
      </c>
      <c r="X87" s="285" t="n">
        <f aca="false">OperatingCurve!AN112</f>
        <v>0.435</v>
      </c>
      <c r="Y87" s="285" t="n">
        <f aca="false">OperatingCurve!AP112</f>
        <v>0.54375</v>
      </c>
      <c r="AA87" s="285" t="n">
        <f aca="false">OperatingCurve!AR112</f>
        <v>0.174</v>
      </c>
      <c r="AB87" s="285" t="n">
        <f aca="false">OperatingCurve!AQ112</f>
        <v>0.435</v>
      </c>
      <c r="AC87" s="285" t="n">
        <f aca="false">OperatingCurve!AS112</f>
        <v>0.32625</v>
      </c>
      <c r="AE87" s="285" t="n">
        <f aca="false">OperatingCurve!AU112</f>
        <v>-0.517091326059428</v>
      </c>
      <c r="AF87" s="285" t="n">
        <f aca="false">OperatingCurve!AT112</f>
        <v>8.27346121695085</v>
      </c>
      <c r="AG87" s="285" t="n">
        <f aca="false">OperatingCurve!AV112</f>
        <v>10.3418265211886</v>
      </c>
      <c r="AI87" s="285" t="n">
        <f aca="false">OperatingCurve!AX112</f>
        <v>-0.6087</v>
      </c>
      <c r="AJ87" s="285" t="n">
        <f aca="false">OperatingCurve!AW112</f>
        <v>9.7392</v>
      </c>
      <c r="AK87" s="285" t="n">
        <f aca="false">OperatingCurve!AY112</f>
        <v>12.174</v>
      </c>
      <c r="AM87" s="286" t="n">
        <f aca="false">OperatingCurve!AL112</f>
        <v>27</v>
      </c>
      <c r="AN87" s="287" t="n">
        <f aca="false">OperatingCurve!AM112</f>
        <v>0.4</v>
      </c>
      <c r="BE87" s="284" t="n">
        <f aca="false">OperatingCurve!V112</f>
        <v>39295</v>
      </c>
      <c r="BF87" s="289" t="n">
        <f aca="false">OperatingCurve!AZ112</f>
        <v>0</v>
      </c>
    </row>
    <row r="88" customFormat="false" ht="12.75" hidden="false" customHeight="false" outlineLevel="0" collapsed="false">
      <c r="A88" s="282" t="n">
        <f aca="false">OperatingCurve!D84</f>
        <v>38443</v>
      </c>
      <c r="B88" s="283" t="n">
        <f aca="false">OperatingCurve!H84</f>
        <v>26.676</v>
      </c>
      <c r="C88" s="283" t="n">
        <f aca="false">OperatingCurve!G84</f>
        <v>31.961</v>
      </c>
      <c r="D88" s="283" t="n">
        <f aca="false">OperatingCurve!I84</f>
        <v>48.116</v>
      </c>
      <c r="E88" s="278"/>
      <c r="F88" s="283" t="n">
        <f aca="false">OperatingCurve!M84</f>
        <v>0</v>
      </c>
      <c r="G88" s="283" t="n">
        <f aca="false">OperatingCurve!L84</f>
        <v>0</v>
      </c>
      <c r="H88" s="283" t="n">
        <f aca="false">OperatingCurve!N84</f>
        <v>0</v>
      </c>
      <c r="I88" s="273"/>
      <c r="J88" s="284" t="n">
        <f aca="false">OperatingCurve!V113</f>
        <v>39326</v>
      </c>
      <c r="K88" s="285" t="n">
        <f aca="false">OperatingCurve!Z113</f>
        <v>0</v>
      </c>
      <c r="L88" s="285" t="n">
        <f aca="false">OperatingCurve!Y113</f>
        <v>0</v>
      </c>
      <c r="M88" s="285" t="n">
        <f aca="false">OperatingCurve!AA113</f>
        <v>0</v>
      </c>
      <c r="O88" s="285" t="n">
        <f aca="false">OperatingCurve!AE113</f>
        <v>0</v>
      </c>
      <c r="P88" s="285" t="n">
        <f aca="false">OperatingCurve!AD113</f>
        <v>0</v>
      </c>
      <c r="Q88" s="285" t="n">
        <f aca="false">OperatingCurve!AF113</f>
        <v>0</v>
      </c>
      <c r="S88" s="285" t="n">
        <f aca="false">OperatingCurve!AJ113</f>
        <v>0</v>
      </c>
      <c r="T88" s="285" t="n">
        <f aca="false">OperatingCurve!AI113</f>
        <v>0</v>
      </c>
      <c r="U88" s="285" t="n">
        <f aca="false">OperatingCurve!AK113</f>
        <v>0</v>
      </c>
      <c r="W88" s="285" t="n">
        <f aca="false">OperatingCurve!AO113</f>
        <v>0.19575</v>
      </c>
      <c r="X88" s="285" t="n">
        <f aca="false">OperatingCurve!AN113</f>
        <v>0.435</v>
      </c>
      <c r="Y88" s="285" t="n">
        <f aca="false">OperatingCurve!AP113</f>
        <v>0.54375</v>
      </c>
      <c r="AA88" s="285" t="n">
        <f aca="false">OperatingCurve!AR113</f>
        <v>0.174</v>
      </c>
      <c r="AB88" s="285" t="n">
        <f aca="false">OperatingCurve!AQ113</f>
        <v>0.435</v>
      </c>
      <c r="AC88" s="285" t="n">
        <f aca="false">OperatingCurve!AS113</f>
        <v>0.32625</v>
      </c>
      <c r="AE88" s="285" t="n">
        <f aca="false">OperatingCurve!AU113</f>
        <v>-0.43048858158097</v>
      </c>
      <c r="AF88" s="285" t="n">
        <f aca="false">OperatingCurve!AT113</f>
        <v>6.88781730529552</v>
      </c>
      <c r="AG88" s="285" t="n">
        <f aca="false">OperatingCurve!AV113</f>
        <v>8.60977163161941</v>
      </c>
      <c r="AI88" s="285" t="n">
        <f aca="false">OperatingCurve!AX113</f>
        <v>-0.644025</v>
      </c>
      <c r="AJ88" s="285" t="n">
        <f aca="false">OperatingCurve!AW113</f>
        <v>10.3044</v>
      </c>
      <c r="AK88" s="285" t="n">
        <f aca="false">OperatingCurve!AY113</f>
        <v>12.8805</v>
      </c>
      <c r="AM88" s="286" t="n">
        <f aca="false">OperatingCurve!AL113</f>
        <v>27</v>
      </c>
      <c r="AN88" s="287" t="n">
        <f aca="false">OperatingCurve!AM113</f>
        <v>0.4</v>
      </c>
      <c r="BE88" s="284" t="n">
        <f aca="false">OperatingCurve!V113</f>
        <v>39326</v>
      </c>
      <c r="BF88" s="289" t="n">
        <f aca="false">OperatingCurve!AZ113</f>
        <v>0</v>
      </c>
    </row>
    <row r="89" customFormat="false" ht="12.75" hidden="false" customHeight="false" outlineLevel="0" collapsed="false">
      <c r="A89" s="282" t="n">
        <f aca="false">OperatingCurve!D85</f>
        <v>38473</v>
      </c>
      <c r="B89" s="283" t="n">
        <f aca="false">OperatingCurve!H85</f>
        <v>29.841</v>
      </c>
      <c r="C89" s="283" t="n">
        <f aca="false">OperatingCurve!G85</f>
        <v>35.156</v>
      </c>
      <c r="D89" s="283" t="n">
        <f aca="false">OperatingCurve!I85</f>
        <v>51.401</v>
      </c>
      <c r="E89" s="278"/>
      <c r="F89" s="283" t="n">
        <f aca="false">OperatingCurve!M85</f>
        <v>0</v>
      </c>
      <c r="G89" s="283" t="n">
        <f aca="false">OperatingCurve!L85</f>
        <v>0</v>
      </c>
      <c r="H89" s="283" t="n">
        <f aca="false">OperatingCurve!N85</f>
        <v>0</v>
      </c>
      <c r="I89" s="273"/>
      <c r="J89" s="284" t="n">
        <f aca="false">OperatingCurve!V114</f>
        <v>39356</v>
      </c>
      <c r="K89" s="285" t="n">
        <f aca="false">OperatingCurve!Z114</f>
        <v>0</v>
      </c>
      <c r="L89" s="285" t="n">
        <f aca="false">OperatingCurve!Y114</f>
        <v>0</v>
      </c>
      <c r="M89" s="285" t="n">
        <f aca="false">OperatingCurve!AA114</f>
        <v>0</v>
      </c>
      <c r="O89" s="285" t="n">
        <f aca="false">OperatingCurve!AE114</f>
        <v>0</v>
      </c>
      <c r="P89" s="285" t="n">
        <f aca="false">OperatingCurve!AD114</f>
        <v>0</v>
      </c>
      <c r="Q89" s="285" t="n">
        <f aca="false">OperatingCurve!AF114</f>
        <v>0</v>
      </c>
      <c r="S89" s="285" t="n">
        <f aca="false">OperatingCurve!AJ114</f>
        <v>0</v>
      </c>
      <c r="T89" s="285" t="n">
        <f aca="false">OperatingCurve!AI114</f>
        <v>0</v>
      </c>
      <c r="U89" s="285" t="n">
        <f aca="false">OperatingCurve!AK114</f>
        <v>0</v>
      </c>
      <c r="W89" s="285" t="n">
        <f aca="false">OperatingCurve!AO114</f>
        <v>0.19575</v>
      </c>
      <c r="X89" s="285" t="n">
        <f aca="false">OperatingCurve!AN114</f>
        <v>0.435</v>
      </c>
      <c r="Y89" s="285" t="n">
        <f aca="false">OperatingCurve!AP114</f>
        <v>0.54375</v>
      </c>
      <c r="AA89" s="285" t="n">
        <f aca="false">OperatingCurve!AR114</f>
        <v>0.174</v>
      </c>
      <c r="AB89" s="285" t="n">
        <f aca="false">OperatingCurve!AQ114</f>
        <v>0.435</v>
      </c>
      <c r="AC89" s="285" t="n">
        <f aca="false">OperatingCurve!AS114</f>
        <v>0.32625</v>
      </c>
      <c r="AE89" s="285" t="n">
        <f aca="false">OperatingCurve!AU114</f>
        <v>-0.455637578174882</v>
      </c>
      <c r="AF89" s="285" t="n">
        <f aca="false">OperatingCurve!AT114</f>
        <v>7.29020125079811</v>
      </c>
      <c r="AG89" s="285" t="n">
        <f aca="false">OperatingCurve!AV114</f>
        <v>9.11275156349763</v>
      </c>
      <c r="AI89" s="285" t="n">
        <f aca="false">OperatingCurve!AX114</f>
        <v>-0.63225</v>
      </c>
      <c r="AJ89" s="285" t="n">
        <f aca="false">OperatingCurve!AW114</f>
        <v>10.116</v>
      </c>
      <c r="AK89" s="285" t="n">
        <f aca="false">OperatingCurve!AY114</f>
        <v>12.645</v>
      </c>
      <c r="AM89" s="286" t="n">
        <f aca="false">OperatingCurve!AL114</f>
        <v>28</v>
      </c>
      <c r="AN89" s="287" t="n">
        <f aca="false">OperatingCurve!AM114</f>
        <v>0.4</v>
      </c>
      <c r="BE89" s="284" t="n">
        <f aca="false">OperatingCurve!V114</f>
        <v>39356</v>
      </c>
      <c r="BF89" s="289" t="n">
        <f aca="false">OperatingCurve!AZ114</f>
        <v>0</v>
      </c>
    </row>
    <row r="90" customFormat="false" ht="12.75" hidden="false" customHeight="false" outlineLevel="0" collapsed="false">
      <c r="A90" s="282" t="n">
        <f aca="false">OperatingCurve!D86</f>
        <v>38504</v>
      </c>
      <c r="B90" s="283" t="n">
        <f aca="false">OperatingCurve!H86</f>
        <v>36.225</v>
      </c>
      <c r="C90" s="283" t="n">
        <f aca="false">OperatingCurve!G86</f>
        <v>41.6</v>
      </c>
      <c r="D90" s="283" t="n">
        <f aca="false">OperatingCurve!I86</f>
        <v>58.025</v>
      </c>
      <c r="E90" s="278"/>
      <c r="F90" s="283" t="n">
        <f aca="false">OperatingCurve!M86</f>
        <v>0</v>
      </c>
      <c r="G90" s="283" t="n">
        <f aca="false">OperatingCurve!L86</f>
        <v>0</v>
      </c>
      <c r="H90" s="283" t="n">
        <f aca="false">OperatingCurve!N86</f>
        <v>0</v>
      </c>
      <c r="I90" s="273"/>
      <c r="J90" s="284" t="n">
        <f aca="false">OperatingCurve!V115</f>
        <v>39387</v>
      </c>
      <c r="K90" s="285" t="n">
        <f aca="false">OperatingCurve!Z115</f>
        <v>0</v>
      </c>
      <c r="L90" s="285" t="n">
        <f aca="false">OperatingCurve!Y115</f>
        <v>0</v>
      </c>
      <c r="M90" s="285" t="n">
        <f aca="false">OperatingCurve!AA115</f>
        <v>0</v>
      </c>
      <c r="O90" s="285" t="n">
        <f aca="false">OperatingCurve!AE115</f>
        <v>0</v>
      </c>
      <c r="P90" s="285" t="n">
        <f aca="false">OperatingCurve!AD115</f>
        <v>0</v>
      </c>
      <c r="Q90" s="285" t="n">
        <f aca="false">OperatingCurve!AF115</f>
        <v>0</v>
      </c>
      <c r="S90" s="285" t="n">
        <f aca="false">OperatingCurve!AJ115</f>
        <v>0</v>
      </c>
      <c r="T90" s="285" t="n">
        <f aca="false">OperatingCurve!AI115</f>
        <v>0</v>
      </c>
      <c r="U90" s="285" t="n">
        <f aca="false">OperatingCurve!AK115</f>
        <v>0</v>
      </c>
      <c r="W90" s="285" t="n">
        <f aca="false">OperatingCurve!AO115</f>
        <v>0.19575</v>
      </c>
      <c r="X90" s="285" t="n">
        <f aca="false">OperatingCurve!AN115</f>
        <v>0.435</v>
      </c>
      <c r="Y90" s="285" t="n">
        <f aca="false">OperatingCurve!AP115</f>
        <v>0.54375</v>
      </c>
      <c r="AA90" s="285" t="n">
        <f aca="false">OperatingCurve!AR115</f>
        <v>0.174</v>
      </c>
      <c r="AB90" s="285" t="n">
        <f aca="false">OperatingCurve!AQ115</f>
        <v>0.435</v>
      </c>
      <c r="AC90" s="285" t="n">
        <f aca="false">OperatingCurve!AS115</f>
        <v>0.32625</v>
      </c>
      <c r="AE90" s="285" t="n">
        <f aca="false">OperatingCurve!AU115</f>
        <v>-0.410147476715089</v>
      </c>
      <c r="AF90" s="285" t="n">
        <f aca="false">OperatingCurve!AT115</f>
        <v>6.56235962744143</v>
      </c>
      <c r="AG90" s="285" t="n">
        <f aca="false">OperatingCurve!AV115</f>
        <v>8.20294953430178</v>
      </c>
      <c r="AI90" s="285" t="n">
        <f aca="false">OperatingCurve!AX115</f>
        <v>-0.6558</v>
      </c>
      <c r="AJ90" s="285" t="n">
        <f aca="false">OperatingCurve!AW115</f>
        <v>10.4928</v>
      </c>
      <c r="AK90" s="285" t="n">
        <f aca="false">OperatingCurve!AY115</f>
        <v>13.116</v>
      </c>
      <c r="AM90" s="286" t="n">
        <f aca="false">OperatingCurve!AL115</f>
        <v>28</v>
      </c>
      <c r="AN90" s="287" t="n">
        <f aca="false">OperatingCurve!AM115</f>
        <v>0.4</v>
      </c>
      <c r="BE90" s="284" t="n">
        <f aca="false">OperatingCurve!V115</f>
        <v>39387</v>
      </c>
      <c r="BF90" s="289" t="n">
        <f aca="false">OperatingCurve!AZ115</f>
        <v>0</v>
      </c>
    </row>
    <row r="91" customFormat="false" ht="12.75" hidden="false" customHeight="false" outlineLevel="0" collapsed="false">
      <c r="A91" s="282" t="n">
        <f aca="false">OperatingCurve!D87</f>
        <v>38534</v>
      </c>
      <c r="B91" s="283" t="n">
        <f aca="false">OperatingCurve!H87</f>
        <v>48.116</v>
      </c>
      <c r="C91" s="283" t="n">
        <f aca="false">OperatingCurve!G87</f>
        <v>53.601</v>
      </c>
      <c r="D91" s="283" t="n">
        <f aca="false">OperatingCurve!I87</f>
        <v>70.356</v>
      </c>
      <c r="E91" s="278"/>
      <c r="F91" s="283" t="n">
        <f aca="false">OperatingCurve!M87</f>
        <v>0</v>
      </c>
      <c r="G91" s="283" t="n">
        <f aca="false">OperatingCurve!L87</f>
        <v>0</v>
      </c>
      <c r="H91" s="283" t="n">
        <f aca="false">OperatingCurve!N87</f>
        <v>0</v>
      </c>
      <c r="I91" s="273"/>
      <c r="J91" s="284" t="n">
        <f aca="false">OperatingCurve!V116</f>
        <v>39417</v>
      </c>
      <c r="K91" s="285" t="n">
        <f aca="false">OperatingCurve!Z116</f>
        <v>0</v>
      </c>
      <c r="L91" s="285" t="n">
        <f aca="false">OperatingCurve!Y116</f>
        <v>0</v>
      </c>
      <c r="M91" s="285" t="n">
        <f aca="false">OperatingCurve!AA116</f>
        <v>0</v>
      </c>
      <c r="O91" s="285" t="n">
        <f aca="false">OperatingCurve!AE116</f>
        <v>0</v>
      </c>
      <c r="P91" s="285" t="n">
        <f aca="false">OperatingCurve!AD116</f>
        <v>0</v>
      </c>
      <c r="Q91" s="285" t="n">
        <f aca="false">OperatingCurve!AF116</f>
        <v>0</v>
      </c>
      <c r="S91" s="285" t="n">
        <f aca="false">OperatingCurve!AJ116</f>
        <v>0</v>
      </c>
      <c r="T91" s="285" t="n">
        <f aca="false">OperatingCurve!AI116</f>
        <v>0</v>
      </c>
      <c r="U91" s="285" t="n">
        <f aca="false">OperatingCurve!AK116</f>
        <v>0</v>
      </c>
      <c r="W91" s="285" t="n">
        <f aca="false">OperatingCurve!AO116</f>
        <v>0.19575</v>
      </c>
      <c r="X91" s="285" t="n">
        <f aca="false">OperatingCurve!AN116</f>
        <v>0.435</v>
      </c>
      <c r="Y91" s="285" t="n">
        <f aca="false">OperatingCurve!AP116</f>
        <v>0.54375</v>
      </c>
      <c r="AA91" s="285" t="n">
        <f aca="false">OperatingCurve!AR116</f>
        <v>0.174</v>
      </c>
      <c r="AB91" s="285" t="n">
        <f aca="false">OperatingCurve!AQ116</f>
        <v>0.435</v>
      </c>
      <c r="AC91" s="285" t="n">
        <f aca="false">OperatingCurve!AS116</f>
        <v>0.32625</v>
      </c>
      <c r="AE91" s="285" t="n">
        <f aca="false">OperatingCurve!AU116</f>
        <v>-0.402107379613998</v>
      </c>
      <c r="AF91" s="285" t="n">
        <f aca="false">OperatingCurve!AT116</f>
        <v>6.43371807382396</v>
      </c>
      <c r="AG91" s="285" t="n">
        <f aca="false">OperatingCurve!AV116</f>
        <v>8.04214759227995</v>
      </c>
      <c r="AI91" s="285" t="n">
        <f aca="false">OperatingCurve!AX116</f>
        <v>-0.667575</v>
      </c>
      <c r="AJ91" s="285" t="n">
        <f aca="false">OperatingCurve!AW116</f>
        <v>10.6812</v>
      </c>
      <c r="AK91" s="285" t="n">
        <f aca="false">OperatingCurve!AY116</f>
        <v>13.3515</v>
      </c>
      <c r="AM91" s="286" t="n">
        <f aca="false">OperatingCurve!AL116</f>
        <v>28</v>
      </c>
      <c r="AN91" s="287" t="n">
        <f aca="false">OperatingCurve!AM116</f>
        <v>0.4</v>
      </c>
      <c r="BE91" s="284" t="n">
        <f aca="false">OperatingCurve!V116</f>
        <v>39417</v>
      </c>
      <c r="BF91" s="289" t="n">
        <f aca="false">OperatingCurve!AZ116</f>
        <v>0</v>
      </c>
    </row>
    <row r="92" customFormat="false" ht="12.75" hidden="false" customHeight="false" outlineLevel="0" collapsed="false">
      <c r="A92" s="282" t="n">
        <f aca="false">OperatingCurve!D88</f>
        <v>38565</v>
      </c>
      <c r="B92" s="283" t="n">
        <f aca="false">OperatingCurve!H88</f>
        <v>71.489</v>
      </c>
      <c r="C92" s="283" t="n">
        <f aca="false">OperatingCurve!G88</f>
        <v>77.184</v>
      </c>
      <c r="D92" s="283" t="n">
        <f aca="false">OperatingCurve!I88</f>
        <v>94.569</v>
      </c>
      <c r="E92" s="278"/>
      <c r="F92" s="283" t="n">
        <f aca="false">OperatingCurve!M88</f>
        <v>0</v>
      </c>
      <c r="G92" s="283" t="n">
        <f aca="false">OperatingCurve!L88</f>
        <v>0</v>
      </c>
      <c r="H92" s="283" t="n">
        <f aca="false">OperatingCurve!N88</f>
        <v>0</v>
      </c>
      <c r="I92" s="273"/>
      <c r="J92" s="284" t="n">
        <f aca="false">OperatingCurve!V117</f>
        <v>39448</v>
      </c>
      <c r="K92" s="285" t="n">
        <f aca="false">OperatingCurve!Z117</f>
        <v>0</v>
      </c>
      <c r="L92" s="285" t="n">
        <f aca="false">OperatingCurve!Y117</f>
        <v>0</v>
      </c>
      <c r="M92" s="285" t="n">
        <f aca="false">OperatingCurve!AA117</f>
        <v>0</v>
      </c>
      <c r="O92" s="285" t="n">
        <f aca="false">OperatingCurve!AE117</f>
        <v>0</v>
      </c>
      <c r="P92" s="285" t="n">
        <f aca="false">OperatingCurve!AD117</f>
        <v>0</v>
      </c>
      <c r="Q92" s="285" t="n">
        <f aca="false">OperatingCurve!AF117</f>
        <v>0</v>
      </c>
      <c r="S92" s="285" t="n">
        <f aca="false">OperatingCurve!AJ117</f>
        <v>0</v>
      </c>
      <c r="T92" s="285" t="n">
        <f aca="false">OperatingCurve!AI117</f>
        <v>0</v>
      </c>
      <c r="U92" s="285" t="n">
        <f aca="false">OperatingCurve!AK117</f>
        <v>0</v>
      </c>
      <c r="W92" s="285" t="n">
        <f aca="false">OperatingCurve!AO117</f>
        <v>0.19575</v>
      </c>
      <c r="X92" s="285" t="n">
        <f aca="false">OperatingCurve!AN117</f>
        <v>0.435</v>
      </c>
      <c r="Y92" s="285" t="n">
        <f aca="false">OperatingCurve!AP117</f>
        <v>0.54375</v>
      </c>
      <c r="AA92" s="285" t="n">
        <f aca="false">OperatingCurve!AR117</f>
        <v>0.174</v>
      </c>
      <c r="AB92" s="285" t="n">
        <f aca="false">OperatingCurve!AQ117</f>
        <v>0.435</v>
      </c>
      <c r="AC92" s="285" t="n">
        <f aca="false">OperatingCurve!AS117</f>
        <v>0.32625</v>
      </c>
      <c r="AE92" s="285" t="n">
        <f aca="false">OperatingCurve!AU117</f>
        <v>-0.410147476715089</v>
      </c>
      <c r="AF92" s="285" t="n">
        <f aca="false">OperatingCurve!AT117</f>
        <v>6.56235962744143</v>
      </c>
      <c r="AG92" s="285" t="n">
        <f aca="false">OperatingCurve!AV117</f>
        <v>8.20294953430178</v>
      </c>
      <c r="AI92" s="285" t="n">
        <f aca="false">OperatingCurve!AX117</f>
        <v>-0.6558</v>
      </c>
      <c r="AJ92" s="285" t="n">
        <f aca="false">OperatingCurve!AW117</f>
        <v>10.4928</v>
      </c>
      <c r="AK92" s="285" t="n">
        <f aca="false">OperatingCurve!AY117</f>
        <v>13.116</v>
      </c>
      <c r="AM92" s="286" t="n">
        <f aca="false">OperatingCurve!AL117</f>
        <v>29</v>
      </c>
      <c r="AN92" s="287" t="n">
        <f aca="false">OperatingCurve!AM117</f>
        <v>0.4</v>
      </c>
      <c r="BE92" s="284" t="n">
        <f aca="false">OperatingCurve!V117</f>
        <v>39448</v>
      </c>
      <c r="BF92" s="289" t="n">
        <f aca="false">OperatingCurve!AZ117</f>
        <v>0</v>
      </c>
    </row>
    <row r="93" customFormat="false" ht="12.75" hidden="false" customHeight="false" outlineLevel="0" collapsed="false">
      <c r="A93" s="282" t="n">
        <f aca="false">OperatingCurve!D89</f>
        <v>38596</v>
      </c>
      <c r="B93" s="283" t="n">
        <f aca="false">OperatingCurve!H89</f>
        <v>52.5</v>
      </c>
      <c r="C93" s="283" t="n">
        <f aca="false">OperatingCurve!G89</f>
        <v>58.025</v>
      </c>
      <c r="D93" s="283" t="n">
        <f aca="false">OperatingCurve!I89</f>
        <v>74.9</v>
      </c>
      <c r="E93" s="278"/>
      <c r="F93" s="283" t="n">
        <f aca="false">OperatingCurve!M89</f>
        <v>0</v>
      </c>
      <c r="G93" s="283" t="n">
        <f aca="false">OperatingCurve!L89</f>
        <v>0</v>
      </c>
      <c r="H93" s="283" t="n">
        <f aca="false">OperatingCurve!N89</f>
        <v>0</v>
      </c>
      <c r="I93" s="273"/>
      <c r="J93" s="284" t="n">
        <f aca="false">OperatingCurve!V118</f>
        <v>39479</v>
      </c>
      <c r="K93" s="285" t="n">
        <f aca="false">OperatingCurve!Z118</f>
        <v>0</v>
      </c>
      <c r="L93" s="285" t="n">
        <f aca="false">OperatingCurve!Y118</f>
        <v>0</v>
      </c>
      <c r="M93" s="285" t="n">
        <f aca="false">OperatingCurve!AA118</f>
        <v>0</v>
      </c>
      <c r="O93" s="285" t="n">
        <f aca="false">OperatingCurve!AE118</f>
        <v>0</v>
      </c>
      <c r="P93" s="285" t="n">
        <f aca="false">OperatingCurve!AD118</f>
        <v>0</v>
      </c>
      <c r="Q93" s="285" t="n">
        <f aca="false">OperatingCurve!AF118</f>
        <v>0</v>
      </c>
      <c r="S93" s="285" t="n">
        <f aca="false">OperatingCurve!AJ118</f>
        <v>0</v>
      </c>
      <c r="T93" s="285" t="n">
        <f aca="false">OperatingCurve!AI118</f>
        <v>0</v>
      </c>
      <c r="U93" s="285" t="n">
        <f aca="false">OperatingCurve!AK118</f>
        <v>0</v>
      </c>
      <c r="W93" s="285" t="n">
        <f aca="false">OperatingCurve!AO118</f>
        <v>0.19125</v>
      </c>
      <c r="X93" s="285" t="n">
        <f aca="false">OperatingCurve!AN118</f>
        <v>0.425</v>
      </c>
      <c r="Y93" s="285" t="n">
        <f aca="false">OperatingCurve!AP118</f>
        <v>0.53125</v>
      </c>
      <c r="AA93" s="285" t="n">
        <f aca="false">OperatingCurve!AR118</f>
        <v>0.17</v>
      </c>
      <c r="AB93" s="285" t="n">
        <f aca="false">OperatingCurve!AQ118</f>
        <v>0.425</v>
      </c>
      <c r="AC93" s="285" t="n">
        <f aca="false">OperatingCurve!AS118</f>
        <v>0.31875</v>
      </c>
      <c r="AE93" s="285" t="n">
        <f aca="false">OperatingCurve!AU118</f>
        <v>-0.402107379613998</v>
      </c>
      <c r="AF93" s="285" t="n">
        <f aca="false">OperatingCurve!AT118</f>
        <v>6.43371807382396</v>
      </c>
      <c r="AG93" s="285" t="n">
        <f aca="false">OperatingCurve!AV118</f>
        <v>8.04214759227995</v>
      </c>
      <c r="AI93" s="285" t="n">
        <f aca="false">OperatingCurve!AX118</f>
        <v>-0.6616875</v>
      </c>
      <c r="AJ93" s="285" t="n">
        <f aca="false">OperatingCurve!AW118</f>
        <v>10.587</v>
      </c>
      <c r="AK93" s="285" t="n">
        <f aca="false">OperatingCurve!AY118</f>
        <v>13.23375</v>
      </c>
      <c r="AM93" s="286" t="n">
        <f aca="false">OperatingCurve!AL118</f>
        <v>29</v>
      </c>
      <c r="AN93" s="287" t="n">
        <f aca="false">OperatingCurve!AM118</f>
        <v>0.4</v>
      </c>
      <c r="BE93" s="284" t="n">
        <f aca="false">OperatingCurve!V118</f>
        <v>39479</v>
      </c>
      <c r="BF93" s="289" t="n">
        <f aca="false">OperatingCurve!AZ118</f>
        <v>0</v>
      </c>
    </row>
    <row r="94" customFormat="false" ht="12.75" hidden="false" customHeight="false" outlineLevel="0" collapsed="false">
      <c r="A94" s="282" t="n">
        <f aca="false">OperatingCurve!D90</f>
        <v>38626</v>
      </c>
      <c r="B94" s="283" t="n">
        <f aca="false">OperatingCurve!H90</f>
        <v>34.089</v>
      </c>
      <c r="C94" s="283" t="n">
        <f aca="false">OperatingCurve!G90</f>
        <v>39.444</v>
      </c>
      <c r="D94" s="283" t="n">
        <f aca="false">OperatingCurve!I90</f>
        <v>55.809</v>
      </c>
      <c r="E94" s="278"/>
      <c r="F94" s="283" t="n">
        <f aca="false">OperatingCurve!M90</f>
        <v>0</v>
      </c>
      <c r="G94" s="283" t="n">
        <f aca="false">OperatingCurve!L90</f>
        <v>0</v>
      </c>
      <c r="H94" s="283" t="n">
        <f aca="false">OperatingCurve!N90</f>
        <v>0</v>
      </c>
      <c r="I94" s="273"/>
      <c r="J94" s="284" t="n">
        <f aca="false">OperatingCurve!V119</f>
        <v>39508</v>
      </c>
      <c r="K94" s="285" t="n">
        <f aca="false">OperatingCurve!Z119</f>
        <v>0</v>
      </c>
      <c r="L94" s="285" t="n">
        <f aca="false">OperatingCurve!Y119</f>
        <v>0</v>
      </c>
      <c r="M94" s="285" t="n">
        <f aca="false">OperatingCurve!AA119</f>
        <v>0</v>
      </c>
      <c r="O94" s="285" t="n">
        <f aca="false">OperatingCurve!AE119</f>
        <v>0</v>
      </c>
      <c r="P94" s="285" t="n">
        <f aca="false">OperatingCurve!AD119</f>
        <v>0</v>
      </c>
      <c r="Q94" s="285" t="n">
        <f aca="false">OperatingCurve!AF119</f>
        <v>0</v>
      </c>
      <c r="S94" s="285" t="n">
        <f aca="false">OperatingCurve!AJ119</f>
        <v>0</v>
      </c>
      <c r="T94" s="285" t="n">
        <f aca="false">OperatingCurve!AI119</f>
        <v>0</v>
      </c>
      <c r="U94" s="285" t="n">
        <f aca="false">OperatingCurve!AK119</f>
        <v>0</v>
      </c>
      <c r="W94" s="285" t="n">
        <f aca="false">OperatingCurve!AO119</f>
        <v>0.18675</v>
      </c>
      <c r="X94" s="285" t="n">
        <f aca="false">OperatingCurve!AN119</f>
        <v>0.415</v>
      </c>
      <c r="Y94" s="285" t="n">
        <f aca="false">OperatingCurve!AP119</f>
        <v>0.51875</v>
      </c>
      <c r="AA94" s="285" t="n">
        <f aca="false">OperatingCurve!AR119</f>
        <v>0.166</v>
      </c>
      <c r="AB94" s="285" t="n">
        <f aca="false">OperatingCurve!AQ119</f>
        <v>0.415</v>
      </c>
      <c r="AC94" s="285" t="n">
        <f aca="false">OperatingCurve!AS119</f>
        <v>0.31125</v>
      </c>
      <c r="AE94" s="285" t="n">
        <f aca="false">OperatingCurve!AU119</f>
        <v>-0.395696014851329</v>
      </c>
      <c r="AF94" s="285" t="n">
        <f aca="false">OperatingCurve!AT119</f>
        <v>6.33113623762127</v>
      </c>
      <c r="AG94" s="285" t="n">
        <f aca="false">OperatingCurve!AV119</f>
        <v>7.91392029702658</v>
      </c>
      <c r="AI94" s="285" t="n">
        <f aca="false">OperatingCurve!AX119</f>
        <v>-0.667575</v>
      </c>
      <c r="AJ94" s="285" t="n">
        <f aca="false">OperatingCurve!AW119</f>
        <v>10.6812</v>
      </c>
      <c r="AK94" s="285" t="n">
        <f aca="false">OperatingCurve!AY119</f>
        <v>13.3515</v>
      </c>
      <c r="AM94" s="286" t="n">
        <f aca="false">OperatingCurve!AL119</f>
        <v>29</v>
      </c>
      <c r="AN94" s="287" t="n">
        <f aca="false">OperatingCurve!AM119</f>
        <v>0.4</v>
      </c>
      <c r="BE94" s="284" t="n">
        <f aca="false">OperatingCurve!V119</f>
        <v>39508</v>
      </c>
      <c r="BF94" s="289" t="n">
        <f aca="false">OperatingCurve!AZ119</f>
        <v>0</v>
      </c>
    </row>
    <row r="95" customFormat="false" ht="12.75" hidden="false" customHeight="false" outlineLevel="0" collapsed="false">
      <c r="A95" s="282" t="n">
        <f aca="false">OperatingCurve!D91</f>
        <v>38657</v>
      </c>
      <c r="B95" s="283" t="n">
        <f aca="false">OperatingCurve!H91</f>
        <v>36.225</v>
      </c>
      <c r="C95" s="283" t="n">
        <f aca="false">OperatingCurve!G91</f>
        <v>41.6</v>
      </c>
      <c r="D95" s="283" t="n">
        <f aca="false">OperatingCurve!I91</f>
        <v>58.025</v>
      </c>
      <c r="E95" s="278"/>
      <c r="F95" s="283" t="n">
        <f aca="false">OperatingCurve!M91</f>
        <v>0</v>
      </c>
      <c r="G95" s="283" t="n">
        <f aca="false">OperatingCurve!L91</f>
        <v>0</v>
      </c>
      <c r="H95" s="283" t="n">
        <f aca="false">OperatingCurve!N91</f>
        <v>0</v>
      </c>
      <c r="I95" s="273"/>
      <c r="J95" s="284" t="n">
        <f aca="false">OperatingCurve!V120</f>
        <v>39539</v>
      </c>
      <c r="K95" s="285" t="n">
        <f aca="false">OperatingCurve!Z120</f>
        <v>0</v>
      </c>
      <c r="L95" s="285" t="n">
        <f aca="false">OperatingCurve!Y120</f>
        <v>0</v>
      </c>
      <c r="M95" s="285" t="n">
        <f aca="false">OperatingCurve!AA120</f>
        <v>0</v>
      </c>
      <c r="O95" s="285" t="n">
        <f aca="false">OperatingCurve!AE120</f>
        <v>0</v>
      </c>
      <c r="P95" s="285" t="n">
        <f aca="false">OperatingCurve!AD120</f>
        <v>0</v>
      </c>
      <c r="Q95" s="285" t="n">
        <f aca="false">OperatingCurve!AF120</f>
        <v>0</v>
      </c>
      <c r="S95" s="285" t="n">
        <f aca="false">OperatingCurve!AJ120</f>
        <v>0</v>
      </c>
      <c r="T95" s="285" t="n">
        <f aca="false">OperatingCurve!AI120</f>
        <v>0</v>
      </c>
      <c r="U95" s="285" t="n">
        <f aca="false">OperatingCurve!AK120</f>
        <v>0</v>
      </c>
      <c r="W95" s="285" t="n">
        <f aca="false">OperatingCurve!AO120</f>
        <v>0.18675</v>
      </c>
      <c r="X95" s="285" t="n">
        <f aca="false">OperatingCurve!AN120</f>
        <v>0.415</v>
      </c>
      <c r="Y95" s="285" t="n">
        <f aca="false">OperatingCurve!AP120</f>
        <v>0.51875</v>
      </c>
      <c r="AA95" s="285" t="n">
        <f aca="false">OperatingCurve!AR120</f>
        <v>0.166</v>
      </c>
      <c r="AB95" s="285" t="n">
        <f aca="false">OperatingCurve!AQ120</f>
        <v>0.415</v>
      </c>
      <c r="AC95" s="285" t="n">
        <f aca="false">OperatingCurve!AS120</f>
        <v>0.31125</v>
      </c>
      <c r="AE95" s="285" t="n">
        <f aca="false">OperatingCurve!AU120</f>
        <v>-0.39109561761751</v>
      </c>
      <c r="AF95" s="285" t="n">
        <f aca="false">OperatingCurve!AT120</f>
        <v>6.25752988188016</v>
      </c>
      <c r="AG95" s="285" t="n">
        <f aca="false">OperatingCurve!AV120</f>
        <v>7.8219123523502</v>
      </c>
      <c r="AI95" s="285" t="n">
        <f aca="false">OperatingCurve!AX120</f>
        <v>-0.6734625</v>
      </c>
      <c r="AJ95" s="285" t="n">
        <f aca="false">OperatingCurve!AW120</f>
        <v>10.7754</v>
      </c>
      <c r="AK95" s="285" t="n">
        <f aca="false">OperatingCurve!AY120</f>
        <v>13.46925</v>
      </c>
      <c r="AM95" s="286" t="n">
        <f aca="false">OperatingCurve!AL120</f>
        <v>30</v>
      </c>
      <c r="AN95" s="287" t="n">
        <f aca="false">OperatingCurve!AM120</f>
        <v>0.4</v>
      </c>
      <c r="BE95" s="284" t="n">
        <f aca="false">OperatingCurve!V120</f>
        <v>39539</v>
      </c>
      <c r="BF95" s="289" t="n">
        <f aca="false">OperatingCurve!AZ120</f>
        <v>0</v>
      </c>
    </row>
    <row r="96" customFormat="false" ht="12.75" hidden="false" customHeight="false" outlineLevel="0" collapsed="false">
      <c r="A96" s="282" t="n">
        <f aca="false">OperatingCurve!D92</f>
        <v>38687</v>
      </c>
      <c r="B96" s="283" t="n">
        <f aca="false">OperatingCurve!H92</f>
        <v>53.601</v>
      </c>
      <c r="C96" s="283" t="n">
        <f aca="false">OperatingCurve!G92</f>
        <v>59.136</v>
      </c>
      <c r="D96" s="283" t="n">
        <f aca="false">OperatingCurve!I92</f>
        <v>76.041</v>
      </c>
      <c r="E96" s="278"/>
      <c r="F96" s="283" t="n">
        <f aca="false">OperatingCurve!M92</f>
        <v>0</v>
      </c>
      <c r="G96" s="283" t="n">
        <f aca="false">OperatingCurve!L92</f>
        <v>0</v>
      </c>
      <c r="H96" s="283" t="n">
        <f aca="false">OperatingCurve!N92</f>
        <v>0</v>
      </c>
      <c r="I96" s="273"/>
      <c r="J96" s="284" t="n">
        <f aca="false">OperatingCurve!V121</f>
        <v>39569</v>
      </c>
      <c r="K96" s="285" t="n">
        <f aca="false">OperatingCurve!Z121</f>
        <v>0</v>
      </c>
      <c r="L96" s="285" t="n">
        <f aca="false">OperatingCurve!Y121</f>
        <v>0</v>
      </c>
      <c r="M96" s="285" t="n">
        <f aca="false">OperatingCurve!AA121</f>
        <v>0</v>
      </c>
      <c r="O96" s="285" t="n">
        <f aca="false">OperatingCurve!AE121</f>
        <v>0</v>
      </c>
      <c r="P96" s="285" t="n">
        <f aca="false">OperatingCurve!AD121</f>
        <v>0</v>
      </c>
      <c r="Q96" s="285" t="n">
        <f aca="false">OperatingCurve!AF121</f>
        <v>0</v>
      </c>
      <c r="S96" s="285" t="n">
        <f aca="false">OperatingCurve!AJ121</f>
        <v>0</v>
      </c>
      <c r="T96" s="285" t="n">
        <f aca="false">OperatingCurve!AI121</f>
        <v>0</v>
      </c>
      <c r="U96" s="285" t="n">
        <f aca="false">OperatingCurve!AK121</f>
        <v>0</v>
      </c>
      <c r="W96" s="285" t="n">
        <f aca="false">OperatingCurve!AO121</f>
        <v>0.18675</v>
      </c>
      <c r="X96" s="285" t="n">
        <f aca="false">OperatingCurve!AN121</f>
        <v>0.415</v>
      </c>
      <c r="Y96" s="285" t="n">
        <f aca="false">OperatingCurve!AP121</f>
        <v>0.51875</v>
      </c>
      <c r="AA96" s="285" t="n">
        <f aca="false">OperatingCurve!AR121</f>
        <v>0.166</v>
      </c>
      <c r="AB96" s="285" t="n">
        <f aca="false">OperatingCurve!AQ121</f>
        <v>0.415</v>
      </c>
      <c r="AC96" s="285" t="n">
        <f aca="false">OperatingCurve!AS121</f>
        <v>0.31125</v>
      </c>
      <c r="AE96" s="285" t="n">
        <f aca="false">OperatingCurve!AU121</f>
        <v>-0.410147476715089</v>
      </c>
      <c r="AF96" s="285" t="n">
        <f aca="false">OperatingCurve!AT121</f>
        <v>6.56235962744143</v>
      </c>
      <c r="AG96" s="285" t="n">
        <f aca="false">OperatingCurve!AV121</f>
        <v>8.20294953430178</v>
      </c>
      <c r="AI96" s="285" t="n">
        <f aca="false">OperatingCurve!AX121</f>
        <v>-0.6558</v>
      </c>
      <c r="AJ96" s="285" t="n">
        <f aca="false">OperatingCurve!AW121</f>
        <v>10.4928</v>
      </c>
      <c r="AK96" s="285" t="n">
        <f aca="false">OperatingCurve!AY121</f>
        <v>13.116</v>
      </c>
      <c r="AM96" s="286" t="n">
        <f aca="false">OperatingCurve!AL121</f>
        <v>30</v>
      </c>
      <c r="AN96" s="287" t="n">
        <f aca="false">OperatingCurve!AM121</f>
        <v>0.4</v>
      </c>
      <c r="BE96" s="284" t="n">
        <f aca="false">OperatingCurve!V121</f>
        <v>39569</v>
      </c>
      <c r="BF96" s="289" t="n">
        <f aca="false">OperatingCurve!AZ121</f>
        <v>0</v>
      </c>
    </row>
    <row r="97" customFormat="false" ht="12.75" hidden="false" customHeight="false" outlineLevel="0" collapsed="false">
      <c r="A97" s="282" t="n">
        <f aca="false">OperatingCurve!D93</f>
        <v>38718</v>
      </c>
      <c r="B97" s="283" t="n">
        <f aca="false">OperatingCurve!H93</f>
        <v>31.961</v>
      </c>
      <c r="C97" s="283" t="n">
        <f aca="false">OperatingCurve!G93</f>
        <v>37.296</v>
      </c>
      <c r="D97" s="283" t="n">
        <f aca="false">OperatingCurve!I93</f>
        <v>59.136</v>
      </c>
      <c r="E97" s="278"/>
      <c r="F97" s="283" t="n">
        <f aca="false">OperatingCurve!M93</f>
        <v>0</v>
      </c>
      <c r="G97" s="283" t="n">
        <f aca="false">OperatingCurve!L93</f>
        <v>0</v>
      </c>
      <c r="H97" s="283" t="n">
        <f aca="false">OperatingCurve!N93</f>
        <v>0</v>
      </c>
      <c r="I97" s="273"/>
      <c r="J97" s="284" t="n">
        <f aca="false">OperatingCurve!V122</f>
        <v>39600</v>
      </c>
      <c r="K97" s="285" t="n">
        <f aca="false">OperatingCurve!Z122</f>
        <v>0</v>
      </c>
      <c r="L97" s="285" t="n">
        <f aca="false">OperatingCurve!Y122</f>
        <v>0</v>
      </c>
      <c r="M97" s="285" t="n">
        <f aca="false">OperatingCurve!AA122</f>
        <v>0</v>
      </c>
      <c r="O97" s="285" t="n">
        <f aca="false">OperatingCurve!AE122</f>
        <v>0</v>
      </c>
      <c r="P97" s="285" t="n">
        <f aca="false">OperatingCurve!AD122</f>
        <v>0</v>
      </c>
      <c r="Q97" s="285" t="n">
        <f aca="false">OperatingCurve!AF122</f>
        <v>0</v>
      </c>
      <c r="S97" s="285" t="n">
        <f aca="false">OperatingCurve!AJ122</f>
        <v>0</v>
      </c>
      <c r="T97" s="285" t="n">
        <f aca="false">OperatingCurve!AI122</f>
        <v>0</v>
      </c>
      <c r="U97" s="285" t="n">
        <f aca="false">OperatingCurve!AK122</f>
        <v>0</v>
      </c>
      <c r="W97" s="285" t="n">
        <f aca="false">OperatingCurve!AO122</f>
        <v>0.18675</v>
      </c>
      <c r="X97" s="285" t="n">
        <f aca="false">OperatingCurve!AN122</f>
        <v>0.415</v>
      </c>
      <c r="Y97" s="285" t="n">
        <f aca="false">OperatingCurve!AP122</f>
        <v>0.51875</v>
      </c>
      <c r="AA97" s="285" t="n">
        <f aca="false">OperatingCurve!AR122</f>
        <v>0.166</v>
      </c>
      <c r="AB97" s="285" t="n">
        <f aca="false">OperatingCurve!AQ122</f>
        <v>0.415</v>
      </c>
      <c r="AC97" s="285" t="n">
        <f aca="false">OperatingCurve!AS122</f>
        <v>0.31125</v>
      </c>
      <c r="AE97" s="285" t="n">
        <f aca="false">OperatingCurve!AU122</f>
        <v>-0.500543619112672</v>
      </c>
      <c r="AF97" s="285" t="n">
        <f aca="false">OperatingCurve!AT122</f>
        <v>8.00869790580275</v>
      </c>
      <c r="AG97" s="285" t="n">
        <f aca="false">OperatingCurve!AV122</f>
        <v>10.0108723822534</v>
      </c>
      <c r="AI97" s="285" t="n">
        <f aca="false">OperatingCurve!AX122</f>
        <v>-0.6145875</v>
      </c>
      <c r="AJ97" s="285" t="n">
        <f aca="false">OperatingCurve!AW122</f>
        <v>9.8334</v>
      </c>
      <c r="AK97" s="285" t="n">
        <f aca="false">OperatingCurve!AY122</f>
        <v>12.29175</v>
      </c>
      <c r="AM97" s="286" t="n">
        <f aca="false">OperatingCurve!AL122</f>
        <v>30</v>
      </c>
      <c r="AN97" s="287" t="n">
        <f aca="false">OperatingCurve!AM122</f>
        <v>0.4</v>
      </c>
      <c r="BE97" s="284" t="n">
        <f aca="false">OperatingCurve!V122</f>
        <v>39600</v>
      </c>
      <c r="BF97" s="289" t="n">
        <f aca="false">OperatingCurve!AZ122</f>
        <v>0</v>
      </c>
    </row>
    <row r="98" customFormat="false" ht="12.75" hidden="false" customHeight="false" outlineLevel="0" collapsed="false">
      <c r="A98" s="282" t="n">
        <f aca="false">OperatingCurve!D94</f>
        <v>38749</v>
      </c>
      <c r="B98" s="283" t="n">
        <f aca="false">OperatingCurve!H94</f>
        <v>27.729</v>
      </c>
      <c r="C98" s="283" t="n">
        <f aca="false">OperatingCurve!G94</f>
        <v>33.024</v>
      </c>
      <c r="D98" s="283" t="n">
        <f aca="false">OperatingCurve!I94</f>
        <v>54.704</v>
      </c>
      <c r="E98" s="278"/>
      <c r="F98" s="283" t="n">
        <f aca="false">OperatingCurve!M94</f>
        <v>0</v>
      </c>
      <c r="G98" s="283" t="n">
        <f aca="false">OperatingCurve!L94</f>
        <v>0</v>
      </c>
      <c r="H98" s="283" t="n">
        <f aca="false">OperatingCurve!N94</f>
        <v>0</v>
      </c>
      <c r="I98" s="273"/>
      <c r="J98" s="284" t="n">
        <f aca="false">OperatingCurve!V123</f>
        <v>39630</v>
      </c>
      <c r="K98" s="285" t="n">
        <f aca="false">OperatingCurve!Z123</f>
        <v>0</v>
      </c>
      <c r="L98" s="285" t="n">
        <f aca="false">OperatingCurve!Y123</f>
        <v>0</v>
      </c>
      <c r="M98" s="285" t="n">
        <f aca="false">OperatingCurve!AA123</f>
        <v>0</v>
      </c>
      <c r="O98" s="285" t="n">
        <f aca="false">OperatingCurve!AE123</f>
        <v>0</v>
      </c>
      <c r="P98" s="285" t="n">
        <f aca="false">OperatingCurve!AD123</f>
        <v>0</v>
      </c>
      <c r="Q98" s="285" t="n">
        <f aca="false">OperatingCurve!AF123</f>
        <v>0</v>
      </c>
      <c r="S98" s="285" t="n">
        <f aca="false">OperatingCurve!AJ123</f>
        <v>0</v>
      </c>
      <c r="T98" s="285" t="n">
        <f aca="false">OperatingCurve!AI123</f>
        <v>0</v>
      </c>
      <c r="U98" s="285" t="n">
        <f aca="false">OperatingCurve!AK123</f>
        <v>0</v>
      </c>
      <c r="W98" s="285" t="n">
        <f aca="false">OperatingCurve!AO123</f>
        <v>0.18225</v>
      </c>
      <c r="X98" s="285" t="n">
        <f aca="false">OperatingCurve!AN123</f>
        <v>0.405</v>
      </c>
      <c r="Y98" s="285" t="n">
        <f aca="false">OperatingCurve!AP123</f>
        <v>0.50625</v>
      </c>
      <c r="AA98" s="285" t="n">
        <f aca="false">OperatingCurve!AR123</f>
        <v>0.162</v>
      </c>
      <c r="AB98" s="285" t="n">
        <f aca="false">OperatingCurve!AQ123</f>
        <v>0.405</v>
      </c>
      <c r="AC98" s="285" t="n">
        <f aca="false">OperatingCurve!AS123</f>
        <v>0.30375</v>
      </c>
      <c r="AE98" s="285" t="n">
        <f aca="false">OperatingCurve!AU123</f>
        <v>-0.500543619112672</v>
      </c>
      <c r="AF98" s="285" t="n">
        <f aca="false">OperatingCurve!AT123</f>
        <v>8.00869790580275</v>
      </c>
      <c r="AG98" s="285" t="n">
        <f aca="false">OperatingCurve!AV123</f>
        <v>10.0108723822534</v>
      </c>
      <c r="AI98" s="285" t="n">
        <f aca="false">OperatingCurve!AX123</f>
        <v>-0.6145875</v>
      </c>
      <c r="AJ98" s="285" t="n">
        <f aca="false">OperatingCurve!AW123</f>
        <v>9.8334</v>
      </c>
      <c r="AK98" s="285" t="n">
        <f aca="false">OperatingCurve!AY123</f>
        <v>12.29175</v>
      </c>
      <c r="AM98" s="286" t="n">
        <f aca="false">OperatingCurve!AL123</f>
        <v>31</v>
      </c>
      <c r="AN98" s="287" t="n">
        <f aca="false">OperatingCurve!AM123</f>
        <v>0.4</v>
      </c>
      <c r="BE98" s="284" t="n">
        <f aca="false">OperatingCurve!V123</f>
        <v>39630</v>
      </c>
      <c r="BF98" s="289" t="n">
        <f aca="false">OperatingCurve!AZ123</f>
        <v>0</v>
      </c>
    </row>
    <row r="99" customFormat="false" ht="12.75" hidden="false" customHeight="false" outlineLevel="0" collapsed="false">
      <c r="A99" s="282" t="n">
        <f aca="false">OperatingCurve!D95</f>
        <v>38777</v>
      </c>
      <c r="B99" s="283" t="n">
        <f aca="false">OperatingCurve!H95</f>
        <v>26.676</v>
      </c>
      <c r="C99" s="283" t="n">
        <f aca="false">OperatingCurve!G95</f>
        <v>31.961</v>
      </c>
      <c r="D99" s="283" t="n">
        <f aca="false">OperatingCurve!I95</f>
        <v>53.601</v>
      </c>
      <c r="E99" s="278"/>
      <c r="F99" s="283" t="n">
        <f aca="false">OperatingCurve!M95</f>
        <v>0</v>
      </c>
      <c r="G99" s="283" t="n">
        <f aca="false">OperatingCurve!L95</f>
        <v>0</v>
      </c>
      <c r="H99" s="283" t="n">
        <f aca="false">OperatingCurve!N95</f>
        <v>0</v>
      </c>
      <c r="I99" s="273"/>
      <c r="J99" s="284" t="n">
        <f aca="false">OperatingCurve!V124</f>
        <v>39661</v>
      </c>
      <c r="K99" s="285" t="n">
        <f aca="false">OperatingCurve!Z124</f>
        <v>0</v>
      </c>
      <c r="L99" s="285" t="n">
        <f aca="false">OperatingCurve!Y124</f>
        <v>0</v>
      </c>
      <c r="M99" s="285" t="n">
        <f aca="false">OperatingCurve!AA124</f>
        <v>0</v>
      </c>
      <c r="O99" s="285" t="n">
        <f aca="false">OperatingCurve!AE124</f>
        <v>0</v>
      </c>
      <c r="P99" s="285" t="n">
        <f aca="false">OperatingCurve!AD124</f>
        <v>0</v>
      </c>
      <c r="Q99" s="285" t="n">
        <f aca="false">OperatingCurve!AF124</f>
        <v>0</v>
      </c>
      <c r="S99" s="285" t="n">
        <f aca="false">OperatingCurve!AJ124</f>
        <v>0</v>
      </c>
      <c r="T99" s="285" t="n">
        <f aca="false">OperatingCurve!AI124</f>
        <v>0</v>
      </c>
      <c r="U99" s="285" t="n">
        <f aca="false">OperatingCurve!AK124</f>
        <v>0</v>
      </c>
      <c r="W99" s="285" t="n">
        <f aca="false">OperatingCurve!AO124</f>
        <v>0.18225</v>
      </c>
      <c r="X99" s="285" t="n">
        <f aca="false">OperatingCurve!AN124</f>
        <v>0.405</v>
      </c>
      <c r="Y99" s="285" t="n">
        <f aca="false">OperatingCurve!AP124</f>
        <v>0.50625</v>
      </c>
      <c r="AA99" s="285" t="n">
        <f aca="false">OperatingCurve!AR124</f>
        <v>0.162</v>
      </c>
      <c r="AB99" s="285" t="n">
        <f aca="false">OperatingCurve!AQ124</f>
        <v>0.405</v>
      </c>
      <c r="AC99" s="285" t="n">
        <f aca="false">OperatingCurve!AS124</f>
        <v>0.30375</v>
      </c>
      <c r="AE99" s="285" t="n">
        <f aca="false">OperatingCurve!AU124</f>
        <v>-0.517091326059428</v>
      </c>
      <c r="AF99" s="285" t="n">
        <f aca="false">OperatingCurve!AT124</f>
        <v>8.27346121695085</v>
      </c>
      <c r="AG99" s="285" t="n">
        <f aca="false">OperatingCurve!AV124</f>
        <v>10.3418265211886</v>
      </c>
      <c r="AI99" s="285" t="n">
        <f aca="false">OperatingCurve!AX124</f>
        <v>-0.6087</v>
      </c>
      <c r="AJ99" s="285" t="n">
        <f aca="false">OperatingCurve!AW124</f>
        <v>9.7392</v>
      </c>
      <c r="AK99" s="285" t="n">
        <f aca="false">OperatingCurve!AY124</f>
        <v>12.174</v>
      </c>
      <c r="AM99" s="286" t="n">
        <f aca="false">OperatingCurve!AL124</f>
        <v>31</v>
      </c>
      <c r="AN99" s="287" t="n">
        <f aca="false">OperatingCurve!AM124</f>
        <v>0.4</v>
      </c>
      <c r="BE99" s="284" t="n">
        <f aca="false">OperatingCurve!V124</f>
        <v>39661</v>
      </c>
      <c r="BF99" s="289" t="n">
        <f aca="false">OperatingCurve!AZ124</f>
        <v>0</v>
      </c>
    </row>
    <row r="100" customFormat="false" ht="12.75" hidden="false" customHeight="false" outlineLevel="0" collapsed="false">
      <c r="A100" s="282" t="n">
        <f aca="false">OperatingCurve!D96</f>
        <v>38808</v>
      </c>
      <c r="B100" s="283" t="n">
        <f aca="false">OperatingCurve!H96</f>
        <v>25.625</v>
      </c>
      <c r="C100" s="283" t="n">
        <f aca="false">OperatingCurve!G96</f>
        <v>30.9</v>
      </c>
      <c r="D100" s="283" t="n">
        <f aca="false">OperatingCurve!I96</f>
        <v>52.5</v>
      </c>
      <c r="E100" s="278"/>
      <c r="F100" s="283" t="n">
        <f aca="false">OperatingCurve!M96</f>
        <v>0</v>
      </c>
      <c r="G100" s="283" t="n">
        <f aca="false">OperatingCurve!L96</f>
        <v>0</v>
      </c>
      <c r="H100" s="283" t="n">
        <f aca="false">OperatingCurve!N96</f>
        <v>0</v>
      </c>
      <c r="I100" s="273"/>
      <c r="J100" s="284" t="n">
        <f aca="false">OperatingCurve!V125</f>
        <v>39692</v>
      </c>
      <c r="K100" s="285" t="n">
        <f aca="false">OperatingCurve!Z125</f>
        <v>0</v>
      </c>
      <c r="L100" s="285" t="n">
        <f aca="false">OperatingCurve!Y125</f>
        <v>0</v>
      </c>
      <c r="M100" s="285" t="n">
        <f aca="false">OperatingCurve!AA125</f>
        <v>0</v>
      </c>
      <c r="O100" s="285" t="n">
        <f aca="false">OperatingCurve!AE125</f>
        <v>0</v>
      </c>
      <c r="P100" s="285" t="n">
        <f aca="false">OperatingCurve!AD125</f>
        <v>0</v>
      </c>
      <c r="Q100" s="285" t="n">
        <f aca="false">OperatingCurve!AF125</f>
        <v>0</v>
      </c>
      <c r="S100" s="285" t="n">
        <f aca="false">OperatingCurve!AJ125</f>
        <v>0</v>
      </c>
      <c r="T100" s="285" t="n">
        <f aca="false">OperatingCurve!AI125</f>
        <v>0</v>
      </c>
      <c r="U100" s="285" t="n">
        <f aca="false">OperatingCurve!AK125</f>
        <v>0</v>
      </c>
      <c r="W100" s="285" t="n">
        <f aca="false">OperatingCurve!AO125</f>
        <v>0.18225</v>
      </c>
      <c r="X100" s="285" t="n">
        <f aca="false">OperatingCurve!AN125</f>
        <v>0.405</v>
      </c>
      <c r="Y100" s="285" t="n">
        <f aca="false">OperatingCurve!AP125</f>
        <v>0.50625</v>
      </c>
      <c r="AA100" s="285" t="n">
        <f aca="false">OperatingCurve!AR125</f>
        <v>0.162</v>
      </c>
      <c r="AB100" s="285" t="n">
        <f aca="false">OperatingCurve!AQ125</f>
        <v>0.405</v>
      </c>
      <c r="AC100" s="285" t="n">
        <f aca="false">OperatingCurve!AS125</f>
        <v>0.30375</v>
      </c>
      <c r="AE100" s="285" t="n">
        <f aca="false">OperatingCurve!AU125</f>
        <v>-0.43048858158097</v>
      </c>
      <c r="AF100" s="285" t="n">
        <f aca="false">OperatingCurve!AT125</f>
        <v>6.88781730529552</v>
      </c>
      <c r="AG100" s="285" t="n">
        <f aca="false">OperatingCurve!AV125</f>
        <v>8.60977163161941</v>
      </c>
      <c r="AI100" s="285" t="n">
        <f aca="false">OperatingCurve!AX125</f>
        <v>-0.644025</v>
      </c>
      <c r="AJ100" s="285" t="n">
        <f aca="false">OperatingCurve!AW125</f>
        <v>10.3044</v>
      </c>
      <c r="AK100" s="285" t="n">
        <f aca="false">OperatingCurve!AY125</f>
        <v>12.8805</v>
      </c>
      <c r="AM100" s="286" t="n">
        <f aca="false">OperatingCurve!AL125</f>
        <v>31</v>
      </c>
      <c r="AN100" s="287" t="n">
        <f aca="false">OperatingCurve!AM125</f>
        <v>0.4</v>
      </c>
      <c r="BE100" s="284" t="n">
        <f aca="false">OperatingCurve!V125</f>
        <v>39692</v>
      </c>
      <c r="BF100" s="289" t="n">
        <f aca="false">OperatingCurve!AZ125</f>
        <v>0</v>
      </c>
    </row>
    <row r="101" customFormat="false" ht="12.75" hidden="false" customHeight="false" outlineLevel="0" collapsed="false">
      <c r="A101" s="282" t="n">
        <f aca="false">OperatingCurve!D97</f>
        <v>38838</v>
      </c>
      <c r="B101" s="283" t="n">
        <f aca="false">OperatingCurve!H97</f>
        <v>28.784</v>
      </c>
      <c r="C101" s="283" t="n">
        <f aca="false">OperatingCurve!G97</f>
        <v>34.089</v>
      </c>
      <c r="D101" s="283" t="n">
        <f aca="false">OperatingCurve!I97</f>
        <v>55.809</v>
      </c>
      <c r="E101" s="278"/>
      <c r="F101" s="283" t="n">
        <f aca="false">OperatingCurve!M97</f>
        <v>0</v>
      </c>
      <c r="G101" s="283" t="n">
        <f aca="false">OperatingCurve!L97</f>
        <v>0</v>
      </c>
      <c r="H101" s="283" t="n">
        <f aca="false">OperatingCurve!N97</f>
        <v>0</v>
      </c>
      <c r="I101" s="273"/>
      <c r="J101" s="284" t="n">
        <f aca="false">OperatingCurve!V126</f>
        <v>39722</v>
      </c>
      <c r="K101" s="285" t="n">
        <f aca="false">OperatingCurve!Z126</f>
        <v>0</v>
      </c>
      <c r="L101" s="285" t="n">
        <f aca="false">OperatingCurve!Y126</f>
        <v>0</v>
      </c>
      <c r="M101" s="285" t="n">
        <f aca="false">OperatingCurve!AA126</f>
        <v>0</v>
      </c>
      <c r="O101" s="285" t="n">
        <f aca="false">OperatingCurve!AE126</f>
        <v>0</v>
      </c>
      <c r="P101" s="285" t="n">
        <f aca="false">OperatingCurve!AD126</f>
        <v>0</v>
      </c>
      <c r="Q101" s="285" t="n">
        <f aca="false">OperatingCurve!AF126</f>
        <v>0</v>
      </c>
      <c r="S101" s="285" t="n">
        <f aca="false">OperatingCurve!AJ126</f>
        <v>0</v>
      </c>
      <c r="T101" s="285" t="n">
        <f aca="false">OperatingCurve!AI126</f>
        <v>0</v>
      </c>
      <c r="U101" s="285" t="n">
        <f aca="false">OperatingCurve!AK126</f>
        <v>0</v>
      </c>
      <c r="W101" s="285" t="n">
        <f aca="false">OperatingCurve!AO126</f>
        <v>0.18225</v>
      </c>
      <c r="X101" s="285" t="n">
        <f aca="false">OperatingCurve!AN126</f>
        <v>0.405</v>
      </c>
      <c r="Y101" s="285" t="n">
        <f aca="false">OperatingCurve!AP126</f>
        <v>0.50625</v>
      </c>
      <c r="AA101" s="285" t="n">
        <f aca="false">OperatingCurve!AR126</f>
        <v>0.162</v>
      </c>
      <c r="AB101" s="285" t="n">
        <f aca="false">OperatingCurve!AQ126</f>
        <v>0.405</v>
      </c>
      <c r="AC101" s="285" t="n">
        <f aca="false">OperatingCurve!AS126</f>
        <v>0.30375</v>
      </c>
      <c r="AE101" s="285" t="n">
        <f aca="false">OperatingCurve!AU126</f>
        <v>-0.469739398126976</v>
      </c>
      <c r="AF101" s="285" t="n">
        <f aca="false">OperatingCurve!AT126</f>
        <v>7.51583037003162</v>
      </c>
      <c r="AG101" s="285" t="n">
        <f aca="false">OperatingCurve!AV126</f>
        <v>9.39478796253952</v>
      </c>
      <c r="AI101" s="285" t="n">
        <f aca="false">OperatingCurve!AX126</f>
        <v>-0.6263625</v>
      </c>
      <c r="AJ101" s="285" t="n">
        <f aca="false">OperatingCurve!AW126</f>
        <v>10.0218</v>
      </c>
      <c r="AK101" s="285" t="n">
        <f aca="false">OperatingCurve!AY126</f>
        <v>12.52725</v>
      </c>
      <c r="AM101" s="286" t="n">
        <f aca="false">OperatingCurve!AL126</f>
        <v>32</v>
      </c>
      <c r="AN101" s="287" t="n">
        <f aca="false">OperatingCurve!AM126</f>
        <v>0.4</v>
      </c>
      <c r="BE101" s="284" t="n">
        <f aca="false">OperatingCurve!V126</f>
        <v>39722</v>
      </c>
      <c r="BF101" s="289" t="n">
        <f aca="false">OperatingCurve!AZ126</f>
        <v>0</v>
      </c>
    </row>
    <row r="102" customFormat="false" ht="12.75" hidden="false" customHeight="false" outlineLevel="0" collapsed="false">
      <c r="A102" s="282" t="n">
        <f aca="false">OperatingCurve!D98</f>
        <v>38869</v>
      </c>
      <c r="B102" s="283" t="n">
        <f aca="false">OperatingCurve!H98</f>
        <v>35.156</v>
      </c>
      <c r="C102" s="283" t="n">
        <f aca="false">OperatingCurve!G98</f>
        <v>40.521</v>
      </c>
      <c r="D102" s="283" t="n">
        <f aca="false">OperatingCurve!I98</f>
        <v>62.481</v>
      </c>
      <c r="E102" s="278"/>
      <c r="F102" s="283" t="n">
        <f aca="false">OperatingCurve!M98</f>
        <v>0</v>
      </c>
      <c r="G102" s="283" t="n">
        <f aca="false">OperatingCurve!L98</f>
        <v>0</v>
      </c>
      <c r="H102" s="283" t="n">
        <f aca="false">OperatingCurve!N98</f>
        <v>0</v>
      </c>
      <c r="I102" s="273"/>
      <c r="J102" s="284" t="n">
        <f aca="false">OperatingCurve!V127</f>
        <v>39753</v>
      </c>
      <c r="K102" s="285" t="n">
        <f aca="false">OperatingCurve!Z127</f>
        <v>0</v>
      </c>
      <c r="L102" s="285" t="n">
        <f aca="false">OperatingCurve!Y127</f>
        <v>0</v>
      </c>
      <c r="M102" s="285" t="n">
        <f aca="false">OperatingCurve!AA127</f>
        <v>0</v>
      </c>
      <c r="O102" s="285" t="n">
        <f aca="false">OperatingCurve!AE127</f>
        <v>0</v>
      </c>
      <c r="P102" s="285" t="n">
        <f aca="false">OperatingCurve!AD127</f>
        <v>0</v>
      </c>
      <c r="Q102" s="285" t="n">
        <f aca="false">OperatingCurve!AF127</f>
        <v>0</v>
      </c>
      <c r="S102" s="285" t="n">
        <f aca="false">OperatingCurve!AJ127</f>
        <v>0</v>
      </c>
      <c r="T102" s="285" t="n">
        <f aca="false">OperatingCurve!AI127</f>
        <v>0</v>
      </c>
      <c r="U102" s="285" t="n">
        <f aca="false">OperatingCurve!AK127</f>
        <v>0</v>
      </c>
      <c r="W102" s="285" t="n">
        <f aca="false">OperatingCurve!AO127</f>
        <v>0.18225</v>
      </c>
      <c r="X102" s="285" t="n">
        <f aca="false">OperatingCurve!AN127</f>
        <v>0.405</v>
      </c>
      <c r="Y102" s="285" t="n">
        <f aca="false">OperatingCurve!AP127</f>
        <v>0.50625</v>
      </c>
      <c r="AA102" s="285" t="n">
        <f aca="false">OperatingCurve!AR127</f>
        <v>0.162</v>
      </c>
      <c r="AB102" s="285" t="n">
        <f aca="false">OperatingCurve!AQ127</f>
        <v>0.405</v>
      </c>
      <c r="AC102" s="285" t="n">
        <f aca="false">OperatingCurve!AS127</f>
        <v>0.30375</v>
      </c>
      <c r="AE102" s="285" t="n">
        <f aca="false">OperatingCurve!AU127</f>
        <v>-0.410147476715089</v>
      </c>
      <c r="AF102" s="285" t="n">
        <f aca="false">OperatingCurve!AT127</f>
        <v>6.56235962744143</v>
      </c>
      <c r="AG102" s="285" t="n">
        <f aca="false">OperatingCurve!AV127</f>
        <v>8.20294953430178</v>
      </c>
      <c r="AI102" s="285" t="n">
        <f aca="false">OperatingCurve!AX127</f>
        <v>-0.6558</v>
      </c>
      <c r="AJ102" s="285" t="n">
        <f aca="false">OperatingCurve!AW127</f>
        <v>10.4928</v>
      </c>
      <c r="AK102" s="285" t="n">
        <f aca="false">OperatingCurve!AY127</f>
        <v>13.116</v>
      </c>
      <c r="AM102" s="286" t="n">
        <f aca="false">OperatingCurve!AL127</f>
        <v>32</v>
      </c>
      <c r="AN102" s="287" t="n">
        <f aca="false">OperatingCurve!AM127</f>
        <v>0.4</v>
      </c>
      <c r="BE102" s="284" t="n">
        <f aca="false">OperatingCurve!V127</f>
        <v>39753</v>
      </c>
      <c r="BF102" s="289" t="n">
        <f aca="false">OperatingCurve!AZ127</f>
        <v>0</v>
      </c>
    </row>
    <row r="103" customFormat="false" ht="12.75" hidden="false" customHeight="false" outlineLevel="0" collapsed="false">
      <c r="A103" s="282" t="n">
        <f aca="false">OperatingCurve!D99</f>
        <v>38899</v>
      </c>
      <c r="B103" s="283" t="n">
        <f aca="false">OperatingCurve!H99</f>
        <v>35.156</v>
      </c>
      <c r="C103" s="283" t="n">
        <f aca="false">OperatingCurve!G99</f>
        <v>40.521</v>
      </c>
      <c r="D103" s="283" t="n">
        <f aca="false">OperatingCurve!I99</f>
        <v>62.481</v>
      </c>
      <c r="E103" s="278"/>
      <c r="F103" s="283" t="n">
        <f aca="false">OperatingCurve!M99</f>
        <v>0</v>
      </c>
      <c r="G103" s="283" t="n">
        <f aca="false">OperatingCurve!L99</f>
        <v>0</v>
      </c>
      <c r="H103" s="283" t="n">
        <f aca="false">OperatingCurve!N99</f>
        <v>0</v>
      </c>
      <c r="I103" s="273"/>
      <c r="J103" s="284" t="n">
        <f aca="false">OperatingCurve!V128</f>
        <v>39783</v>
      </c>
      <c r="K103" s="285" t="n">
        <f aca="false">OperatingCurve!Z128</f>
        <v>0</v>
      </c>
      <c r="L103" s="285" t="n">
        <f aca="false">OperatingCurve!Y128</f>
        <v>0</v>
      </c>
      <c r="M103" s="285" t="n">
        <f aca="false">OperatingCurve!AA128</f>
        <v>0</v>
      </c>
      <c r="O103" s="285" t="n">
        <f aca="false">OperatingCurve!AE128</f>
        <v>0</v>
      </c>
      <c r="P103" s="285" t="n">
        <f aca="false">OperatingCurve!AD128</f>
        <v>0</v>
      </c>
      <c r="Q103" s="285" t="n">
        <f aca="false">OperatingCurve!AF128</f>
        <v>0</v>
      </c>
      <c r="S103" s="285" t="n">
        <f aca="false">OperatingCurve!AJ128</f>
        <v>0</v>
      </c>
      <c r="T103" s="285" t="n">
        <f aca="false">OperatingCurve!AI128</f>
        <v>0</v>
      </c>
      <c r="U103" s="285" t="n">
        <f aca="false">OperatingCurve!AK128</f>
        <v>0</v>
      </c>
      <c r="W103" s="285" t="n">
        <f aca="false">OperatingCurve!AO128</f>
        <v>0.1845</v>
      </c>
      <c r="X103" s="285" t="n">
        <f aca="false">OperatingCurve!AN128</f>
        <v>0.41</v>
      </c>
      <c r="Y103" s="285" t="n">
        <f aca="false">OperatingCurve!AP128</f>
        <v>0.5125</v>
      </c>
      <c r="AA103" s="285" t="n">
        <f aca="false">OperatingCurve!AR128</f>
        <v>0.164</v>
      </c>
      <c r="AB103" s="285" t="n">
        <f aca="false">OperatingCurve!AQ128</f>
        <v>0.41</v>
      </c>
      <c r="AC103" s="285" t="n">
        <f aca="false">OperatingCurve!AS128</f>
        <v>0.3075</v>
      </c>
      <c r="AE103" s="285" t="n">
        <f aca="false">OperatingCurve!AU128</f>
        <v>-0.402107379613998</v>
      </c>
      <c r="AF103" s="285" t="n">
        <f aca="false">OperatingCurve!AT128</f>
        <v>6.43371807382396</v>
      </c>
      <c r="AG103" s="285" t="n">
        <f aca="false">OperatingCurve!AV128</f>
        <v>8.04214759227995</v>
      </c>
      <c r="AI103" s="285" t="n">
        <f aca="false">OperatingCurve!AX128</f>
        <v>-0.6616875</v>
      </c>
      <c r="AJ103" s="285" t="n">
        <f aca="false">OperatingCurve!AW128</f>
        <v>10.587</v>
      </c>
      <c r="AK103" s="285" t="n">
        <f aca="false">OperatingCurve!AY128</f>
        <v>13.23375</v>
      </c>
      <c r="AM103" s="286" t="n">
        <f aca="false">OperatingCurve!AL128</f>
        <v>32</v>
      </c>
      <c r="AN103" s="287" t="n">
        <f aca="false">OperatingCurve!AM128</f>
        <v>0.4</v>
      </c>
      <c r="BE103" s="284" t="n">
        <f aca="false">OperatingCurve!V128</f>
        <v>39783</v>
      </c>
      <c r="BF103" s="289" t="n">
        <f aca="false">OperatingCurve!AZ128</f>
        <v>0</v>
      </c>
    </row>
    <row r="104" customFormat="false" ht="12.75" hidden="false" customHeight="false" outlineLevel="0" collapsed="false">
      <c r="A104" s="282" t="n">
        <f aca="false">OperatingCurve!D100</f>
        <v>38930</v>
      </c>
      <c r="B104" s="283" t="n">
        <f aca="false">OperatingCurve!H100</f>
        <v>39.444</v>
      </c>
      <c r="C104" s="283" t="n">
        <f aca="false">OperatingCurve!G100</f>
        <v>44.849</v>
      </c>
      <c r="D104" s="283" t="n">
        <f aca="false">OperatingCurve!I100</f>
        <v>66.969</v>
      </c>
      <c r="E104" s="278"/>
      <c r="F104" s="283" t="n">
        <f aca="false">OperatingCurve!M100</f>
        <v>0</v>
      </c>
      <c r="G104" s="283" t="n">
        <f aca="false">OperatingCurve!L100</f>
        <v>0</v>
      </c>
      <c r="H104" s="283" t="n">
        <f aca="false">OperatingCurve!N100</f>
        <v>0</v>
      </c>
      <c r="I104" s="273"/>
      <c r="J104" s="284" t="n">
        <f aca="false">OperatingCurve!V129</f>
        <v>39814</v>
      </c>
      <c r="K104" s="285" t="n">
        <f aca="false">OperatingCurve!Z129</f>
        <v>0</v>
      </c>
      <c r="L104" s="285" t="n">
        <f aca="false">OperatingCurve!Y129</f>
        <v>0</v>
      </c>
      <c r="M104" s="285" t="n">
        <f aca="false">OperatingCurve!AA129</f>
        <v>0</v>
      </c>
      <c r="O104" s="285" t="n">
        <f aca="false">OperatingCurve!AE129</f>
        <v>0</v>
      </c>
      <c r="P104" s="285" t="n">
        <f aca="false">OperatingCurve!AD129</f>
        <v>0</v>
      </c>
      <c r="Q104" s="285" t="n">
        <f aca="false">OperatingCurve!AF129</f>
        <v>0</v>
      </c>
      <c r="S104" s="285" t="n">
        <f aca="false">OperatingCurve!AJ129</f>
        <v>0</v>
      </c>
      <c r="T104" s="285" t="n">
        <f aca="false">OperatingCurve!AI129</f>
        <v>0</v>
      </c>
      <c r="U104" s="285" t="n">
        <f aca="false">OperatingCurve!AK129</f>
        <v>0</v>
      </c>
      <c r="W104" s="285" t="n">
        <f aca="false">OperatingCurve!AO129</f>
        <v>0.1845</v>
      </c>
      <c r="X104" s="285" t="n">
        <f aca="false">OperatingCurve!AN129</f>
        <v>0.41</v>
      </c>
      <c r="Y104" s="285" t="n">
        <f aca="false">OperatingCurve!AP129</f>
        <v>0.5125</v>
      </c>
      <c r="AA104" s="285" t="n">
        <f aca="false">OperatingCurve!AR129</f>
        <v>0.164</v>
      </c>
      <c r="AB104" s="285" t="n">
        <f aca="false">OperatingCurve!AQ129</f>
        <v>0.41</v>
      </c>
      <c r="AC104" s="285" t="n">
        <f aca="false">OperatingCurve!AS129</f>
        <v>0.3075</v>
      </c>
      <c r="AE104" s="285" t="n">
        <f aca="false">OperatingCurve!AU129</f>
        <v>-0.410147476715089</v>
      </c>
      <c r="AF104" s="285" t="n">
        <f aca="false">OperatingCurve!AT129</f>
        <v>6.56235962744143</v>
      </c>
      <c r="AG104" s="285" t="n">
        <f aca="false">OperatingCurve!AV129</f>
        <v>8.20294953430178</v>
      </c>
      <c r="AI104" s="285" t="n">
        <f aca="false">OperatingCurve!AX129</f>
        <v>-0.6558</v>
      </c>
      <c r="AJ104" s="285" t="n">
        <f aca="false">OperatingCurve!AW129</f>
        <v>10.4928</v>
      </c>
      <c r="AK104" s="285" t="n">
        <f aca="false">OperatingCurve!AY129</f>
        <v>13.116</v>
      </c>
      <c r="AM104" s="286" t="n">
        <f aca="false">OperatingCurve!AL129</f>
        <v>33</v>
      </c>
      <c r="AN104" s="287" t="n">
        <f aca="false">OperatingCurve!AM129</f>
        <v>0.4</v>
      </c>
      <c r="BE104" s="284" t="n">
        <f aca="false">OperatingCurve!V129</f>
        <v>39814</v>
      </c>
      <c r="BF104" s="289" t="n">
        <f aca="false">OperatingCurve!AZ129</f>
        <v>0</v>
      </c>
    </row>
    <row r="105" customFormat="false" ht="12.75" hidden="false" customHeight="false" outlineLevel="0" collapsed="false">
      <c r="A105" s="282" t="n">
        <f aca="false">OperatingCurve!D101</f>
        <v>38961</v>
      </c>
      <c r="B105" s="283" t="n">
        <f aca="false">OperatingCurve!H101</f>
        <v>30.9</v>
      </c>
      <c r="C105" s="283" t="n">
        <f aca="false">OperatingCurve!G101</f>
        <v>36.225</v>
      </c>
      <c r="D105" s="283" t="n">
        <f aca="false">OperatingCurve!I101</f>
        <v>58.025</v>
      </c>
      <c r="E105" s="278"/>
      <c r="F105" s="283" t="n">
        <f aca="false">OperatingCurve!M101</f>
        <v>0</v>
      </c>
      <c r="G105" s="283" t="n">
        <f aca="false">OperatingCurve!L101</f>
        <v>0</v>
      </c>
      <c r="H105" s="283" t="n">
        <f aca="false">OperatingCurve!N101</f>
        <v>0</v>
      </c>
      <c r="I105" s="273"/>
      <c r="J105" s="284" t="n">
        <f aca="false">OperatingCurve!V130</f>
        <v>39845</v>
      </c>
      <c r="K105" s="285" t="n">
        <f aca="false">OperatingCurve!Z130</f>
        <v>0</v>
      </c>
      <c r="L105" s="285" t="n">
        <f aca="false">OperatingCurve!Y130</f>
        <v>0</v>
      </c>
      <c r="M105" s="285" t="n">
        <f aca="false">OperatingCurve!AA130</f>
        <v>0</v>
      </c>
      <c r="O105" s="285" t="n">
        <f aca="false">OperatingCurve!AE130</f>
        <v>0</v>
      </c>
      <c r="P105" s="285" t="n">
        <f aca="false">OperatingCurve!AD130</f>
        <v>0</v>
      </c>
      <c r="Q105" s="285" t="n">
        <f aca="false">OperatingCurve!AF130</f>
        <v>0</v>
      </c>
      <c r="S105" s="285" t="n">
        <f aca="false">OperatingCurve!AJ130</f>
        <v>0</v>
      </c>
      <c r="T105" s="285" t="n">
        <f aca="false">OperatingCurve!AI130</f>
        <v>0</v>
      </c>
      <c r="U105" s="285" t="n">
        <f aca="false">OperatingCurve!AK130</f>
        <v>0</v>
      </c>
      <c r="W105" s="285" t="n">
        <f aca="false">OperatingCurve!AO130</f>
        <v>0.18</v>
      </c>
      <c r="X105" s="285" t="n">
        <f aca="false">OperatingCurve!AN130</f>
        <v>0.4</v>
      </c>
      <c r="Y105" s="285" t="n">
        <f aca="false">OperatingCurve!AP130</f>
        <v>0.5</v>
      </c>
      <c r="AA105" s="285" t="n">
        <f aca="false">OperatingCurve!AR130</f>
        <v>0.16</v>
      </c>
      <c r="AB105" s="285" t="n">
        <f aca="false">OperatingCurve!AQ130</f>
        <v>0.4</v>
      </c>
      <c r="AC105" s="285" t="n">
        <f aca="false">OperatingCurve!AS130</f>
        <v>0.3</v>
      </c>
      <c r="AE105" s="285" t="n">
        <f aca="false">OperatingCurve!AU130</f>
        <v>-0.402107379613998</v>
      </c>
      <c r="AF105" s="285" t="n">
        <f aca="false">OperatingCurve!AT130</f>
        <v>6.43371807382396</v>
      </c>
      <c r="AG105" s="285" t="n">
        <f aca="false">OperatingCurve!AV130</f>
        <v>8.04214759227995</v>
      </c>
      <c r="AI105" s="285" t="n">
        <f aca="false">OperatingCurve!AX130</f>
        <v>-0.6616875</v>
      </c>
      <c r="AJ105" s="285" t="n">
        <f aca="false">OperatingCurve!AW130</f>
        <v>10.587</v>
      </c>
      <c r="AK105" s="285" t="n">
        <f aca="false">OperatingCurve!AY130</f>
        <v>13.23375</v>
      </c>
      <c r="AM105" s="286" t="n">
        <f aca="false">OperatingCurve!AL130</f>
        <v>33</v>
      </c>
      <c r="AN105" s="287" t="n">
        <f aca="false">OperatingCurve!AM130</f>
        <v>0.4</v>
      </c>
      <c r="BE105" s="284" t="n">
        <f aca="false">OperatingCurve!V130</f>
        <v>39845</v>
      </c>
      <c r="BF105" s="289" t="n">
        <f aca="false">OperatingCurve!AZ130</f>
        <v>0</v>
      </c>
    </row>
    <row r="106" customFormat="false" ht="12.75" hidden="false" customHeight="false" outlineLevel="0" collapsed="false">
      <c r="A106" s="282" t="n">
        <f aca="false">OperatingCurve!D102</f>
        <v>38991</v>
      </c>
      <c r="B106" s="283" t="n">
        <f aca="false">OperatingCurve!H102</f>
        <v>33.024</v>
      </c>
      <c r="C106" s="283" t="n">
        <f aca="false">OperatingCurve!G102</f>
        <v>38.369</v>
      </c>
      <c r="D106" s="283" t="n">
        <f aca="false">OperatingCurve!I102</f>
        <v>60.249</v>
      </c>
      <c r="E106" s="278"/>
      <c r="F106" s="283" t="n">
        <f aca="false">OperatingCurve!M102</f>
        <v>0</v>
      </c>
      <c r="G106" s="283" t="n">
        <f aca="false">OperatingCurve!L102</f>
        <v>0</v>
      </c>
      <c r="H106" s="283" t="n">
        <f aca="false">OperatingCurve!N102</f>
        <v>0</v>
      </c>
      <c r="I106" s="273"/>
      <c r="J106" s="284" t="n">
        <f aca="false">OperatingCurve!V131</f>
        <v>39873</v>
      </c>
      <c r="K106" s="285" t="n">
        <f aca="false">OperatingCurve!Z131</f>
        <v>0</v>
      </c>
      <c r="L106" s="285" t="n">
        <f aca="false">OperatingCurve!Y131</f>
        <v>0</v>
      </c>
      <c r="M106" s="285" t="n">
        <f aca="false">OperatingCurve!AA131</f>
        <v>0</v>
      </c>
      <c r="O106" s="285" t="n">
        <f aca="false">OperatingCurve!AE131</f>
        <v>0</v>
      </c>
      <c r="P106" s="285" t="n">
        <f aca="false">OperatingCurve!AD131</f>
        <v>0</v>
      </c>
      <c r="Q106" s="285" t="n">
        <f aca="false">OperatingCurve!AF131</f>
        <v>0</v>
      </c>
      <c r="S106" s="285" t="n">
        <f aca="false">OperatingCurve!AJ131</f>
        <v>0</v>
      </c>
      <c r="T106" s="285" t="n">
        <f aca="false">OperatingCurve!AI131</f>
        <v>0</v>
      </c>
      <c r="U106" s="285" t="n">
        <f aca="false">OperatingCurve!AK131</f>
        <v>0</v>
      </c>
      <c r="W106" s="285" t="n">
        <f aca="false">OperatingCurve!AO131</f>
        <v>0.171</v>
      </c>
      <c r="X106" s="285" t="n">
        <f aca="false">OperatingCurve!AN131</f>
        <v>0.38</v>
      </c>
      <c r="Y106" s="285" t="n">
        <f aca="false">OperatingCurve!AP131</f>
        <v>0.475</v>
      </c>
      <c r="AA106" s="285" t="n">
        <f aca="false">OperatingCurve!AR131</f>
        <v>0.152</v>
      </c>
      <c r="AB106" s="285" t="n">
        <f aca="false">OperatingCurve!AQ131</f>
        <v>0.38</v>
      </c>
      <c r="AC106" s="285" t="n">
        <f aca="false">OperatingCurve!AS131</f>
        <v>0.285</v>
      </c>
      <c r="AE106" s="285" t="n">
        <f aca="false">OperatingCurve!AU131</f>
        <v>-0.395696014851329</v>
      </c>
      <c r="AF106" s="285" t="n">
        <f aca="false">OperatingCurve!AT131</f>
        <v>6.33113623762127</v>
      </c>
      <c r="AG106" s="285" t="n">
        <f aca="false">OperatingCurve!AV131</f>
        <v>7.91392029702658</v>
      </c>
      <c r="AI106" s="285" t="n">
        <f aca="false">OperatingCurve!AX131</f>
        <v>-0.667575</v>
      </c>
      <c r="AJ106" s="285" t="n">
        <f aca="false">OperatingCurve!AW131</f>
        <v>10.6812</v>
      </c>
      <c r="AK106" s="285" t="n">
        <f aca="false">OperatingCurve!AY131</f>
        <v>13.3515</v>
      </c>
      <c r="AM106" s="286" t="n">
        <f aca="false">OperatingCurve!AL131</f>
        <v>33</v>
      </c>
      <c r="AN106" s="287" t="n">
        <f aca="false">OperatingCurve!AM131</f>
        <v>0.4</v>
      </c>
      <c r="BE106" s="284" t="n">
        <f aca="false">OperatingCurve!V131</f>
        <v>39873</v>
      </c>
      <c r="BF106" s="289" t="n">
        <f aca="false">OperatingCurve!AZ131</f>
        <v>0</v>
      </c>
    </row>
    <row r="107" customFormat="false" ht="12.75" hidden="false" customHeight="false" outlineLevel="0" collapsed="false">
      <c r="A107" s="282" t="n">
        <f aca="false">OperatingCurve!D103</f>
        <v>39022</v>
      </c>
      <c r="B107" s="283" t="n">
        <f aca="false">OperatingCurve!H103</f>
        <v>28.784</v>
      </c>
      <c r="C107" s="283" t="n">
        <f aca="false">OperatingCurve!G103</f>
        <v>34.089</v>
      </c>
      <c r="D107" s="283" t="n">
        <f aca="false">OperatingCurve!I103</f>
        <v>55.809</v>
      </c>
      <c r="E107" s="278"/>
      <c r="F107" s="283" t="n">
        <f aca="false">OperatingCurve!M103</f>
        <v>0</v>
      </c>
      <c r="G107" s="283" t="n">
        <f aca="false">OperatingCurve!L103</f>
        <v>0</v>
      </c>
      <c r="H107" s="283" t="n">
        <f aca="false">OperatingCurve!N103</f>
        <v>0</v>
      </c>
      <c r="I107" s="273"/>
      <c r="J107" s="284" t="n">
        <f aca="false">OperatingCurve!V132</f>
        <v>39904</v>
      </c>
      <c r="K107" s="285" t="n">
        <f aca="false">OperatingCurve!Z132</f>
        <v>0</v>
      </c>
      <c r="L107" s="285" t="n">
        <f aca="false">OperatingCurve!Y132</f>
        <v>0</v>
      </c>
      <c r="M107" s="285" t="n">
        <f aca="false">OperatingCurve!AA132</f>
        <v>0</v>
      </c>
      <c r="O107" s="285" t="n">
        <f aca="false">OperatingCurve!AE132</f>
        <v>0</v>
      </c>
      <c r="P107" s="285" t="n">
        <f aca="false">OperatingCurve!AD132</f>
        <v>0</v>
      </c>
      <c r="Q107" s="285" t="n">
        <f aca="false">OperatingCurve!AF132</f>
        <v>0</v>
      </c>
      <c r="S107" s="285" t="n">
        <f aca="false">OperatingCurve!AJ132</f>
        <v>0</v>
      </c>
      <c r="T107" s="285" t="n">
        <f aca="false">OperatingCurve!AI132</f>
        <v>0</v>
      </c>
      <c r="U107" s="285" t="n">
        <f aca="false">OperatingCurve!AK132</f>
        <v>0</v>
      </c>
      <c r="W107" s="285" t="n">
        <f aca="false">OperatingCurve!AO132</f>
        <v>0.171</v>
      </c>
      <c r="X107" s="285" t="n">
        <f aca="false">OperatingCurve!AN132</f>
        <v>0.38</v>
      </c>
      <c r="Y107" s="285" t="n">
        <f aca="false">OperatingCurve!AP132</f>
        <v>0.475</v>
      </c>
      <c r="AA107" s="285" t="n">
        <f aca="false">OperatingCurve!AR132</f>
        <v>0.152</v>
      </c>
      <c r="AB107" s="285" t="n">
        <f aca="false">OperatingCurve!AQ132</f>
        <v>0.38</v>
      </c>
      <c r="AC107" s="285" t="n">
        <f aca="false">OperatingCurve!AS132</f>
        <v>0.285</v>
      </c>
      <c r="AE107" s="285" t="n">
        <f aca="false">OperatingCurve!AU132</f>
        <v>-0.39109561761751</v>
      </c>
      <c r="AF107" s="285" t="n">
        <f aca="false">OperatingCurve!AT132</f>
        <v>6.25752988188016</v>
      </c>
      <c r="AG107" s="285" t="n">
        <f aca="false">OperatingCurve!AV132</f>
        <v>7.8219123523502</v>
      </c>
      <c r="AI107" s="285" t="n">
        <f aca="false">OperatingCurve!AX132</f>
        <v>-0.6734625</v>
      </c>
      <c r="AJ107" s="285" t="n">
        <f aca="false">OperatingCurve!AW132</f>
        <v>10.7754</v>
      </c>
      <c r="AK107" s="285" t="n">
        <f aca="false">OperatingCurve!AY132</f>
        <v>13.46925</v>
      </c>
      <c r="AM107" s="286" t="n">
        <f aca="false">OperatingCurve!AL132</f>
        <v>34</v>
      </c>
      <c r="AN107" s="287" t="n">
        <f aca="false">OperatingCurve!AM132</f>
        <v>0.4</v>
      </c>
      <c r="BE107" s="284" t="n">
        <f aca="false">OperatingCurve!V132</f>
        <v>39904</v>
      </c>
      <c r="BF107" s="289" t="n">
        <f aca="false">OperatingCurve!AZ132</f>
        <v>0</v>
      </c>
    </row>
    <row r="108" customFormat="false" ht="12.75" hidden="false" customHeight="false" outlineLevel="0" collapsed="false">
      <c r="A108" s="282" t="n">
        <f aca="false">OperatingCurve!D104</f>
        <v>39052</v>
      </c>
      <c r="B108" s="283" t="n">
        <f aca="false">OperatingCurve!H104</f>
        <v>29.841</v>
      </c>
      <c r="C108" s="283" t="n">
        <f aca="false">OperatingCurve!G104</f>
        <v>35.156</v>
      </c>
      <c r="D108" s="283" t="n">
        <f aca="false">OperatingCurve!I104</f>
        <v>56.916</v>
      </c>
      <c r="E108" s="278"/>
      <c r="F108" s="283" t="n">
        <f aca="false">OperatingCurve!M104</f>
        <v>0</v>
      </c>
      <c r="G108" s="283" t="n">
        <f aca="false">OperatingCurve!L104</f>
        <v>0</v>
      </c>
      <c r="H108" s="283" t="n">
        <f aca="false">OperatingCurve!N104</f>
        <v>0</v>
      </c>
      <c r="I108" s="273"/>
      <c r="J108" s="284" t="n">
        <f aca="false">OperatingCurve!V133</f>
        <v>39934</v>
      </c>
      <c r="K108" s="285" t="n">
        <f aca="false">OperatingCurve!Z133</f>
        <v>0</v>
      </c>
      <c r="L108" s="285" t="n">
        <f aca="false">OperatingCurve!Y133</f>
        <v>0</v>
      </c>
      <c r="M108" s="285" t="n">
        <f aca="false">OperatingCurve!AA133</f>
        <v>0</v>
      </c>
      <c r="O108" s="285" t="n">
        <f aca="false">OperatingCurve!AE133</f>
        <v>0</v>
      </c>
      <c r="P108" s="285" t="n">
        <f aca="false">OperatingCurve!AD133</f>
        <v>0</v>
      </c>
      <c r="Q108" s="285" t="n">
        <f aca="false">OperatingCurve!AF133</f>
        <v>0</v>
      </c>
      <c r="S108" s="285" t="n">
        <f aca="false">OperatingCurve!AJ133</f>
        <v>0</v>
      </c>
      <c r="T108" s="285" t="n">
        <f aca="false">OperatingCurve!AI133</f>
        <v>0</v>
      </c>
      <c r="U108" s="285" t="n">
        <f aca="false">OperatingCurve!AK133</f>
        <v>0</v>
      </c>
      <c r="W108" s="285" t="n">
        <f aca="false">OperatingCurve!AO133</f>
        <v>0.171</v>
      </c>
      <c r="X108" s="285" t="n">
        <f aca="false">OperatingCurve!AN133</f>
        <v>0.38</v>
      </c>
      <c r="Y108" s="285" t="n">
        <f aca="false">OperatingCurve!AP133</f>
        <v>0.475</v>
      </c>
      <c r="AA108" s="285" t="n">
        <f aca="false">OperatingCurve!AR133</f>
        <v>0.152</v>
      </c>
      <c r="AB108" s="285" t="n">
        <f aca="false">OperatingCurve!AQ133</f>
        <v>0.38</v>
      </c>
      <c r="AC108" s="285" t="n">
        <f aca="false">OperatingCurve!AS133</f>
        <v>0.285</v>
      </c>
      <c r="AE108" s="285" t="n">
        <f aca="false">OperatingCurve!AU133</f>
        <v>-0.419655399211954</v>
      </c>
      <c r="AF108" s="285" t="n">
        <f aca="false">OperatingCurve!AT133</f>
        <v>6.71448638739126</v>
      </c>
      <c r="AG108" s="285" t="n">
        <f aca="false">OperatingCurve!AV133</f>
        <v>8.39310798423907</v>
      </c>
      <c r="AI108" s="285" t="n">
        <f aca="false">OperatingCurve!AX133</f>
        <v>-0.6499125</v>
      </c>
      <c r="AJ108" s="285" t="n">
        <f aca="false">OperatingCurve!AW133</f>
        <v>10.3986</v>
      </c>
      <c r="AK108" s="285" t="n">
        <f aca="false">OperatingCurve!AY133</f>
        <v>12.99825</v>
      </c>
      <c r="AM108" s="286" t="n">
        <f aca="false">OperatingCurve!AL133</f>
        <v>34</v>
      </c>
      <c r="AN108" s="287" t="n">
        <f aca="false">OperatingCurve!AM133</f>
        <v>0.4</v>
      </c>
      <c r="BE108" s="284" t="n">
        <f aca="false">OperatingCurve!V133</f>
        <v>39934</v>
      </c>
      <c r="BF108" s="289" t="n">
        <f aca="false">OperatingCurve!AZ133</f>
        <v>0</v>
      </c>
    </row>
    <row r="109" customFormat="false" ht="12.75" hidden="false" customHeight="false" outlineLevel="0" collapsed="false">
      <c r="A109" s="282" t="n">
        <f aca="false">OperatingCurve!D105</f>
        <v>39083</v>
      </c>
      <c r="B109" s="283" t="n">
        <f aca="false">OperatingCurve!H105</f>
        <v>26.676</v>
      </c>
      <c r="C109" s="283" t="n">
        <f aca="false">OperatingCurve!G105</f>
        <v>31.961</v>
      </c>
      <c r="D109" s="283" t="n">
        <f aca="false">OperatingCurve!I105</f>
        <v>54.704</v>
      </c>
      <c r="E109" s="278"/>
      <c r="F109" s="283" t="n">
        <f aca="false">OperatingCurve!M105</f>
        <v>0</v>
      </c>
      <c r="G109" s="283" t="n">
        <f aca="false">OperatingCurve!L105</f>
        <v>0</v>
      </c>
      <c r="H109" s="283" t="n">
        <f aca="false">OperatingCurve!N105</f>
        <v>0</v>
      </c>
      <c r="I109" s="273"/>
      <c r="J109" s="284" t="n">
        <f aca="false">OperatingCurve!V134</f>
        <v>39965</v>
      </c>
      <c r="K109" s="285" t="n">
        <f aca="false">OperatingCurve!Z134</f>
        <v>0</v>
      </c>
      <c r="L109" s="285" t="n">
        <f aca="false">OperatingCurve!Y134</f>
        <v>0</v>
      </c>
      <c r="M109" s="285" t="n">
        <f aca="false">OperatingCurve!AA134</f>
        <v>0</v>
      </c>
      <c r="O109" s="285" t="n">
        <f aca="false">OperatingCurve!AE134</f>
        <v>0</v>
      </c>
      <c r="P109" s="285" t="n">
        <f aca="false">OperatingCurve!AD134</f>
        <v>0</v>
      </c>
      <c r="Q109" s="285" t="n">
        <f aca="false">OperatingCurve!AF134</f>
        <v>0</v>
      </c>
      <c r="S109" s="285" t="n">
        <f aca="false">OperatingCurve!AJ134</f>
        <v>0</v>
      </c>
      <c r="T109" s="285" t="n">
        <f aca="false">OperatingCurve!AI134</f>
        <v>0</v>
      </c>
      <c r="U109" s="285" t="n">
        <f aca="false">OperatingCurve!AK134</f>
        <v>0</v>
      </c>
      <c r="W109" s="285" t="n">
        <f aca="false">OperatingCurve!AO134</f>
        <v>0.171</v>
      </c>
      <c r="X109" s="285" t="n">
        <f aca="false">OperatingCurve!AN134</f>
        <v>0.38</v>
      </c>
      <c r="Y109" s="285" t="n">
        <f aca="false">OperatingCurve!AP134</f>
        <v>0.475</v>
      </c>
      <c r="AA109" s="285" t="n">
        <f aca="false">OperatingCurve!AR134</f>
        <v>0.152</v>
      </c>
      <c r="AB109" s="285" t="n">
        <f aca="false">OperatingCurve!AQ134</f>
        <v>0.38</v>
      </c>
      <c r="AC109" s="285" t="n">
        <f aca="false">OperatingCurve!AS134</f>
        <v>0.285</v>
      </c>
      <c r="AE109" s="285" t="n">
        <f aca="false">OperatingCurve!AU134</f>
        <v>-0.500543619112672</v>
      </c>
      <c r="AF109" s="285" t="n">
        <f aca="false">OperatingCurve!AT134</f>
        <v>8.00869790580275</v>
      </c>
      <c r="AG109" s="285" t="n">
        <f aca="false">OperatingCurve!AV134</f>
        <v>10.0108723822534</v>
      </c>
      <c r="AI109" s="285" t="n">
        <f aca="false">OperatingCurve!AX134</f>
        <v>-0.6145875</v>
      </c>
      <c r="AJ109" s="285" t="n">
        <f aca="false">OperatingCurve!AW134</f>
        <v>9.8334</v>
      </c>
      <c r="AK109" s="285" t="n">
        <f aca="false">OperatingCurve!AY134</f>
        <v>12.29175</v>
      </c>
      <c r="AM109" s="286" t="n">
        <f aca="false">OperatingCurve!AL134</f>
        <v>34</v>
      </c>
      <c r="AN109" s="287" t="n">
        <f aca="false">OperatingCurve!AM134</f>
        <v>0.4</v>
      </c>
      <c r="BE109" s="284" t="n">
        <f aca="false">OperatingCurve!V134</f>
        <v>39965</v>
      </c>
      <c r="BF109" s="289" t="n">
        <f aca="false">OperatingCurve!AZ134</f>
        <v>0</v>
      </c>
    </row>
    <row r="110" customFormat="false" ht="12.75" hidden="false" customHeight="false" outlineLevel="0" collapsed="false">
      <c r="A110" s="282" t="n">
        <f aca="false">OperatingCurve!D106</f>
        <v>39114</v>
      </c>
      <c r="B110" s="283" t="n">
        <f aca="false">OperatingCurve!H106</f>
        <v>24.576</v>
      </c>
      <c r="C110" s="283" t="n">
        <f aca="false">OperatingCurve!G106</f>
        <v>29.841</v>
      </c>
      <c r="D110" s="283" t="n">
        <f aca="false">OperatingCurve!I106</f>
        <v>52.5</v>
      </c>
      <c r="E110" s="278"/>
      <c r="F110" s="283" t="n">
        <f aca="false">OperatingCurve!M106</f>
        <v>0</v>
      </c>
      <c r="G110" s="283" t="n">
        <f aca="false">OperatingCurve!L106</f>
        <v>0</v>
      </c>
      <c r="H110" s="283" t="n">
        <f aca="false">OperatingCurve!N106</f>
        <v>0</v>
      </c>
      <c r="I110" s="273"/>
      <c r="J110" s="284" t="n">
        <f aca="false">OperatingCurve!V135</f>
        <v>39995</v>
      </c>
      <c r="K110" s="285" t="n">
        <f aca="false">OperatingCurve!Z135</f>
        <v>0</v>
      </c>
      <c r="L110" s="285" t="n">
        <f aca="false">OperatingCurve!Y135</f>
        <v>0</v>
      </c>
      <c r="M110" s="285" t="n">
        <f aca="false">OperatingCurve!AA135</f>
        <v>0</v>
      </c>
      <c r="O110" s="285" t="n">
        <f aca="false">OperatingCurve!AE135</f>
        <v>0</v>
      </c>
      <c r="P110" s="285" t="n">
        <f aca="false">OperatingCurve!AD135</f>
        <v>0</v>
      </c>
      <c r="Q110" s="285" t="n">
        <f aca="false">OperatingCurve!AF135</f>
        <v>0</v>
      </c>
      <c r="S110" s="285" t="n">
        <f aca="false">OperatingCurve!AJ135</f>
        <v>0</v>
      </c>
      <c r="T110" s="285" t="n">
        <f aca="false">OperatingCurve!AI135</f>
        <v>0</v>
      </c>
      <c r="U110" s="285" t="n">
        <f aca="false">OperatingCurve!AK135</f>
        <v>0</v>
      </c>
      <c r="W110" s="285" t="n">
        <f aca="false">OperatingCurve!AO135</f>
        <v>0.171</v>
      </c>
      <c r="X110" s="285" t="n">
        <f aca="false">OperatingCurve!AN135</f>
        <v>0.38</v>
      </c>
      <c r="Y110" s="285" t="n">
        <f aca="false">OperatingCurve!AP135</f>
        <v>0.475</v>
      </c>
      <c r="AA110" s="285" t="n">
        <f aca="false">OperatingCurve!AR135</f>
        <v>0.152</v>
      </c>
      <c r="AB110" s="285" t="n">
        <f aca="false">OperatingCurve!AQ135</f>
        <v>0.38</v>
      </c>
      <c r="AC110" s="285" t="n">
        <f aca="false">OperatingCurve!AS135</f>
        <v>0.285</v>
      </c>
      <c r="AE110" s="285" t="n">
        <f aca="false">OperatingCurve!AU135</f>
        <v>-0.500543619112672</v>
      </c>
      <c r="AF110" s="285" t="n">
        <f aca="false">OperatingCurve!AT135</f>
        <v>8.00869790580275</v>
      </c>
      <c r="AG110" s="285" t="n">
        <f aca="false">OperatingCurve!AV135</f>
        <v>10.0108723822534</v>
      </c>
      <c r="AI110" s="285" t="n">
        <f aca="false">OperatingCurve!AX135</f>
        <v>-0.6145875</v>
      </c>
      <c r="AJ110" s="285" t="n">
        <f aca="false">OperatingCurve!AW135</f>
        <v>9.8334</v>
      </c>
      <c r="AK110" s="285" t="n">
        <f aca="false">OperatingCurve!AY135</f>
        <v>12.29175</v>
      </c>
      <c r="AM110" s="286" t="n">
        <f aca="false">OperatingCurve!AL135</f>
        <v>35</v>
      </c>
      <c r="AN110" s="287" t="n">
        <f aca="false">OperatingCurve!AM135</f>
        <v>0.4</v>
      </c>
      <c r="BE110" s="284" t="n">
        <f aca="false">OperatingCurve!V135</f>
        <v>39995</v>
      </c>
      <c r="BF110" s="289" t="n">
        <f aca="false">OperatingCurve!AZ135</f>
        <v>0</v>
      </c>
    </row>
    <row r="111" customFormat="false" ht="12.75" hidden="false" customHeight="false" outlineLevel="0" collapsed="false">
      <c r="A111" s="282" t="n">
        <f aca="false">OperatingCurve!D107</f>
        <v>39142</v>
      </c>
      <c r="B111" s="283" t="n">
        <f aca="false">OperatingCurve!H107</f>
        <v>24.576</v>
      </c>
      <c r="C111" s="283" t="n">
        <f aca="false">OperatingCurve!G107</f>
        <v>29.841</v>
      </c>
      <c r="D111" s="283" t="n">
        <f aca="false">OperatingCurve!I107</f>
        <v>52.5</v>
      </c>
      <c r="E111" s="278"/>
      <c r="F111" s="283" t="n">
        <f aca="false">OperatingCurve!M107</f>
        <v>0</v>
      </c>
      <c r="G111" s="283" t="n">
        <f aca="false">OperatingCurve!L107</f>
        <v>0</v>
      </c>
      <c r="H111" s="283" t="n">
        <f aca="false">OperatingCurve!N107</f>
        <v>0</v>
      </c>
      <c r="I111" s="273"/>
      <c r="J111" s="284" t="n">
        <f aca="false">OperatingCurve!V136</f>
        <v>40026</v>
      </c>
      <c r="K111" s="285" t="n">
        <f aca="false">OperatingCurve!Z136</f>
        <v>0</v>
      </c>
      <c r="L111" s="285" t="n">
        <f aca="false">OperatingCurve!Y136</f>
        <v>0</v>
      </c>
      <c r="M111" s="285" t="n">
        <f aca="false">OperatingCurve!AA136</f>
        <v>0</v>
      </c>
      <c r="O111" s="285" t="n">
        <f aca="false">OperatingCurve!AE136</f>
        <v>0</v>
      </c>
      <c r="P111" s="285" t="n">
        <f aca="false">OperatingCurve!AD136</f>
        <v>0</v>
      </c>
      <c r="Q111" s="285" t="n">
        <f aca="false">OperatingCurve!AF136</f>
        <v>0</v>
      </c>
      <c r="S111" s="285" t="n">
        <f aca="false">OperatingCurve!AJ136</f>
        <v>0</v>
      </c>
      <c r="T111" s="285" t="n">
        <f aca="false">OperatingCurve!AI136</f>
        <v>0</v>
      </c>
      <c r="U111" s="285" t="n">
        <f aca="false">OperatingCurve!AK136</f>
        <v>0</v>
      </c>
      <c r="W111" s="285" t="n">
        <f aca="false">OperatingCurve!AO136</f>
        <v>0.171</v>
      </c>
      <c r="X111" s="285" t="n">
        <f aca="false">OperatingCurve!AN136</f>
        <v>0.38</v>
      </c>
      <c r="Y111" s="285" t="n">
        <f aca="false">OperatingCurve!AP136</f>
        <v>0.475</v>
      </c>
      <c r="AA111" s="285" t="n">
        <f aca="false">OperatingCurve!AR136</f>
        <v>0.152</v>
      </c>
      <c r="AB111" s="285" t="n">
        <f aca="false">OperatingCurve!AQ136</f>
        <v>0.38</v>
      </c>
      <c r="AC111" s="285" t="n">
        <f aca="false">OperatingCurve!AS136</f>
        <v>0.285</v>
      </c>
      <c r="AE111" s="285" t="n">
        <f aca="false">OperatingCurve!AU136</f>
        <v>-0.534312139259822</v>
      </c>
      <c r="AF111" s="285" t="n">
        <f aca="false">OperatingCurve!AT136</f>
        <v>8.54899422815716</v>
      </c>
      <c r="AG111" s="285" t="n">
        <f aca="false">OperatingCurve!AV136</f>
        <v>10.6862427851964</v>
      </c>
      <c r="AI111" s="285" t="n">
        <f aca="false">OperatingCurve!AX136</f>
        <v>-0.6028125</v>
      </c>
      <c r="AJ111" s="285" t="n">
        <f aca="false">OperatingCurve!AW136</f>
        <v>9.645</v>
      </c>
      <c r="AK111" s="285" t="n">
        <f aca="false">OperatingCurve!AY136</f>
        <v>12.05625</v>
      </c>
      <c r="AM111" s="286" t="n">
        <f aca="false">OperatingCurve!AL136</f>
        <v>35</v>
      </c>
      <c r="AN111" s="287" t="n">
        <f aca="false">OperatingCurve!AM136</f>
        <v>0.4</v>
      </c>
      <c r="BE111" s="284" t="n">
        <f aca="false">OperatingCurve!V136</f>
        <v>40026</v>
      </c>
      <c r="BF111" s="289" t="n">
        <f aca="false">OperatingCurve!AZ136</f>
        <v>0</v>
      </c>
    </row>
    <row r="112" customFormat="false" ht="12.75" hidden="false" customHeight="false" outlineLevel="0" collapsed="false">
      <c r="A112" s="282" t="n">
        <f aca="false">OperatingCurve!D108</f>
        <v>39173</v>
      </c>
      <c r="B112" s="283" t="n">
        <f aca="false">OperatingCurve!H108</f>
        <v>23.529</v>
      </c>
      <c r="C112" s="283" t="n">
        <f aca="false">OperatingCurve!G108</f>
        <v>28.784</v>
      </c>
      <c r="D112" s="283" t="n">
        <f aca="false">OperatingCurve!I108</f>
        <v>51.401</v>
      </c>
      <c r="E112" s="278"/>
      <c r="F112" s="283" t="n">
        <f aca="false">OperatingCurve!M108</f>
        <v>0</v>
      </c>
      <c r="G112" s="283" t="n">
        <f aca="false">OperatingCurve!L108</f>
        <v>0</v>
      </c>
      <c r="H112" s="283" t="n">
        <f aca="false">OperatingCurve!N108</f>
        <v>0</v>
      </c>
      <c r="I112" s="273"/>
      <c r="J112" s="284" t="n">
        <f aca="false">OperatingCurve!V137</f>
        <v>40057</v>
      </c>
      <c r="K112" s="285" t="n">
        <f aca="false">OperatingCurve!Z137</f>
        <v>0</v>
      </c>
      <c r="L112" s="285" t="n">
        <f aca="false">OperatingCurve!Y137</f>
        <v>0</v>
      </c>
      <c r="M112" s="285" t="n">
        <f aca="false">OperatingCurve!AA137</f>
        <v>0</v>
      </c>
      <c r="O112" s="285" t="n">
        <f aca="false">OperatingCurve!AE137</f>
        <v>0</v>
      </c>
      <c r="P112" s="285" t="n">
        <f aca="false">OperatingCurve!AD137</f>
        <v>0</v>
      </c>
      <c r="Q112" s="285" t="n">
        <f aca="false">OperatingCurve!AF137</f>
        <v>0</v>
      </c>
      <c r="S112" s="285" t="n">
        <f aca="false">OperatingCurve!AJ137</f>
        <v>0</v>
      </c>
      <c r="T112" s="285" t="n">
        <f aca="false">OperatingCurve!AI137</f>
        <v>0</v>
      </c>
      <c r="U112" s="285" t="n">
        <f aca="false">OperatingCurve!AK137</f>
        <v>0</v>
      </c>
      <c r="W112" s="285" t="n">
        <f aca="false">OperatingCurve!AO137</f>
        <v>0.171</v>
      </c>
      <c r="X112" s="285" t="n">
        <f aca="false">OperatingCurve!AN137</f>
        <v>0.38</v>
      </c>
      <c r="Y112" s="285" t="n">
        <f aca="false">OperatingCurve!AP137</f>
        <v>0.475</v>
      </c>
      <c r="AA112" s="285" t="n">
        <f aca="false">OperatingCurve!AR137</f>
        <v>0.152</v>
      </c>
      <c r="AB112" s="285" t="n">
        <f aca="false">OperatingCurve!AQ137</f>
        <v>0.38</v>
      </c>
      <c r="AC112" s="285" t="n">
        <f aca="false">OperatingCurve!AS137</f>
        <v>0.285</v>
      </c>
      <c r="AE112" s="285" t="n">
        <f aca="false">OperatingCurve!AU137</f>
        <v>-0.44252030135698</v>
      </c>
      <c r="AF112" s="285" t="n">
        <f aca="false">OperatingCurve!AT137</f>
        <v>7.08032482171168</v>
      </c>
      <c r="AG112" s="285" t="n">
        <f aca="false">OperatingCurve!AV137</f>
        <v>8.8504060271396</v>
      </c>
      <c r="AI112" s="285" t="n">
        <f aca="false">OperatingCurve!AX137</f>
        <v>-0.6381375</v>
      </c>
      <c r="AJ112" s="285" t="n">
        <f aca="false">OperatingCurve!AW137</f>
        <v>10.2102</v>
      </c>
      <c r="AK112" s="285" t="n">
        <f aca="false">OperatingCurve!AY137</f>
        <v>12.76275</v>
      </c>
      <c r="AM112" s="286" t="n">
        <f aca="false">OperatingCurve!AL137</f>
        <v>35</v>
      </c>
      <c r="AN112" s="287" t="n">
        <f aca="false">OperatingCurve!AM137</f>
        <v>0.4</v>
      </c>
      <c r="BE112" s="284" t="n">
        <f aca="false">OperatingCurve!V137</f>
        <v>40057</v>
      </c>
      <c r="BF112" s="289" t="n">
        <f aca="false">OperatingCurve!AZ137</f>
        <v>0</v>
      </c>
    </row>
    <row r="113" customFormat="false" ht="12.75" hidden="false" customHeight="false" outlineLevel="0" collapsed="false">
      <c r="A113" s="282" t="n">
        <f aca="false">OperatingCurve!D109</f>
        <v>39203</v>
      </c>
      <c r="B113" s="283" t="n">
        <f aca="false">OperatingCurve!H109</f>
        <v>26.676</v>
      </c>
      <c r="C113" s="283" t="n">
        <f aca="false">OperatingCurve!G109</f>
        <v>31.961</v>
      </c>
      <c r="D113" s="283" t="n">
        <f aca="false">OperatingCurve!I109</f>
        <v>54.704</v>
      </c>
      <c r="E113" s="278"/>
      <c r="F113" s="283" t="n">
        <f aca="false">OperatingCurve!M109</f>
        <v>0</v>
      </c>
      <c r="G113" s="283" t="n">
        <f aca="false">OperatingCurve!L109</f>
        <v>0</v>
      </c>
      <c r="H113" s="283" t="n">
        <f aca="false">OperatingCurve!N109</f>
        <v>0</v>
      </c>
      <c r="I113" s="273"/>
      <c r="J113" s="284" t="n">
        <f aca="false">OperatingCurve!V138</f>
        <v>40087</v>
      </c>
      <c r="K113" s="285" t="n">
        <f aca="false">OperatingCurve!Z138</f>
        <v>0</v>
      </c>
      <c r="L113" s="285" t="n">
        <f aca="false">OperatingCurve!Y138</f>
        <v>0</v>
      </c>
      <c r="M113" s="285" t="n">
        <f aca="false">OperatingCurve!AA138</f>
        <v>0</v>
      </c>
      <c r="O113" s="285" t="n">
        <f aca="false">OperatingCurve!AE138</f>
        <v>0</v>
      </c>
      <c r="P113" s="285" t="n">
        <f aca="false">OperatingCurve!AD138</f>
        <v>0</v>
      </c>
      <c r="Q113" s="285" t="n">
        <f aca="false">OperatingCurve!AF138</f>
        <v>0</v>
      </c>
      <c r="S113" s="285" t="n">
        <f aca="false">OperatingCurve!AJ138</f>
        <v>0</v>
      </c>
      <c r="T113" s="285" t="n">
        <f aca="false">OperatingCurve!AI138</f>
        <v>0</v>
      </c>
      <c r="U113" s="285" t="n">
        <f aca="false">OperatingCurve!AK138</f>
        <v>0</v>
      </c>
      <c r="W113" s="285" t="n">
        <f aca="false">OperatingCurve!AO138</f>
        <v>0.171</v>
      </c>
      <c r="X113" s="285" t="n">
        <f aca="false">OperatingCurve!AN138</f>
        <v>0.38</v>
      </c>
      <c r="Y113" s="285" t="n">
        <f aca="false">OperatingCurve!AP138</f>
        <v>0.475</v>
      </c>
      <c r="AA113" s="285" t="n">
        <f aca="false">OperatingCurve!AR138</f>
        <v>0.152</v>
      </c>
      <c r="AB113" s="285" t="n">
        <f aca="false">OperatingCurve!AQ138</f>
        <v>0.38</v>
      </c>
      <c r="AC113" s="285" t="n">
        <f aca="false">OperatingCurve!AS138</f>
        <v>0.285</v>
      </c>
      <c r="AE113" s="285" t="n">
        <f aca="false">OperatingCurve!AU138</f>
        <v>-0.469739398126976</v>
      </c>
      <c r="AF113" s="285" t="n">
        <f aca="false">OperatingCurve!AT138</f>
        <v>7.51583037003162</v>
      </c>
      <c r="AG113" s="285" t="n">
        <f aca="false">OperatingCurve!AV138</f>
        <v>9.39478796253952</v>
      </c>
      <c r="AI113" s="285" t="n">
        <f aca="false">OperatingCurve!AX138</f>
        <v>-0.6263625</v>
      </c>
      <c r="AJ113" s="285" t="n">
        <f aca="false">OperatingCurve!AW138</f>
        <v>10.0218</v>
      </c>
      <c r="AK113" s="285" t="n">
        <f aca="false">OperatingCurve!AY138</f>
        <v>12.52725</v>
      </c>
      <c r="AM113" s="286" t="n">
        <f aca="false">OperatingCurve!AL138</f>
        <v>36</v>
      </c>
      <c r="AN113" s="287" t="n">
        <f aca="false">OperatingCurve!AM138</f>
        <v>0.4</v>
      </c>
      <c r="BE113" s="284" t="n">
        <f aca="false">OperatingCurve!V138</f>
        <v>40087</v>
      </c>
      <c r="BF113" s="289" t="n">
        <f aca="false">OperatingCurve!AZ138</f>
        <v>0</v>
      </c>
    </row>
    <row r="114" customFormat="false" ht="12.75" hidden="false" customHeight="false" outlineLevel="0" collapsed="false">
      <c r="A114" s="282" t="n">
        <f aca="false">OperatingCurve!D110</f>
        <v>39234</v>
      </c>
      <c r="B114" s="283" t="n">
        <f aca="false">OperatingCurve!H110</f>
        <v>33.024</v>
      </c>
      <c r="C114" s="283" t="n">
        <f aca="false">OperatingCurve!G110</f>
        <v>38.369</v>
      </c>
      <c r="D114" s="283" t="n">
        <f aca="false">OperatingCurve!I110</f>
        <v>61.364</v>
      </c>
      <c r="E114" s="278"/>
      <c r="F114" s="283" t="n">
        <f aca="false">OperatingCurve!M110</f>
        <v>0</v>
      </c>
      <c r="G114" s="283" t="n">
        <f aca="false">OperatingCurve!L110</f>
        <v>0</v>
      </c>
      <c r="H114" s="283" t="n">
        <f aca="false">OperatingCurve!N110</f>
        <v>0</v>
      </c>
      <c r="I114" s="273"/>
      <c r="J114" s="284" t="n">
        <f aca="false">OperatingCurve!V139</f>
        <v>40118</v>
      </c>
      <c r="K114" s="285" t="n">
        <f aca="false">OperatingCurve!Z139</f>
        <v>0</v>
      </c>
      <c r="L114" s="285" t="n">
        <f aca="false">OperatingCurve!Y139</f>
        <v>0</v>
      </c>
      <c r="M114" s="285" t="n">
        <f aca="false">OperatingCurve!AA139</f>
        <v>0</v>
      </c>
      <c r="O114" s="285" t="n">
        <f aca="false">OperatingCurve!AE139</f>
        <v>0</v>
      </c>
      <c r="P114" s="285" t="n">
        <f aca="false">OperatingCurve!AD139</f>
        <v>0</v>
      </c>
      <c r="Q114" s="285" t="n">
        <f aca="false">OperatingCurve!AF139</f>
        <v>0</v>
      </c>
      <c r="S114" s="285" t="n">
        <f aca="false">OperatingCurve!AJ139</f>
        <v>0</v>
      </c>
      <c r="T114" s="285" t="n">
        <f aca="false">OperatingCurve!AI139</f>
        <v>0</v>
      </c>
      <c r="U114" s="285" t="n">
        <f aca="false">OperatingCurve!AK139</f>
        <v>0</v>
      </c>
      <c r="W114" s="285" t="n">
        <f aca="false">OperatingCurve!AO139</f>
        <v>0.171</v>
      </c>
      <c r="X114" s="285" t="n">
        <f aca="false">OperatingCurve!AN139</f>
        <v>0.38</v>
      </c>
      <c r="Y114" s="285" t="n">
        <f aca="false">OperatingCurve!AP139</f>
        <v>0.475</v>
      </c>
      <c r="AA114" s="285" t="n">
        <f aca="false">OperatingCurve!AR139</f>
        <v>0.152</v>
      </c>
      <c r="AB114" s="285" t="n">
        <f aca="false">OperatingCurve!AQ139</f>
        <v>0.38</v>
      </c>
      <c r="AC114" s="285" t="n">
        <f aca="false">OperatingCurve!AS139</f>
        <v>0.285</v>
      </c>
      <c r="AE114" s="285" t="n">
        <f aca="false">OperatingCurve!AU139</f>
        <v>-0.410147476715089</v>
      </c>
      <c r="AF114" s="285" t="n">
        <f aca="false">OperatingCurve!AT139</f>
        <v>6.56235962744143</v>
      </c>
      <c r="AG114" s="285" t="n">
        <f aca="false">OperatingCurve!AV139</f>
        <v>8.20294953430178</v>
      </c>
      <c r="AI114" s="285" t="n">
        <f aca="false">OperatingCurve!AX139</f>
        <v>-0.6558</v>
      </c>
      <c r="AJ114" s="285" t="n">
        <f aca="false">OperatingCurve!AW139</f>
        <v>10.4928</v>
      </c>
      <c r="AK114" s="285" t="n">
        <f aca="false">OperatingCurve!AY139</f>
        <v>13.116</v>
      </c>
      <c r="AM114" s="286" t="n">
        <f aca="false">OperatingCurve!AL139</f>
        <v>36</v>
      </c>
      <c r="AN114" s="287" t="n">
        <f aca="false">OperatingCurve!AM139</f>
        <v>0.4</v>
      </c>
      <c r="BE114" s="284" t="n">
        <f aca="false">OperatingCurve!V139</f>
        <v>40118</v>
      </c>
      <c r="BF114" s="289" t="n">
        <f aca="false">OperatingCurve!AZ139</f>
        <v>0</v>
      </c>
    </row>
    <row r="115" customFormat="false" ht="12.75" hidden="false" customHeight="false" outlineLevel="0" collapsed="false">
      <c r="A115" s="282" t="n">
        <f aca="false">OperatingCurve!D111</f>
        <v>39264</v>
      </c>
      <c r="B115" s="283" t="n">
        <f aca="false">OperatingCurve!H111</f>
        <v>33.024</v>
      </c>
      <c r="C115" s="283" t="n">
        <f aca="false">OperatingCurve!G111</f>
        <v>38.369</v>
      </c>
      <c r="D115" s="283" t="n">
        <f aca="false">OperatingCurve!I111</f>
        <v>61.364</v>
      </c>
      <c r="E115" s="278"/>
      <c r="F115" s="283" t="n">
        <f aca="false">OperatingCurve!M111</f>
        <v>0</v>
      </c>
      <c r="G115" s="283" t="n">
        <f aca="false">OperatingCurve!L111</f>
        <v>0</v>
      </c>
      <c r="H115" s="283" t="n">
        <f aca="false">OperatingCurve!N111</f>
        <v>0</v>
      </c>
      <c r="I115" s="273"/>
      <c r="J115" s="284" t="n">
        <f aca="false">OperatingCurve!V140</f>
        <v>40148</v>
      </c>
      <c r="K115" s="285" t="n">
        <f aca="false">OperatingCurve!Z140</f>
        <v>0</v>
      </c>
      <c r="L115" s="285" t="n">
        <f aca="false">OperatingCurve!Y140</f>
        <v>0</v>
      </c>
      <c r="M115" s="285" t="n">
        <f aca="false">OperatingCurve!AA140</f>
        <v>0</v>
      </c>
      <c r="O115" s="285" t="n">
        <f aca="false">OperatingCurve!AE140</f>
        <v>0</v>
      </c>
      <c r="P115" s="285" t="n">
        <f aca="false">OperatingCurve!AD140</f>
        <v>0</v>
      </c>
      <c r="Q115" s="285" t="n">
        <f aca="false">OperatingCurve!AF140</f>
        <v>0</v>
      </c>
      <c r="S115" s="285" t="n">
        <f aca="false">OperatingCurve!AJ140</f>
        <v>0</v>
      </c>
      <c r="T115" s="285" t="n">
        <f aca="false">OperatingCurve!AI140</f>
        <v>0</v>
      </c>
      <c r="U115" s="285" t="n">
        <f aca="false">OperatingCurve!AK140</f>
        <v>0</v>
      </c>
      <c r="W115" s="285" t="n">
        <f aca="false">OperatingCurve!AO140</f>
        <v>0.17325</v>
      </c>
      <c r="X115" s="285" t="n">
        <f aca="false">OperatingCurve!AN140</f>
        <v>0.385</v>
      </c>
      <c r="Y115" s="285" t="n">
        <f aca="false">OperatingCurve!AP140</f>
        <v>0.48125</v>
      </c>
      <c r="AA115" s="285" t="n">
        <f aca="false">OperatingCurve!AR140</f>
        <v>0.154</v>
      </c>
      <c r="AB115" s="285" t="n">
        <f aca="false">OperatingCurve!AQ140</f>
        <v>0.385</v>
      </c>
      <c r="AC115" s="285" t="n">
        <f aca="false">OperatingCurve!AS140</f>
        <v>0.28875</v>
      </c>
      <c r="AE115" s="285" t="n">
        <f aca="false">OperatingCurve!AU140</f>
        <v>-0.402107379613998</v>
      </c>
      <c r="AF115" s="285" t="n">
        <f aca="false">OperatingCurve!AT140</f>
        <v>6.43371807382396</v>
      </c>
      <c r="AG115" s="285" t="n">
        <f aca="false">OperatingCurve!AV140</f>
        <v>8.04214759227995</v>
      </c>
      <c r="AI115" s="285" t="n">
        <f aca="false">OperatingCurve!AX140</f>
        <v>-0.667575</v>
      </c>
      <c r="AJ115" s="285" t="n">
        <f aca="false">OperatingCurve!AW140</f>
        <v>10.6812</v>
      </c>
      <c r="AK115" s="285" t="n">
        <f aca="false">OperatingCurve!AY140</f>
        <v>13.3515</v>
      </c>
      <c r="AM115" s="286" t="n">
        <f aca="false">OperatingCurve!AL140</f>
        <v>36</v>
      </c>
      <c r="AN115" s="287" t="n">
        <f aca="false">OperatingCurve!AM140</f>
        <v>0.4</v>
      </c>
      <c r="BE115" s="284" t="n">
        <f aca="false">OperatingCurve!V140</f>
        <v>40148</v>
      </c>
      <c r="BF115" s="289" t="n">
        <f aca="false">OperatingCurve!AZ140</f>
        <v>0</v>
      </c>
    </row>
    <row r="116" customFormat="false" ht="12.75" hidden="false" customHeight="false" outlineLevel="0" collapsed="false">
      <c r="A116" s="282" t="n">
        <f aca="false">OperatingCurve!D112</f>
        <v>39295</v>
      </c>
      <c r="B116" s="283" t="n">
        <f aca="false">OperatingCurve!H112</f>
        <v>35.156</v>
      </c>
      <c r="C116" s="283" t="n">
        <f aca="false">OperatingCurve!G112</f>
        <v>40.521</v>
      </c>
      <c r="D116" s="283" t="n">
        <f aca="false">OperatingCurve!I112</f>
        <v>63.6</v>
      </c>
      <c r="E116" s="278"/>
      <c r="F116" s="283" t="n">
        <f aca="false">OperatingCurve!M112</f>
        <v>0</v>
      </c>
      <c r="G116" s="283" t="n">
        <f aca="false">OperatingCurve!L112</f>
        <v>0</v>
      </c>
      <c r="H116" s="283" t="n">
        <f aca="false">OperatingCurve!N112</f>
        <v>0</v>
      </c>
      <c r="I116" s="273"/>
      <c r="J116" s="284" t="n">
        <f aca="false">OperatingCurve!V141</f>
        <v>40179</v>
      </c>
      <c r="K116" s="285" t="n">
        <f aca="false">OperatingCurve!Z141</f>
        <v>0</v>
      </c>
      <c r="L116" s="285" t="n">
        <f aca="false">OperatingCurve!Y141</f>
        <v>0</v>
      </c>
      <c r="M116" s="285" t="n">
        <f aca="false">OperatingCurve!AA141</f>
        <v>0</v>
      </c>
      <c r="O116" s="285" t="n">
        <f aca="false">OperatingCurve!AE141</f>
        <v>0</v>
      </c>
      <c r="P116" s="285" t="n">
        <f aca="false">OperatingCurve!AD141</f>
        <v>0</v>
      </c>
      <c r="Q116" s="285" t="n">
        <f aca="false">OperatingCurve!AF141</f>
        <v>0</v>
      </c>
      <c r="S116" s="285" t="n">
        <f aca="false">OperatingCurve!AJ141</f>
        <v>0</v>
      </c>
      <c r="T116" s="285" t="n">
        <f aca="false">OperatingCurve!AI141</f>
        <v>0</v>
      </c>
      <c r="U116" s="285" t="n">
        <f aca="false">OperatingCurve!AK141</f>
        <v>0</v>
      </c>
      <c r="W116" s="285" t="n">
        <f aca="false">OperatingCurve!AO141</f>
        <v>0.17325</v>
      </c>
      <c r="X116" s="285" t="n">
        <f aca="false">OperatingCurve!AN141</f>
        <v>0.385</v>
      </c>
      <c r="Y116" s="285" t="n">
        <f aca="false">OperatingCurve!AP141</f>
        <v>0.48125</v>
      </c>
      <c r="AA116" s="285" t="n">
        <f aca="false">OperatingCurve!AR141</f>
        <v>0.154</v>
      </c>
      <c r="AB116" s="285" t="n">
        <f aca="false">OperatingCurve!AQ141</f>
        <v>0.385</v>
      </c>
      <c r="AC116" s="285" t="n">
        <f aca="false">OperatingCurve!AS141</f>
        <v>0.28875</v>
      </c>
      <c r="AE116" s="285" t="n">
        <f aca="false">OperatingCurve!AU141</f>
        <v>-0.43048858158097</v>
      </c>
      <c r="AF116" s="285" t="n">
        <f aca="false">OperatingCurve!AT141</f>
        <v>6.88781730529552</v>
      </c>
      <c r="AG116" s="285" t="n">
        <f aca="false">OperatingCurve!AV141</f>
        <v>8.60977163161941</v>
      </c>
      <c r="AI116" s="285" t="n">
        <f aca="false">OperatingCurve!AX141</f>
        <v>-0.6558</v>
      </c>
      <c r="AJ116" s="285" t="n">
        <f aca="false">OperatingCurve!AW141</f>
        <v>10.4928</v>
      </c>
      <c r="AK116" s="285" t="n">
        <f aca="false">OperatingCurve!AY141</f>
        <v>13.116</v>
      </c>
      <c r="AM116" s="286" t="n">
        <f aca="false">OperatingCurve!AL141</f>
        <v>37</v>
      </c>
      <c r="AN116" s="287" t="n">
        <f aca="false">OperatingCurve!AM141</f>
        <v>0.4</v>
      </c>
      <c r="BE116" s="284" t="n">
        <f aca="false">OperatingCurve!V141</f>
        <v>40179</v>
      </c>
      <c r="BF116" s="289" t="n">
        <f aca="false">OperatingCurve!AZ141</f>
        <v>0</v>
      </c>
    </row>
    <row r="117" customFormat="false" ht="12.75" hidden="false" customHeight="false" outlineLevel="0" collapsed="false">
      <c r="A117" s="282" t="n">
        <f aca="false">OperatingCurve!D113</f>
        <v>39326</v>
      </c>
      <c r="B117" s="283" t="n">
        <f aca="false">OperatingCurve!H113</f>
        <v>28.784</v>
      </c>
      <c r="C117" s="283" t="n">
        <f aca="false">OperatingCurve!G113</f>
        <v>34.089</v>
      </c>
      <c r="D117" s="283" t="n">
        <f aca="false">OperatingCurve!I113</f>
        <v>56.916</v>
      </c>
      <c r="E117" s="278"/>
      <c r="F117" s="283" t="n">
        <f aca="false">OperatingCurve!M113</f>
        <v>0</v>
      </c>
      <c r="G117" s="283" t="n">
        <f aca="false">OperatingCurve!L113</f>
        <v>0</v>
      </c>
      <c r="H117" s="283" t="n">
        <f aca="false">OperatingCurve!N113</f>
        <v>0</v>
      </c>
      <c r="I117" s="273"/>
      <c r="J117" s="284" t="n">
        <f aca="false">OperatingCurve!V142</f>
        <v>40210</v>
      </c>
      <c r="K117" s="285" t="n">
        <f aca="false">OperatingCurve!Z142</f>
        <v>0</v>
      </c>
      <c r="L117" s="285" t="n">
        <f aca="false">OperatingCurve!Y142</f>
        <v>0</v>
      </c>
      <c r="M117" s="285" t="n">
        <f aca="false">OperatingCurve!AA142</f>
        <v>0</v>
      </c>
      <c r="O117" s="285" t="n">
        <f aca="false">OperatingCurve!AE142</f>
        <v>0</v>
      </c>
      <c r="P117" s="285" t="n">
        <f aca="false">OperatingCurve!AD142</f>
        <v>0</v>
      </c>
      <c r="Q117" s="285" t="n">
        <f aca="false">OperatingCurve!AF142</f>
        <v>0</v>
      </c>
      <c r="S117" s="285" t="n">
        <f aca="false">OperatingCurve!AJ142</f>
        <v>0</v>
      </c>
      <c r="T117" s="285" t="n">
        <f aca="false">OperatingCurve!AI142</f>
        <v>0</v>
      </c>
      <c r="U117" s="285" t="n">
        <f aca="false">OperatingCurve!AK142</f>
        <v>0</v>
      </c>
      <c r="W117" s="285" t="n">
        <f aca="false">OperatingCurve!AO142</f>
        <v>0.16875</v>
      </c>
      <c r="X117" s="285" t="n">
        <f aca="false">OperatingCurve!AN142</f>
        <v>0.375</v>
      </c>
      <c r="Y117" s="285" t="n">
        <f aca="false">OperatingCurve!AP142</f>
        <v>0.46875</v>
      </c>
      <c r="AA117" s="285" t="n">
        <f aca="false">OperatingCurve!AR142</f>
        <v>0.15</v>
      </c>
      <c r="AB117" s="285" t="n">
        <f aca="false">OperatingCurve!AQ142</f>
        <v>0.375</v>
      </c>
      <c r="AC117" s="285" t="n">
        <f aca="false">OperatingCurve!AS142</f>
        <v>0.28125</v>
      </c>
      <c r="AE117" s="285" t="n">
        <f aca="false">OperatingCurve!AU142</f>
        <v>-0.402107379613998</v>
      </c>
      <c r="AF117" s="285" t="n">
        <f aca="false">OperatingCurve!AT142</f>
        <v>6.43371807382396</v>
      </c>
      <c r="AG117" s="285" t="n">
        <f aca="false">OperatingCurve!AV142</f>
        <v>8.04214759227995</v>
      </c>
      <c r="AI117" s="285" t="n">
        <f aca="false">OperatingCurve!AX142</f>
        <v>-0.6616875</v>
      </c>
      <c r="AJ117" s="285" t="n">
        <f aca="false">OperatingCurve!AW142</f>
        <v>10.587</v>
      </c>
      <c r="AK117" s="285" t="n">
        <f aca="false">OperatingCurve!AY142</f>
        <v>13.23375</v>
      </c>
      <c r="AM117" s="286" t="n">
        <f aca="false">OperatingCurve!AL142</f>
        <v>37</v>
      </c>
      <c r="AN117" s="287" t="n">
        <f aca="false">OperatingCurve!AM142</f>
        <v>0.4</v>
      </c>
      <c r="BE117" s="284" t="n">
        <f aca="false">OperatingCurve!V142</f>
        <v>40210</v>
      </c>
      <c r="BF117" s="289" t="n">
        <f aca="false">OperatingCurve!AZ142</f>
        <v>0</v>
      </c>
    </row>
    <row r="118" customFormat="false" ht="12.75" hidden="false" customHeight="false" outlineLevel="0" collapsed="false">
      <c r="A118" s="282" t="n">
        <f aca="false">OperatingCurve!D114</f>
        <v>39356</v>
      </c>
      <c r="B118" s="283" t="n">
        <f aca="false">OperatingCurve!H114</f>
        <v>30.9</v>
      </c>
      <c r="C118" s="283" t="n">
        <f aca="false">OperatingCurve!G114</f>
        <v>36.225</v>
      </c>
      <c r="D118" s="283" t="n">
        <f aca="false">OperatingCurve!I114</f>
        <v>59.136</v>
      </c>
      <c r="E118" s="278"/>
      <c r="F118" s="283" t="n">
        <f aca="false">OperatingCurve!M114</f>
        <v>0</v>
      </c>
      <c r="G118" s="283" t="n">
        <f aca="false">OperatingCurve!L114</f>
        <v>0</v>
      </c>
      <c r="H118" s="283" t="n">
        <f aca="false">OperatingCurve!N114</f>
        <v>0</v>
      </c>
      <c r="I118" s="273"/>
      <c r="J118" s="284" t="n">
        <f aca="false">OperatingCurve!V143</f>
        <v>40238</v>
      </c>
      <c r="K118" s="285" t="n">
        <f aca="false">OperatingCurve!Z143</f>
        <v>0</v>
      </c>
      <c r="L118" s="285" t="n">
        <f aca="false">OperatingCurve!Y143</f>
        <v>0</v>
      </c>
      <c r="M118" s="285" t="n">
        <f aca="false">OperatingCurve!AA143</f>
        <v>0</v>
      </c>
      <c r="O118" s="285" t="n">
        <f aca="false">OperatingCurve!AE143</f>
        <v>0</v>
      </c>
      <c r="P118" s="285" t="n">
        <f aca="false">OperatingCurve!AD143</f>
        <v>0</v>
      </c>
      <c r="Q118" s="285" t="n">
        <f aca="false">OperatingCurve!AF143</f>
        <v>0</v>
      </c>
      <c r="S118" s="285" t="n">
        <f aca="false">OperatingCurve!AJ143</f>
        <v>0</v>
      </c>
      <c r="T118" s="285" t="n">
        <f aca="false">OperatingCurve!AI143</f>
        <v>0</v>
      </c>
      <c r="U118" s="285" t="n">
        <f aca="false">OperatingCurve!AK143</f>
        <v>0</v>
      </c>
      <c r="W118" s="285" t="n">
        <f aca="false">OperatingCurve!AO143</f>
        <v>0.1665</v>
      </c>
      <c r="X118" s="285" t="n">
        <f aca="false">OperatingCurve!AN143</f>
        <v>0.37</v>
      </c>
      <c r="Y118" s="285" t="n">
        <f aca="false">OperatingCurve!AP143</f>
        <v>0.4625</v>
      </c>
      <c r="AA118" s="285" t="n">
        <f aca="false">OperatingCurve!AR143</f>
        <v>0.148</v>
      </c>
      <c r="AB118" s="285" t="n">
        <f aca="false">OperatingCurve!AQ143</f>
        <v>0.37</v>
      </c>
      <c r="AC118" s="285" t="n">
        <f aca="false">OperatingCurve!AS143</f>
        <v>0.2775</v>
      </c>
      <c r="AE118" s="285" t="n">
        <f aca="false">OperatingCurve!AU143</f>
        <v>-0.395696014851329</v>
      </c>
      <c r="AF118" s="285" t="n">
        <f aca="false">OperatingCurve!AT143</f>
        <v>6.33113623762127</v>
      </c>
      <c r="AG118" s="285" t="n">
        <f aca="false">OperatingCurve!AV143</f>
        <v>7.91392029702658</v>
      </c>
      <c r="AI118" s="285" t="n">
        <f aca="false">OperatingCurve!AX143</f>
        <v>-0.667575</v>
      </c>
      <c r="AJ118" s="285" t="n">
        <f aca="false">OperatingCurve!AW143</f>
        <v>10.6812</v>
      </c>
      <c r="AK118" s="285" t="n">
        <f aca="false">OperatingCurve!AY143</f>
        <v>13.3515</v>
      </c>
      <c r="AM118" s="286" t="n">
        <f aca="false">OperatingCurve!AL143</f>
        <v>37</v>
      </c>
      <c r="AN118" s="287" t="n">
        <f aca="false">OperatingCurve!AM143</f>
        <v>0.4</v>
      </c>
      <c r="BE118" s="284" t="n">
        <f aca="false">OperatingCurve!V143</f>
        <v>40238</v>
      </c>
      <c r="BF118" s="289" t="n">
        <f aca="false">OperatingCurve!AZ143</f>
        <v>0</v>
      </c>
    </row>
    <row r="119" customFormat="false" ht="12.75" hidden="false" customHeight="false" outlineLevel="0" collapsed="false">
      <c r="A119" s="282" t="n">
        <f aca="false">OperatingCurve!D115</f>
        <v>39387</v>
      </c>
      <c r="B119" s="283" t="n">
        <f aca="false">OperatingCurve!H115</f>
        <v>26.676</v>
      </c>
      <c r="C119" s="283" t="n">
        <f aca="false">OperatingCurve!G115</f>
        <v>31.961</v>
      </c>
      <c r="D119" s="283" t="n">
        <f aca="false">OperatingCurve!I115</f>
        <v>54.704</v>
      </c>
      <c r="E119" s="278"/>
      <c r="F119" s="283" t="n">
        <f aca="false">OperatingCurve!M115</f>
        <v>0</v>
      </c>
      <c r="G119" s="283" t="n">
        <f aca="false">OperatingCurve!L115</f>
        <v>0</v>
      </c>
      <c r="H119" s="283" t="n">
        <f aca="false">OperatingCurve!N115</f>
        <v>0</v>
      </c>
      <c r="I119" s="273"/>
      <c r="J119" s="284" t="n">
        <f aca="false">OperatingCurve!V144</f>
        <v>40269</v>
      </c>
      <c r="K119" s="285" t="n">
        <f aca="false">OperatingCurve!Z144</f>
        <v>0</v>
      </c>
      <c r="L119" s="285" t="n">
        <f aca="false">OperatingCurve!Y144</f>
        <v>0</v>
      </c>
      <c r="M119" s="285" t="n">
        <f aca="false">OperatingCurve!AA144</f>
        <v>0</v>
      </c>
      <c r="O119" s="285" t="n">
        <f aca="false">OperatingCurve!AE144</f>
        <v>0</v>
      </c>
      <c r="P119" s="285" t="n">
        <f aca="false">OperatingCurve!AD144</f>
        <v>0</v>
      </c>
      <c r="Q119" s="285" t="n">
        <f aca="false">OperatingCurve!AF144</f>
        <v>0</v>
      </c>
      <c r="S119" s="285" t="n">
        <f aca="false">OperatingCurve!AJ144</f>
        <v>0</v>
      </c>
      <c r="T119" s="285" t="n">
        <f aca="false">OperatingCurve!AI144</f>
        <v>0</v>
      </c>
      <c r="U119" s="285" t="n">
        <f aca="false">OperatingCurve!AK144</f>
        <v>0</v>
      </c>
      <c r="W119" s="285" t="n">
        <f aca="false">OperatingCurve!AO144</f>
        <v>0.1665</v>
      </c>
      <c r="X119" s="285" t="n">
        <f aca="false">OperatingCurve!AN144</f>
        <v>0.37</v>
      </c>
      <c r="Y119" s="285" t="n">
        <f aca="false">OperatingCurve!AP144</f>
        <v>0.4625</v>
      </c>
      <c r="AA119" s="285" t="n">
        <f aca="false">OperatingCurve!AR144</f>
        <v>0.148</v>
      </c>
      <c r="AB119" s="285" t="n">
        <f aca="false">OperatingCurve!AQ144</f>
        <v>0.37</v>
      </c>
      <c r="AC119" s="285" t="n">
        <f aca="false">OperatingCurve!AS144</f>
        <v>0.2775</v>
      </c>
      <c r="AE119" s="285" t="n">
        <f aca="false">OperatingCurve!AU144</f>
        <v>-0.395696014851329</v>
      </c>
      <c r="AF119" s="285" t="n">
        <f aca="false">OperatingCurve!AT144</f>
        <v>6.33113623762127</v>
      </c>
      <c r="AG119" s="285" t="n">
        <f aca="false">OperatingCurve!AV144</f>
        <v>7.91392029702658</v>
      </c>
      <c r="AI119" s="285" t="n">
        <f aca="false">OperatingCurve!AX144</f>
        <v>-0.667575</v>
      </c>
      <c r="AJ119" s="285" t="n">
        <f aca="false">OperatingCurve!AW144</f>
        <v>10.6812</v>
      </c>
      <c r="AK119" s="285" t="n">
        <f aca="false">OperatingCurve!AY144</f>
        <v>13.3515</v>
      </c>
      <c r="AM119" s="286" t="n">
        <f aca="false">OperatingCurve!AL144</f>
        <v>38</v>
      </c>
      <c r="AN119" s="287" t="n">
        <f aca="false">OperatingCurve!AM144</f>
        <v>0.4</v>
      </c>
      <c r="BE119" s="284" t="n">
        <f aca="false">OperatingCurve!V144</f>
        <v>40269</v>
      </c>
      <c r="BF119" s="289" t="n">
        <f aca="false">OperatingCurve!AZ144</f>
        <v>0</v>
      </c>
    </row>
    <row r="120" customFormat="false" ht="12.75" hidden="false" customHeight="false" outlineLevel="0" collapsed="false">
      <c r="A120" s="282" t="n">
        <f aca="false">OperatingCurve!D116</f>
        <v>39417</v>
      </c>
      <c r="B120" s="283" t="n">
        <f aca="false">OperatingCurve!H116</f>
        <v>25.625</v>
      </c>
      <c r="C120" s="283" t="n">
        <f aca="false">OperatingCurve!G116</f>
        <v>30.9</v>
      </c>
      <c r="D120" s="283" t="n">
        <f aca="false">OperatingCurve!I116</f>
        <v>53.601</v>
      </c>
      <c r="E120" s="278"/>
      <c r="F120" s="283" t="n">
        <f aca="false">OperatingCurve!M116</f>
        <v>0</v>
      </c>
      <c r="G120" s="283" t="n">
        <f aca="false">OperatingCurve!L116</f>
        <v>0</v>
      </c>
      <c r="H120" s="283" t="n">
        <f aca="false">OperatingCurve!N116</f>
        <v>0</v>
      </c>
      <c r="I120" s="273"/>
      <c r="J120" s="284" t="n">
        <f aca="false">OperatingCurve!V145</f>
        <v>40299</v>
      </c>
      <c r="K120" s="285" t="n">
        <f aca="false">OperatingCurve!Z145</f>
        <v>0</v>
      </c>
      <c r="L120" s="285" t="n">
        <f aca="false">OperatingCurve!Y145</f>
        <v>0</v>
      </c>
      <c r="M120" s="285" t="n">
        <f aca="false">OperatingCurve!AA145</f>
        <v>0</v>
      </c>
      <c r="O120" s="285" t="n">
        <f aca="false">OperatingCurve!AE145</f>
        <v>0</v>
      </c>
      <c r="P120" s="285" t="n">
        <f aca="false">OperatingCurve!AD145</f>
        <v>0</v>
      </c>
      <c r="Q120" s="285" t="n">
        <f aca="false">OperatingCurve!AF145</f>
        <v>0</v>
      </c>
      <c r="S120" s="285" t="n">
        <f aca="false">OperatingCurve!AJ145</f>
        <v>0</v>
      </c>
      <c r="T120" s="285" t="n">
        <f aca="false">OperatingCurve!AI145</f>
        <v>0</v>
      </c>
      <c r="U120" s="285" t="n">
        <f aca="false">OperatingCurve!AK145</f>
        <v>0</v>
      </c>
      <c r="W120" s="285" t="n">
        <f aca="false">OperatingCurve!AO145</f>
        <v>0.1665</v>
      </c>
      <c r="X120" s="285" t="n">
        <f aca="false">OperatingCurve!AN145</f>
        <v>0.37</v>
      </c>
      <c r="Y120" s="285" t="n">
        <f aca="false">OperatingCurve!AP145</f>
        <v>0.4625</v>
      </c>
      <c r="AA120" s="285" t="n">
        <f aca="false">OperatingCurve!AR145</f>
        <v>0.148</v>
      </c>
      <c r="AB120" s="285" t="n">
        <f aca="false">OperatingCurve!AQ145</f>
        <v>0.37</v>
      </c>
      <c r="AC120" s="285" t="n">
        <f aca="false">OperatingCurve!AS145</f>
        <v>0.2775</v>
      </c>
      <c r="AE120" s="285" t="n">
        <f aca="false">OperatingCurve!AU145</f>
        <v>-0.419655399211954</v>
      </c>
      <c r="AF120" s="285" t="n">
        <f aca="false">OperatingCurve!AT145</f>
        <v>6.71448638739126</v>
      </c>
      <c r="AG120" s="285" t="n">
        <f aca="false">OperatingCurve!AV145</f>
        <v>8.39310798423907</v>
      </c>
      <c r="AI120" s="285" t="n">
        <f aca="false">OperatingCurve!AX145</f>
        <v>-0.6499125</v>
      </c>
      <c r="AJ120" s="285" t="n">
        <f aca="false">OperatingCurve!AW145</f>
        <v>10.3986</v>
      </c>
      <c r="AK120" s="285" t="n">
        <f aca="false">OperatingCurve!AY145</f>
        <v>12.99825</v>
      </c>
      <c r="AM120" s="286" t="n">
        <f aca="false">OperatingCurve!AL145</f>
        <v>38</v>
      </c>
      <c r="AN120" s="287" t="n">
        <f aca="false">OperatingCurve!AM145</f>
        <v>0.4</v>
      </c>
      <c r="BE120" s="284" t="n">
        <f aca="false">OperatingCurve!V145</f>
        <v>40299</v>
      </c>
      <c r="BF120" s="289" t="n">
        <f aca="false">OperatingCurve!AZ145</f>
        <v>0</v>
      </c>
    </row>
    <row r="121" customFormat="false" ht="12.75" hidden="false" customHeight="false" outlineLevel="0" collapsed="false">
      <c r="A121" s="282" t="n">
        <f aca="false">OperatingCurve!D117</f>
        <v>39448</v>
      </c>
      <c r="B121" s="283" t="n">
        <f aca="false">OperatingCurve!H117</f>
        <v>26.676</v>
      </c>
      <c r="C121" s="283" t="n">
        <f aca="false">OperatingCurve!G117</f>
        <v>31.961</v>
      </c>
      <c r="D121" s="283" t="n">
        <f aca="false">OperatingCurve!I117</f>
        <v>55.809</v>
      </c>
      <c r="E121" s="278"/>
      <c r="F121" s="283" t="n">
        <f aca="false">OperatingCurve!M117</f>
        <v>0</v>
      </c>
      <c r="G121" s="283" t="n">
        <f aca="false">OperatingCurve!L117</f>
        <v>0</v>
      </c>
      <c r="H121" s="283" t="n">
        <f aca="false">OperatingCurve!N117</f>
        <v>0</v>
      </c>
      <c r="I121" s="273"/>
      <c r="J121" s="284" t="n">
        <f aca="false">OperatingCurve!V146</f>
        <v>40330</v>
      </c>
      <c r="K121" s="285" t="n">
        <f aca="false">OperatingCurve!Z146</f>
        <v>0</v>
      </c>
      <c r="L121" s="285" t="n">
        <f aca="false">OperatingCurve!Y146</f>
        <v>0</v>
      </c>
      <c r="M121" s="285" t="n">
        <f aca="false">OperatingCurve!AA146</f>
        <v>0</v>
      </c>
      <c r="O121" s="285" t="n">
        <f aca="false">OperatingCurve!AE146</f>
        <v>0</v>
      </c>
      <c r="P121" s="285" t="n">
        <f aca="false">OperatingCurve!AD146</f>
        <v>0</v>
      </c>
      <c r="Q121" s="285" t="n">
        <f aca="false">OperatingCurve!AF146</f>
        <v>0</v>
      </c>
      <c r="S121" s="285" t="n">
        <f aca="false">OperatingCurve!AJ146</f>
        <v>0</v>
      </c>
      <c r="T121" s="285" t="n">
        <f aca="false">OperatingCurve!AI146</f>
        <v>0</v>
      </c>
      <c r="U121" s="285" t="n">
        <f aca="false">OperatingCurve!AK146</f>
        <v>0</v>
      </c>
      <c r="W121" s="285" t="n">
        <f aca="false">OperatingCurve!AO146</f>
        <v>0.1665</v>
      </c>
      <c r="X121" s="285" t="n">
        <f aca="false">OperatingCurve!AN146</f>
        <v>0.37</v>
      </c>
      <c r="Y121" s="285" t="n">
        <f aca="false">OperatingCurve!AP146</f>
        <v>0.4625</v>
      </c>
      <c r="AA121" s="285" t="n">
        <f aca="false">OperatingCurve!AR146</f>
        <v>0.148</v>
      </c>
      <c r="AB121" s="285" t="n">
        <f aca="false">OperatingCurve!AQ146</f>
        <v>0.37</v>
      </c>
      <c r="AC121" s="285" t="n">
        <f aca="false">OperatingCurve!AS146</f>
        <v>0.2775</v>
      </c>
      <c r="AE121" s="285" t="n">
        <f aca="false">OperatingCurve!AU146</f>
        <v>-0.517091326059428</v>
      </c>
      <c r="AF121" s="285" t="n">
        <f aca="false">OperatingCurve!AT146</f>
        <v>8.27346121695085</v>
      </c>
      <c r="AG121" s="285" t="n">
        <f aca="false">OperatingCurve!AV146</f>
        <v>10.3418265211886</v>
      </c>
      <c r="AI121" s="285" t="n">
        <f aca="false">OperatingCurve!AX146</f>
        <v>-0.6087</v>
      </c>
      <c r="AJ121" s="285" t="n">
        <f aca="false">OperatingCurve!AW146</f>
        <v>9.7392</v>
      </c>
      <c r="AK121" s="285" t="n">
        <f aca="false">OperatingCurve!AY146</f>
        <v>12.174</v>
      </c>
      <c r="AM121" s="286" t="n">
        <f aca="false">OperatingCurve!AL146</f>
        <v>38</v>
      </c>
      <c r="AN121" s="287" t="n">
        <f aca="false">OperatingCurve!AM146</f>
        <v>0.4</v>
      </c>
      <c r="BE121" s="284" t="n">
        <f aca="false">OperatingCurve!V146</f>
        <v>40330</v>
      </c>
      <c r="BF121" s="289" t="n">
        <f aca="false">OperatingCurve!AZ146</f>
        <v>0</v>
      </c>
    </row>
    <row r="122" customFormat="false" ht="12.75" hidden="false" customHeight="false" outlineLevel="0" collapsed="false">
      <c r="A122" s="282" t="n">
        <f aca="false">OperatingCurve!D118</f>
        <v>39479</v>
      </c>
      <c r="B122" s="283" t="n">
        <f aca="false">OperatingCurve!H118</f>
        <v>25.625</v>
      </c>
      <c r="C122" s="283" t="n">
        <f aca="false">OperatingCurve!G118</f>
        <v>30.9</v>
      </c>
      <c r="D122" s="283" t="n">
        <f aca="false">OperatingCurve!I118</f>
        <v>54.704</v>
      </c>
      <c r="E122" s="278"/>
      <c r="F122" s="283" t="n">
        <f aca="false">OperatingCurve!M118</f>
        <v>0</v>
      </c>
      <c r="G122" s="283" t="n">
        <f aca="false">OperatingCurve!L118</f>
        <v>0</v>
      </c>
      <c r="H122" s="283" t="n">
        <f aca="false">OperatingCurve!N118</f>
        <v>0</v>
      </c>
      <c r="I122" s="273"/>
      <c r="J122" s="284" t="n">
        <f aca="false">OperatingCurve!V147</f>
        <v>40360</v>
      </c>
      <c r="K122" s="285" t="n">
        <f aca="false">OperatingCurve!Z147</f>
        <v>0</v>
      </c>
      <c r="L122" s="285" t="n">
        <f aca="false">OperatingCurve!Y147</f>
        <v>0</v>
      </c>
      <c r="M122" s="285" t="n">
        <f aca="false">OperatingCurve!AA147</f>
        <v>0</v>
      </c>
      <c r="O122" s="285" t="n">
        <f aca="false">OperatingCurve!AE147</f>
        <v>0</v>
      </c>
      <c r="P122" s="285" t="n">
        <f aca="false">OperatingCurve!AD147</f>
        <v>0</v>
      </c>
      <c r="Q122" s="285" t="n">
        <f aca="false">OperatingCurve!AF147</f>
        <v>0</v>
      </c>
      <c r="S122" s="285" t="n">
        <f aca="false">OperatingCurve!AJ147</f>
        <v>0</v>
      </c>
      <c r="T122" s="285" t="n">
        <f aca="false">OperatingCurve!AI147</f>
        <v>0</v>
      </c>
      <c r="U122" s="285" t="n">
        <f aca="false">OperatingCurve!AK147</f>
        <v>0</v>
      </c>
      <c r="W122" s="285" t="n">
        <f aca="false">OperatingCurve!AO147</f>
        <v>0.1665</v>
      </c>
      <c r="X122" s="285" t="n">
        <f aca="false">OperatingCurve!AN147</f>
        <v>0.37</v>
      </c>
      <c r="Y122" s="285" t="n">
        <f aca="false">OperatingCurve!AP147</f>
        <v>0.4625</v>
      </c>
      <c r="AA122" s="285" t="n">
        <f aca="false">OperatingCurve!AR147</f>
        <v>0.148</v>
      </c>
      <c r="AB122" s="285" t="n">
        <f aca="false">OperatingCurve!AQ147</f>
        <v>0.37</v>
      </c>
      <c r="AC122" s="285" t="n">
        <f aca="false">OperatingCurve!AS147</f>
        <v>0.2775</v>
      </c>
      <c r="AE122" s="285" t="n">
        <f aca="false">OperatingCurve!AU147</f>
        <v>-0.517091326059428</v>
      </c>
      <c r="AF122" s="285" t="n">
        <f aca="false">OperatingCurve!AT147</f>
        <v>8.27346121695085</v>
      </c>
      <c r="AG122" s="285" t="n">
        <f aca="false">OperatingCurve!AV147</f>
        <v>10.3418265211886</v>
      </c>
      <c r="AI122" s="285" t="n">
        <f aca="false">OperatingCurve!AX147</f>
        <v>-0.6087</v>
      </c>
      <c r="AJ122" s="285" t="n">
        <f aca="false">OperatingCurve!AW147</f>
        <v>9.7392</v>
      </c>
      <c r="AK122" s="285" t="n">
        <f aca="false">OperatingCurve!AY147</f>
        <v>12.174</v>
      </c>
      <c r="AM122" s="286" t="n">
        <f aca="false">OperatingCurve!AL147</f>
        <v>39</v>
      </c>
      <c r="AN122" s="287" t="n">
        <f aca="false">OperatingCurve!AM147</f>
        <v>0.4</v>
      </c>
      <c r="BE122" s="284" t="n">
        <f aca="false">OperatingCurve!V147</f>
        <v>40360</v>
      </c>
      <c r="BF122" s="289" t="n">
        <f aca="false">OperatingCurve!AZ147</f>
        <v>0</v>
      </c>
    </row>
    <row r="123" customFormat="false" ht="12.75" hidden="false" customHeight="false" outlineLevel="0" collapsed="false">
      <c r="A123" s="282" t="n">
        <f aca="false">OperatingCurve!D119</f>
        <v>39508</v>
      </c>
      <c r="B123" s="283" t="n">
        <f aca="false">OperatingCurve!H119</f>
        <v>24.576</v>
      </c>
      <c r="C123" s="283" t="n">
        <f aca="false">OperatingCurve!G119</f>
        <v>29.841</v>
      </c>
      <c r="D123" s="283" t="n">
        <f aca="false">OperatingCurve!I119</f>
        <v>53.601</v>
      </c>
      <c r="E123" s="278"/>
      <c r="F123" s="283" t="n">
        <f aca="false">OperatingCurve!M119</f>
        <v>0</v>
      </c>
      <c r="G123" s="283" t="n">
        <f aca="false">OperatingCurve!L119</f>
        <v>0</v>
      </c>
      <c r="H123" s="283" t="n">
        <f aca="false">OperatingCurve!N119</f>
        <v>0</v>
      </c>
      <c r="I123" s="273"/>
      <c r="J123" s="284" t="n">
        <f aca="false">OperatingCurve!V148</f>
        <v>40391</v>
      </c>
      <c r="K123" s="285" t="n">
        <f aca="false">OperatingCurve!Z148</f>
        <v>0</v>
      </c>
      <c r="L123" s="285" t="n">
        <f aca="false">OperatingCurve!Y148</f>
        <v>0</v>
      </c>
      <c r="M123" s="285" t="n">
        <f aca="false">OperatingCurve!AA148</f>
        <v>0</v>
      </c>
      <c r="O123" s="285" t="n">
        <f aca="false">OperatingCurve!AE148</f>
        <v>0</v>
      </c>
      <c r="P123" s="285" t="n">
        <f aca="false">OperatingCurve!AD148</f>
        <v>0</v>
      </c>
      <c r="Q123" s="285" t="n">
        <f aca="false">OperatingCurve!AF148</f>
        <v>0</v>
      </c>
      <c r="S123" s="285" t="n">
        <f aca="false">OperatingCurve!AJ148</f>
        <v>0</v>
      </c>
      <c r="T123" s="285" t="n">
        <f aca="false">OperatingCurve!AI148</f>
        <v>0</v>
      </c>
      <c r="U123" s="285" t="n">
        <f aca="false">OperatingCurve!AK148</f>
        <v>0</v>
      </c>
      <c r="W123" s="285" t="n">
        <f aca="false">OperatingCurve!AO148</f>
        <v>0.1665</v>
      </c>
      <c r="X123" s="285" t="n">
        <f aca="false">OperatingCurve!AN148</f>
        <v>0.37</v>
      </c>
      <c r="Y123" s="285" t="n">
        <f aca="false">OperatingCurve!AP148</f>
        <v>0.4625</v>
      </c>
      <c r="AA123" s="285" t="n">
        <f aca="false">OperatingCurve!AR148</f>
        <v>0.148</v>
      </c>
      <c r="AB123" s="285" t="n">
        <f aca="false">OperatingCurve!AQ148</f>
        <v>0.37</v>
      </c>
      <c r="AC123" s="285" t="n">
        <f aca="false">OperatingCurve!AS148</f>
        <v>0.2775</v>
      </c>
      <c r="AE123" s="285" t="n">
        <f aca="false">OperatingCurve!AU148</f>
        <v>-0.552146177512111</v>
      </c>
      <c r="AF123" s="285" t="n">
        <f aca="false">OperatingCurve!AT148</f>
        <v>8.83433884019377</v>
      </c>
      <c r="AG123" s="285" t="n">
        <f aca="false">OperatingCurve!AV148</f>
        <v>11.0429235502422</v>
      </c>
      <c r="AI123" s="285" t="n">
        <f aca="false">OperatingCurve!AX148</f>
        <v>-0.596925</v>
      </c>
      <c r="AJ123" s="285" t="n">
        <f aca="false">OperatingCurve!AW148</f>
        <v>9.5508</v>
      </c>
      <c r="AK123" s="285" t="n">
        <f aca="false">OperatingCurve!AY148</f>
        <v>11.9385</v>
      </c>
      <c r="AM123" s="286" t="n">
        <f aca="false">OperatingCurve!AL148</f>
        <v>39</v>
      </c>
      <c r="AN123" s="287" t="n">
        <f aca="false">OperatingCurve!AM148</f>
        <v>0.4</v>
      </c>
      <c r="BE123" s="284" t="n">
        <f aca="false">OperatingCurve!V148</f>
        <v>40391</v>
      </c>
      <c r="BF123" s="289" t="n">
        <f aca="false">OperatingCurve!AZ148</f>
        <v>0</v>
      </c>
    </row>
    <row r="124" customFormat="false" ht="12.75" hidden="false" customHeight="false" outlineLevel="0" collapsed="false">
      <c r="A124" s="282" t="n">
        <f aca="false">OperatingCurve!D120</f>
        <v>39539</v>
      </c>
      <c r="B124" s="283" t="n">
        <f aca="false">OperatingCurve!H120</f>
        <v>23.529</v>
      </c>
      <c r="C124" s="283" t="n">
        <f aca="false">OperatingCurve!G120</f>
        <v>28.784</v>
      </c>
      <c r="D124" s="283" t="n">
        <f aca="false">OperatingCurve!I120</f>
        <v>52.5</v>
      </c>
      <c r="E124" s="278"/>
      <c r="F124" s="283" t="n">
        <f aca="false">OperatingCurve!M120</f>
        <v>0</v>
      </c>
      <c r="G124" s="283" t="n">
        <f aca="false">OperatingCurve!L120</f>
        <v>0</v>
      </c>
      <c r="H124" s="283" t="n">
        <f aca="false">OperatingCurve!N120</f>
        <v>0</v>
      </c>
      <c r="I124" s="273"/>
      <c r="J124" s="284" t="n">
        <f aca="false">OperatingCurve!V149</f>
        <v>40422</v>
      </c>
      <c r="K124" s="285" t="n">
        <f aca="false">OperatingCurve!Z149</f>
        <v>0</v>
      </c>
      <c r="L124" s="285" t="n">
        <f aca="false">OperatingCurve!Y149</f>
        <v>0</v>
      </c>
      <c r="M124" s="285" t="n">
        <f aca="false">OperatingCurve!AA149</f>
        <v>0</v>
      </c>
      <c r="O124" s="285" t="n">
        <f aca="false">OperatingCurve!AE149</f>
        <v>0</v>
      </c>
      <c r="P124" s="285" t="n">
        <f aca="false">OperatingCurve!AD149</f>
        <v>0</v>
      </c>
      <c r="Q124" s="285" t="n">
        <f aca="false">OperatingCurve!AF149</f>
        <v>0</v>
      </c>
      <c r="S124" s="285" t="n">
        <f aca="false">OperatingCurve!AJ149</f>
        <v>0</v>
      </c>
      <c r="T124" s="285" t="n">
        <f aca="false">OperatingCurve!AI149</f>
        <v>0</v>
      </c>
      <c r="U124" s="285" t="n">
        <f aca="false">OperatingCurve!AK149</f>
        <v>0</v>
      </c>
      <c r="W124" s="285" t="n">
        <f aca="false">OperatingCurve!AO149</f>
        <v>0.1665</v>
      </c>
      <c r="X124" s="285" t="n">
        <f aca="false">OperatingCurve!AN149</f>
        <v>0.37</v>
      </c>
      <c r="Y124" s="285" t="n">
        <f aca="false">OperatingCurve!AP149</f>
        <v>0.4625</v>
      </c>
      <c r="AA124" s="285" t="n">
        <f aca="false">OperatingCurve!AR149</f>
        <v>0.148</v>
      </c>
      <c r="AB124" s="285" t="n">
        <f aca="false">OperatingCurve!AQ149</f>
        <v>0.37</v>
      </c>
      <c r="AC124" s="285" t="n">
        <f aca="false">OperatingCurve!AS149</f>
        <v>0.2775</v>
      </c>
      <c r="AE124" s="285" t="n">
        <f aca="false">OperatingCurve!AU149</f>
        <v>-0.455637578174882</v>
      </c>
      <c r="AF124" s="285" t="n">
        <f aca="false">OperatingCurve!AT149</f>
        <v>7.29020125079811</v>
      </c>
      <c r="AG124" s="285" t="n">
        <f aca="false">OperatingCurve!AV149</f>
        <v>9.11275156349763</v>
      </c>
      <c r="AI124" s="285" t="n">
        <f aca="false">OperatingCurve!AX149</f>
        <v>-0.63225</v>
      </c>
      <c r="AJ124" s="285" t="n">
        <f aca="false">OperatingCurve!AW149</f>
        <v>10.116</v>
      </c>
      <c r="AK124" s="285" t="n">
        <f aca="false">OperatingCurve!AY149</f>
        <v>12.645</v>
      </c>
      <c r="AM124" s="286" t="n">
        <f aca="false">OperatingCurve!AL149</f>
        <v>39</v>
      </c>
      <c r="AN124" s="287" t="n">
        <f aca="false">OperatingCurve!AM149</f>
        <v>0.4</v>
      </c>
      <c r="BE124" s="284" t="n">
        <f aca="false">OperatingCurve!V149</f>
        <v>40422</v>
      </c>
      <c r="BF124" s="289" t="n">
        <f aca="false">OperatingCurve!AZ149</f>
        <v>0</v>
      </c>
    </row>
    <row r="125" customFormat="false" ht="12.75" hidden="false" customHeight="false" outlineLevel="0" collapsed="false">
      <c r="A125" s="282" t="n">
        <f aca="false">OperatingCurve!D121</f>
        <v>39569</v>
      </c>
      <c r="B125" s="283" t="n">
        <f aca="false">OperatingCurve!H121</f>
        <v>26.676</v>
      </c>
      <c r="C125" s="283" t="n">
        <f aca="false">OperatingCurve!G121</f>
        <v>31.961</v>
      </c>
      <c r="D125" s="283" t="n">
        <f aca="false">OperatingCurve!I121</f>
        <v>55.809</v>
      </c>
      <c r="E125" s="278"/>
      <c r="F125" s="283" t="n">
        <f aca="false">OperatingCurve!M121</f>
        <v>0</v>
      </c>
      <c r="G125" s="283" t="n">
        <f aca="false">OperatingCurve!L121</f>
        <v>0</v>
      </c>
      <c r="H125" s="283" t="n">
        <f aca="false">OperatingCurve!N121</f>
        <v>0</v>
      </c>
      <c r="I125" s="273"/>
      <c r="J125" s="284" t="n">
        <f aca="false">OperatingCurve!V150</f>
        <v>40452</v>
      </c>
      <c r="K125" s="285" t="n">
        <f aca="false">OperatingCurve!Z150</f>
        <v>0</v>
      </c>
      <c r="L125" s="285" t="n">
        <f aca="false">OperatingCurve!Y150</f>
        <v>0</v>
      </c>
      <c r="M125" s="285" t="n">
        <f aca="false">OperatingCurve!AA150</f>
        <v>0</v>
      </c>
      <c r="O125" s="285" t="n">
        <f aca="false">OperatingCurve!AE150</f>
        <v>0</v>
      </c>
      <c r="P125" s="285" t="n">
        <f aca="false">OperatingCurve!AD150</f>
        <v>0</v>
      </c>
      <c r="Q125" s="285" t="n">
        <f aca="false">OperatingCurve!AF150</f>
        <v>0</v>
      </c>
      <c r="S125" s="285" t="n">
        <f aca="false">OperatingCurve!AJ150</f>
        <v>0</v>
      </c>
      <c r="T125" s="285" t="n">
        <f aca="false">OperatingCurve!AI150</f>
        <v>0</v>
      </c>
      <c r="U125" s="285" t="n">
        <f aca="false">OperatingCurve!AK150</f>
        <v>0</v>
      </c>
      <c r="W125" s="285" t="n">
        <f aca="false">OperatingCurve!AO150</f>
        <v>0.1665</v>
      </c>
      <c r="X125" s="285" t="n">
        <f aca="false">OperatingCurve!AN150</f>
        <v>0.37</v>
      </c>
      <c r="Y125" s="285" t="n">
        <f aca="false">OperatingCurve!AP150</f>
        <v>0.4625</v>
      </c>
      <c r="AA125" s="285" t="n">
        <f aca="false">OperatingCurve!AR150</f>
        <v>0.148</v>
      </c>
      <c r="AB125" s="285" t="n">
        <f aca="false">OperatingCurve!AQ150</f>
        <v>0.37</v>
      </c>
      <c r="AC125" s="285" t="n">
        <f aca="false">OperatingCurve!AS150</f>
        <v>0.2775</v>
      </c>
      <c r="AE125" s="285" t="n">
        <f aca="false">OperatingCurve!AU150</f>
        <v>-0.484735205974953</v>
      </c>
      <c r="AF125" s="285" t="n">
        <f aca="false">OperatingCurve!AT150</f>
        <v>7.75576329559925</v>
      </c>
      <c r="AG125" s="285" t="n">
        <f aca="false">OperatingCurve!AV150</f>
        <v>9.69470411949907</v>
      </c>
      <c r="AI125" s="285" t="n">
        <f aca="false">OperatingCurve!AX150</f>
        <v>-0.620475</v>
      </c>
      <c r="AJ125" s="285" t="n">
        <f aca="false">OperatingCurve!AW150</f>
        <v>9.9276</v>
      </c>
      <c r="AK125" s="285" t="n">
        <f aca="false">OperatingCurve!AY150</f>
        <v>12.4095</v>
      </c>
      <c r="AM125" s="286" t="n">
        <f aca="false">OperatingCurve!AL150</f>
        <v>40</v>
      </c>
      <c r="AN125" s="287" t="n">
        <f aca="false">OperatingCurve!AM150</f>
        <v>0.4</v>
      </c>
      <c r="BE125" s="284" t="n">
        <f aca="false">OperatingCurve!V150</f>
        <v>40452</v>
      </c>
      <c r="BF125" s="289" t="n">
        <f aca="false">OperatingCurve!AZ150</f>
        <v>0</v>
      </c>
    </row>
    <row r="126" customFormat="false" ht="12.75" hidden="false" customHeight="false" outlineLevel="0" collapsed="false">
      <c r="A126" s="282" t="n">
        <f aca="false">OperatingCurve!D122</f>
        <v>39600</v>
      </c>
      <c r="B126" s="283" t="n">
        <f aca="false">OperatingCurve!H122</f>
        <v>34.089</v>
      </c>
      <c r="C126" s="283" t="n">
        <f aca="false">OperatingCurve!G122</f>
        <v>39.444</v>
      </c>
      <c r="D126" s="283" t="n">
        <f aca="false">OperatingCurve!I122</f>
        <v>63.6</v>
      </c>
      <c r="E126" s="278"/>
      <c r="F126" s="283" t="n">
        <f aca="false">OperatingCurve!M122</f>
        <v>0</v>
      </c>
      <c r="G126" s="283" t="n">
        <f aca="false">OperatingCurve!L122</f>
        <v>0</v>
      </c>
      <c r="H126" s="283" t="n">
        <f aca="false">OperatingCurve!N122</f>
        <v>0</v>
      </c>
      <c r="I126" s="273"/>
      <c r="J126" s="284" t="n">
        <f aca="false">OperatingCurve!V151</f>
        <v>40483</v>
      </c>
      <c r="K126" s="285" t="n">
        <f aca="false">OperatingCurve!Z151</f>
        <v>0</v>
      </c>
      <c r="L126" s="285" t="n">
        <f aca="false">OperatingCurve!Y151</f>
        <v>0</v>
      </c>
      <c r="M126" s="285" t="n">
        <f aca="false">OperatingCurve!AA151</f>
        <v>0</v>
      </c>
      <c r="O126" s="285" t="n">
        <f aca="false">OperatingCurve!AE151</f>
        <v>0</v>
      </c>
      <c r="P126" s="285" t="n">
        <f aca="false">OperatingCurve!AD151</f>
        <v>0</v>
      </c>
      <c r="Q126" s="285" t="n">
        <f aca="false">OperatingCurve!AF151</f>
        <v>0</v>
      </c>
      <c r="S126" s="285" t="n">
        <f aca="false">OperatingCurve!AJ151</f>
        <v>0</v>
      </c>
      <c r="T126" s="285" t="n">
        <f aca="false">OperatingCurve!AI151</f>
        <v>0</v>
      </c>
      <c r="U126" s="285" t="n">
        <f aca="false">OperatingCurve!AK151</f>
        <v>0</v>
      </c>
      <c r="W126" s="285" t="n">
        <f aca="false">OperatingCurve!AO151</f>
        <v>0.1665</v>
      </c>
      <c r="X126" s="285" t="n">
        <f aca="false">OperatingCurve!AN151</f>
        <v>0.37</v>
      </c>
      <c r="Y126" s="285" t="n">
        <f aca="false">OperatingCurve!AP151</f>
        <v>0.4625</v>
      </c>
      <c r="AA126" s="285" t="n">
        <f aca="false">OperatingCurve!AR151</f>
        <v>0.148</v>
      </c>
      <c r="AB126" s="285" t="n">
        <f aca="false">OperatingCurve!AQ151</f>
        <v>0.37</v>
      </c>
      <c r="AC126" s="285" t="n">
        <f aca="false">OperatingCurve!AS151</f>
        <v>0.2775</v>
      </c>
      <c r="AE126" s="285" t="n">
        <f aca="false">OperatingCurve!AU151</f>
        <v>-0.410147476715089</v>
      </c>
      <c r="AF126" s="285" t="n">
        <f aca="false">OperatingCurve!AT151</f>
        <v>6.56235962744143</v>
      </c>
      <c r="AG126" s="285" t="n">
        <f aca="false">OperatingCurve!AV151</f>
        <v>8.20294953430178</v>
      </c>
      <c r="AI126" s="285" t="n">
        <f aca="false">OperatingCurve!AX151</f>
        <v>-0.6558</v>
      </c>
      <c r="AJ126" s="285" t="n">
        <f aca="false">OperatingCurve!AW151</f>
        <v>10.4928</v>
      </c>
      <c r="AK126" s="285" t="n">
        <f aca="false">OperatingCurve!AY151</f>
        <v>13.116</v>
      </c>
      <c r="AM126" s="286" t="n">
        <f aca="false">OperatingCurve!AL151</f>
        <v>40</v>
      </c>
      <c r="AN126" s="287" t="n">
        <f aca="false">OperatingCurve!AM151</f>
        <v>0.4</v>
      </c>
      <c r="BE126" s="284" t="n">
        <f aca="false">OperatingCurve!V151</f>
        <v>40483</v>
      </c>
      <c r="BF126" s="289" t="n">
        <f aca="false">OperatingCurve!AZ151</f>
        <v>0</v>
      </c>
    </row>
    <row r="127" customFormat="false" ht="12.75" hidden="false" customHeight="false" outlineLevel="0" collapsed="false">
      <c r="A127" s="282" t="n">
        <f aca="false">OperatingCurve!D123</f>
        <v>39630</v>
      </c>
      <c r="B127" s="283" t="n">
        <f aca="false">OperatingCurve!H123</f>
        <v>34.089</v>
      </c>
      <c r="C127" s="283" t="n">
        <f aca="false">OperatingCurve!G123</f>
        <v>39.444</v>
      </c>
      <c r="D127" s="283" t="n">
        <f aca="false">OperatingCurve!I123</f>
        <v>63.6</v>
      </c>
      <c r="E127" s="278"/>
      <c r="F127" s="283" t="n">
        <f aca="false">OperatingCurve!M123</f>
        <v>0</v>
      </c>
      <c r="G127" s="283" t="n">
        <f aca="false">OperatingCurve!L123</f>
        <v>0</v>
      </c>
      <c r="H127" s="283" t="n">
        <f aca="false">OperatingCurve!N123</f>
        <v>0</v>
      </c>
      <c r="I127" s="273"/>
      <c r="J127" s="284" t="n">
        <f aca="false">OperatingCurve!V152</f>
        <v>40513</v>
      </c>
      <c r="K127" s="285" t="n">
        <f aca="false">OperatingCurve!Z152</f>
        <v>0</v>
      </c>
      <c r="L127" s="285" t="n">
        <f aca="false">OperatingCurve!Y152</f>
        <v>0</v>
      </c>
      <c r="M127" s="285" t="n">
        <f aca="false">OperatingCurve!AA152</f>
        <v>0</v>
      </c>
      <c r="O127" s="285" t="n">
        <f aca="false">OperatingCurve!AE152</f>
        <v>0</v>
      </c>
      <c r="P127" s="285" t="n">
        <f aca="false">OperatingCurve!AD152</f>
        <v>0</v>
      </c>
      <c r="Q127" s="285" t="n">
        <f aca="false">OperatingCurve!AF152</f>
        <v>0</v>
      </c>
      <c r="S127" s="285" t="n">
        <f aca="false">OperatingCurve!AJ152</f>
        <v>0</v>
      </c>
      <c r="T127" s="285" t="n">
        <f aca="false">OperatingCurve!AI152</f>
        <v>0</v>
      </c>
      <c r="U127" s="285" t="n">
        <f aca="false">OperatingCurve!AK152</f>
        <v>0</v>
      </c>
      <c r="W127" s="285" t="n">
        <f aca="false">OperatingCurve!AO152</f>
        <v>0.1665</v>
      </c>
      <c r="X127" s="285" t="n">
        <f aca="false">OperatingCurve!AN152</f>
        <v>0.37</v>
      </c>
      <c r="Y127" s="285" t="n">
        <f aca="false">OperatingCurve!AP152</f>
        <v>0.4625</v>
      </c>
      <c r="AA127" s="285" t="n">
        <f aca="false">OperatingCurve!AR152</f>
        <v>0.148</v>
      </c>
      <c r="AB127" s="285" t="n">
        <f aca="false">OperatingCurve!AQ152</f>
        <v>0.37</v>
      </c>
      <c r="AC127" s="285" t="n">
        <f aca="false">OperatingCurve!AS152</f>
        <v>0.2775</v>
      </c>
      <c r="AE127" s="285" t="n">
        <f aca="false">OperatingCurve!AU152</f>
        <v>-0.419655399211954</v>
      </c>
      <c r="AF127" s="285" t="n">
        <f aca="false">OperatingCurve!AT152</f>
        <v>6.71448638739126</v>
      </c>
      <c r="AG127" s="285" t="n">
        <f aca="false">OperatingCurve!AV152</f>
        <v>8.39310798423907</v>
      </c>
      <c r="AI127" s="285" t="n">
        <f aca="false">OperatingCurve!AX152</f>
        <v>-0.667575</v>
      </c>
      <c r="AJ127" s="285" t="n">
        <f aca="false">OperatingCurve!AW152</f>
        <v>10.6812</v>
      </c>
      <c r="AK127" s="285" t="n">
        <f aca="false">OperatingCurve!AY152</f>
        <v>13.3515</v>
      </c>
      <c r="AM127" s="286" t="n">
        <f aca="false">OperatingCurve!AL152</f>
        <v>40</v>
      </c>
      <c r="AN127" s="287" t="n">
        <f aca="false">OperatingCurve!AM152</f>
        <v>0.4</v>
      </c>
      <c r="BE127" s="284" t="n">
        <f aca="false">OperatingCurve!V152</f>
        <v>40513</v>
      </c>
      <c r="BF127" s="289" t="n">
        <f aca="false">OperatingCurve!AZ152</f>
        <v>0</v>
      </c>
    </row>
    <row r="128" customFormat="false" ht="12.75" hidden="false" customHeight="false" outlineLevel="0" collapsed="false">
      <c r="A128" s="282" t="n">
        <f aca="false">OperatingCurve!D124</f>
        <v>39661</v>
      </c>
      <c r="B128" s="283" t="n">
        <f aca="false">OperatingCurve!H124</f>
        <v>35.156</v>
      </c>
      <c r="C128" s="283" t="n">
        <f aca="false">OperatingCurve!G124</f>
        <v>40.521</v>
      </c>
      <c r="D128" s="283" t="n">
        <f aca="false">OperatingCurve!I124</f>
        <v>64.721</v>
      </c>
      <c r="E128" s="278"/>
      <c r="F128" s="283" t="n">
        <f aca="false">OperatingCurve!M124</f>
        <v>0</v>
      </c>
      <c r="G128" s="283" t="n">
        <f aca="false">OperatingCurve!L124</f>
        <v>0</v>
      </c>
      <c r="H128" s="283" t="n">
        <f aca="false">OperatingCurve!N124</f>
        <v>0</v>
      </c>
      <c r="I128" s="273"/>
      <c r="J128" s="284" t="n">
        <f aca="false">OperatingCurve!V153</f>
        <v>40544</v>
      </c>
      <c r="K128" s="285" t="n">
        <f aca="false">OperatingCurve!Z153</f>
        <v>0</v>
      </c>
      <c r="L128" s="285" t="n">
        <f aca="false">OperatingCurve!Y153</f>
        <v>0</v>
      </c>
      <c r="M128" s="285" t="n">
        <f aca="false">OperatingCurve!AA153</f>
        <v>0</v>
      </c>
      <c r="O128" s="285" t="n">
        <f aca="false">OperatingCurve!AE153</f>
        <v>0</v>
      </c>
      <c r="P128" s="285" t="n">
        <f aca="false">OperatingCurve!AD153</f>
        <v>0</v>
      </c>
      <c r="Q128" s="285" t="n">
        <f aca="false">OperatingCurve!AF153</f>
        <v>0</v>
      </c>
      <c r="S128" s="285" t="n">
        <f aca="false">OperatingCurve!AJ153</f>
        <v>0</v>
      </c>
      <c r="T128" s="285" t="n">
        <f aca="false">OperatingCurve!AI153</f>
        <v>0</v>
      </c>
      <c r="U128" s="285" t="n">
        <f aca="false">OperatingCurve!AK153</f>
        <v>0</v>
      </c>
      <c r="W128" s="285" t="n">
        <f aca="false">OperatingCurve!AO153</f>
        <v>0.1665</v>
      </c>
      <c r="X128" s="285" t="n">
        <f aca="false">OperatingCurve!AN153</f>
        <v>0.37</v>
      </c>
      <c r="Y128" s="285" t="n">
        <f aca="false">OperatingCurve!AP153</f>
        <v>0.4625</v>
      </c>
      <c r="AA128" s="285" t="n">
        <f aca="false">OperatingCurve!AR153</f>
        <v>0.148</v>
      </c>
      <c r="AB128" s="285" t="n">
        <f aca="false">OperatingCurve!AQ153</f>
        <v>0.37</v>
      </c>
      <c r="AC128" s="285" t="n">
        <f aca="false">OperatingCurve!AS153</f>
        <v>0.2775</v>
      </c>
      <c r="AE128" s="285" t="n">
        <f aca="false">OperatingCurve!AU153</f>
        <v>-0.43048858158097</v>
      </c>
      <c r="AF128" s="285" t="n">
        <f aca="false">OperatingCurve!AT153</f>
        <v>6.88781730529552</v>
      </c>
      <c r="AG128" s="285" t="n">
        <f aca="false">OperatingCurve!AV153</f>
        <v>8.60977163161941</v>
      </c>
      <c r="AI128" s="285" t="n">
        <f aca="false">OperatingCurve!AX153</f>
        <v>-0.6558</v>
      </c>
      <c r="AJ128" s="285" t="n">
        <f aca="false">OperatingCurve!AW153</f>
        <v>10.4928</v>
      </c>
      <c r="AK128" s="285" t="n">
        <f aca="false">OperatingCurve!AY153</f>
        <v>13.116</v>
      </c>
      <c r="AM128" s="286" t="n">
        <f aca="false">OperatingCurve!AL153</f>
        <v>41</v>
      </c>
      <c r="AN128" s="287" t="n">
        <f aca="false">OperatingCurve!AM153</f>
        <v>0.4</v>
      </c>
      <c r="BE128" s="284" t="n">
        <f aca="false">OperatingCurve!V153</f>
        <v>40544</v>
      </c>
      <c r="BF128" s="289" t="n">
        <f aca="false">OperatingCurve!AZ153</f>
        <v>0</v>
      </c>
    </row>
    <row r="129" customFormat="false" ht="12.75" hidden="false" customHeight="false" outlineLevel="0" collapsed="false">
      <c r="A129" s="282" t="n">
        <f aca="false">OperatingCurve!D125</f>
        <v>39692</v>
      </c>
      <c r="B129" s="283" t="n">
        <f aca="false">OperatingCurve!H125</f>
        <v>28.784</v>
      </c>
      <c r="C129" s="283" t="n">
        <f aca="false">OperatingCurve!G125</f>
        <v>34.089</v>
      </c>
      <c r="D129" s="283" t="n">
        <f aca="false">OperatingCurve!I125</f>
        <v>58.025</v>
      </c>
      <c r="E129" s="278"/>
      <c r="F129" s="283" t="n">
        <f aca="false">OperatingCurve!M125</f>
        <v>0</v>
      </c>
      <c r="G129" s="283" t="n">
        <f aca="false">OperatingCurve!L125</f>
        <v>0</v>
      </c>
      <c r="H129" s="283" t="n">
        <f aca="false">OperatingCurve!N125</f>
        <v>0</v>
      </c>
      <c r="I129" s="273"/>
      <c r="J129" s="284" t="n">
        <f aca="false">OperatingCurve!V154</f>
        <v>40575</v>
      </c>
      <c r="K129" s="285" t="n">
        <f aca="false">OperatingCurve!Z154</f>
        <v>0</v>
      </c>
      <c r="L129" s="285" t="n">
        <f aca="false">OperatingCurve!Y154</f>
        <v>0</v>
      </c>
      <c r="M129" s="285" t="n">
        <f aca="false">OperatingCurve!AA154</f>
        <v>0</v>
      </c>
      <c r="O129" s="285" t="n">
        <f aca="false">OperatingCurve!AE154</f>
        <v>0</v>
      </c>
      <c r="P129" s="285" t="n">
        <f aca="false">OperatingCurve!AD154</f>
        <v>0</v>
      </c>
      <c r="Q129" s="285" t="n">
        <f aca="false">OperatingCurve!AF154</f>
        <v>0</v>
      </c>
      <c r="S129" s="285" t="n">
        <f aca="false">OperatingCurve!AJ154</f>
        <v>0</v>
      </c>
      <c r="T129" s="285" t="n">
        <f aca="false">OperatingCurve!AI154</f>
        <v>0</v>
      </c>
      <c r="U129" s="285" t="n">
        <f aca="false">OperatingCurve!AK154</f>
        <v>0</v>
      </c>
      <c r="W129" s="285" t="n">
        <f aca="false">OperatingCurve!AO154</f>
        <v>0.1665</v>
      </c>
      <c r="X129" s="285" t="n">
        <f aca="false">OperatingCurve!AN154</f>
        <v>0.37</v>
      </c>
      <c r="Y129" s="285" t="n">
        <f aca="false">OperatingCurve!AP154</f>
        <v>0.4625</v>
      </c>
      <c r="AA129" s="285" t="n">
        <f aca="false">OperatingCurve!AR154</f>
        <v>0.148</v>
      </c>
      <c r="AB129" s="285" t="n">
        <f aca="false">OperatingCurve!AQ154</f>
        <v>0.37</v>
      </c>
      <c r="AC129" s="285" t="n">
        <f aca="false">OperatingCurve!AS154</f>
        <v>0.2775</v>
      </c>
      <c r="AE129" s="285" t="n">
        <f aca="false">OperatingCurve!AU154</f>
        <v>-0.402107379613998</v>
      </c>
      <c r="AF129" s="285" t="n">
        <f aca="false">OperatingCurve!AT154</f>
        <v>6.43371807382396</v>
      </c>
      <c r="AG129" s="285" t="n">
        <f aca="false">OperatingCurve!AV154</f>
        <v>8.04214759227995</v>
      </c>
      <c r="AI129" s="285" t="n">
        <f aca="false">OperatingCurve!AX154</f>
        <v>-0.6616875</v>
      </c>
      <c r="AJ129" s="285" t="n">
        <f aca="false">OperatingCurve!AW154</f>
        <v>10.587</v>
      </c>
      <c r="AK129" s="285" t="n">
        <f aca="false">OperatingCurve!AY154</f>
        <v>13.23375</v>
      </c>
      <c r="AM129" s="286" t="n">
        <f aca="false">OperatingCurve!AL154</f>
        <v>41</v>
      </c>
      <c r="AN129" s="287" t="n">
        <f aca="false">OperatingCurve!AM154</f>
        <v>0.4</v>
      </c>
      <c r="BE129" s="284" t="n">
        <f aca="false">OperatingCurve!V154</f>
        <v>40575</v>
      </c>
      <c r="BF129" s="289" t="n">
        <f aca="false">OperatingCurve!AZ154</f>
        <v>0</v>
      </c>
    </row>
    <row r="130" customFormat="false" ht="12.75" hidden="false" customHeight="false" outlineLevel="0" collapsed="false">
      <c r="A130" s="282" t="n">
        <f aca="false">OperatingCurve!D126</f>
        <v>39722</v>
      </c>
      <c r="B130" s="283" t="n">
        <f aca="false">OperatingCurve!H126</f>
        <v>31.961</v>
      </c>
      <c r="C130" s="283" t="n">
        <f aca="false">OperatingCurve!G126</f>
        <v>37.296</v>
      </c>
      <c r="D130" s="283" t="n">
        <f aca="false">OperatingCurve!I126</f>
        <v>61.364</v>
      </c>
      <c r="E130" s="278"/>
      <c r="F130" s="283" t="n">
        <f aca="false">OperatingCurve!M126</f>
        <v>0</v>
      </c>
      <c r="G130" s="283" t="n">
        <f aca="false">OperatingCurve!L126</f>
        <v>0</v>
      </c>
      <c r="H130" s="283" t="n">
        <f aca="false">OperatingCurve!N126</f>
        <v>0</v>
      </c>
      <c r="I130" s="273"/>
      <c r="J130" s="284" t="n">
        <f aca="false">OperatingCurve!V155</f>
        <v>40603</v>
      </c>
      <c r="K130" s="285" t="n">
        <f aca="false">OperatingCurve!Z155</f>
        <v>0</v>
      </c>
      <c r="L130" s="285" t="n">
        <f aca="false">OperatingCurve!Y155</f>
        <v>0</v>
      </c>
      <c r="M130" s="285" t="n">
        <f aca="false">OperatingCurve!AA155</f>
        <v>0</v>
      </c>
      <c r="O130" s="285" t="n">
        <f aca="false">OperatingCurve!AE155</f>
        <v>0</v>
      </c>
      <c r="P130" s="285" t="n">
        <f aca="false">OperatingCurve!AD155</f>
        <v>0</v>
      </c>
      <c r="Q130" s="285" t="n">
        <f aca="false">OperatingCurve!AF155</f>
        <v>0</v>
      </c>
      <c r="S130" s="285" t="n">
        <f aca="false">OperatingCurve!AJ155</f>
        <v>0</v>
      </c>
      <c r="T130" s="285" t="n">
        <f aca="false">OperatingCurve!AI155</f>
        <v>0</v>
      </c>
      <c r="U130" s="285" t="n">
        <f aca="false">OperatingCurve!AK155</f>
        <v>0</v>
      </c>
      <c r="W130" s="285" t="n">
        <f aca="false">OperatingCurve!AO155</f>
        <v>0.162</v>
      </c>
      <c r="X130" s="285" t="n">
        <f aca="false">OperatingCurve!AN155</f>
        <v>0.36</v>
      </c>
      <c r="Y130" s="285" t="n">
        <f aca="false">OperatingCurve!AP155</f>
        <v>0.45</v>
      </c>
      <c r="AA130" s="285" t="n">
        <f aca="false">OperatingCurve!AR155</f>
        <v>0.144</v>
      </c>
      <c r="AB130" s="285" t="n">
        <f aca="false">OperatingCurve!AQ155</f>
        <v>0.36</v>
      </c>
      <c r="AC130" s="285" t="n">
        <f aca="false">OperatingCurve!AS155</f>
        <v>0.27</v>
      </c>
      <c r="AE130" s="285" t="n">
        <f aca="false">OperatingCurve!AU155</f>
        <v>-0.395696014851329</v>
      </c>
      <c r="AF130" s="285" t="n">
        <f aca="false">OperatingCurve!AT155</f>
        <v>6.33113623762127</v>
      </c>
      <c r="AG130" s="285" t="n">
        <f aca="false">OperatingCurve!AV155</f>
        <v>7.91392029702658</v>
      </c>
      <c r="AI130" s="285" t="n">
        <f aca="false">OperatingCurve!AX155</f>
        <v>-0.667575</v>
      </c>
      <c r="AJ130" s="285" t="n">
        <f aca="false">OperatingCurve!AW155</f>
        <v>10.6812</v>
      </c>
      <c r="AK130" s="285" t="n">
        <f aca="false">OperatingCurve!AY155</f>
        <v>13.3515</v>
      </c>
      <c r="AM130" s="286" t="n">
        <f aca="false">OperatingCurve!AL155</f>
        <v>41</v>
      </c>
      <c r="AN130" s="287" t="n">
        <f aca="false">OperatingCurve!AM155</f>
        <v>0.4</v>
      </c>
      <c r="BE130" s="284" t="n">
        <f aca="false">OperatingCurve!V155</f>
        <v>40603</v>
      </c>
      <c r="BF130" s="289" t="n">
        <f aca="false">OperatingCurve!AZ155</f>
        <v>0</v>
      </c>
    </row>
    <row r="131" customFormat="false" ht="12.75" hidden="false" customHeight="false" outlineLevel="0" collapsed="false">
      <c r="A131" s="282" t="n">
        <f aca="false">OperatingCurve!D127</f>
        <v>39753</v>
      </c>
      <c r="B131" s="283" t="n">
        <f aca="false">OperatingCurve!H127</f>
        <v>26.676</v>
      </c>
      <c r="C131" s="283" t="n">
        <f aca="false">OperatingCurve!G127</f>
        <v>31.961</v>
      </c>
      <c r="D131" s="283" t="n">
        <f aca="false">OperatingCurve!I127</f>
        <v>55.809</v>
      </c>
      <c r="E131" s="278"/>
      <c r="F131" s="283" t="n">
        <f aca="false">OperatingCurve!M127</f>
        <v>0</v>
      </c>
      <c r="G131" s="283" t="n">
        <f aca="false">OperatingCurve!L127</f>
        <v>0</v>
      </c>
      <c r="H131" s="283" t="n">
        <f aca="false">OperatingCurve!N127</f>
        <v>0</v>
      </c>
      <c r="I131" s="273"/>
      <c r="J131" s="284" t="n">
        <f aca="false">OperatingCurve!V156</f>
        <v>40634</v>
      </c>
      <c r="K131" s="285" t="n">
        <f aca="false">OperatingCurve!Z156</f>
        <v>0</v>
      </c>
      <c r="L131" s="285" t="n">
        <f aca="false">OperatingCurve!Y156</f>
        <v>0</v>
      </c>
      <c r="M131" s="285" t="n">
        <f aca="false">OperatingCurve!AA156</f>
        <v>0</v>
      </c>
      <c r="O131" s="285" t="n">
        <f aca="false">OperatingCurve!AE156</f>
        <v>0</v>
      </c>
      <c r="P131" s="285" t="n">
        <f aca="false">OperatingCurve!AD156</f>
        <v>0</v>
      </c>
      <c r="Q131" s="285" t="n">
        <f aca="false">OperatingCurve!AF156</f>
        <v>0</v>
      </c>
      <c r="S131" s="285" t="n">
        <f aca="false">OperatingCurve!AJ156</f>
        <v>0</v>
      </c>
      <c r="T131" s="285" t="n">
        <f aca="false">OperatingCurve!AI156</f>
        <v>0</v>
      </c>
      <c r="U131" s="285" t="n">
        <f aca="false">OperatingCurve!AK156</f>
        <v>0</v>
      </c>
      <c r="W131" s="285" t="n">
        <f aca="false">OperatingCurve!AO156</f>
        <v>0.162</v>
      </c>
      <c r="X131" s="285" t="n">
        <f aca="false">OperatingCurve!AN156</f>
        <v>0.36</v>
      </c>
      <c r="Y131" s="285" t="n">
        <f aca="false">OperatingCurve!AP156</f>
        <v>0.45</v>
      </c>
      <c r="AA131" s="285" t="n">
        <f aca="false">OperatingCurve!AR156</f>
        <v>0.144</v>
      </c>
      <c r="AB131" s="285" t="n">
        <f aca="false">OperatingCurve!AQ156</f>
        <v>0.36</v>
      </c>
      <c r="AC131" s="285" t="n">
        <f aca="false">OperatingCurve!AS156</f>
        <v>0.27</v>
      </c>
      <c r="AE131" s="285" t="n">
        <f aca="false">OperatingCurve!AU156</f>
        <v>-0.395696014851329</v>
      </c>
      <c r="AF131" s="285" t="n">
        <f aca="false">OperatingCurve!AT156</f>
        <v>6.33113623762127</v>
      </c>
      <c r="AG131" s="285" t="n">
        <f aca="false">OperatingCurve!AV156</f>
        <v>7.91392029702658</v>
      </c>
      <c r="AI131" s="285" t="n">
        <f aca="false">OperatingCurve!AX156</f>
        <v>-0.667575</v>
      </c>
      <c r="AJ131" s="285" t="n">
        <f aca="false">OperatingCurve!AW156</f>
        <v>10.6812</v>
      </c>
      <c r="AK131" s="285" t="n">
        <f aca="false">OperatingCurve!AY156</f>
        <v>13.3515</v>
      </c>
      <c r="AM131" s="286" t="n">
        <f aca="false">OperatingCurve!AL156</f>
        <v>42</v>
      </c>
      <c r="AN131" s="287" t="n">
        <f aca="false">OperatingCurve!AM156</f>
        <v>0.4</v>
      </c>
      <c r="BE131" s="284" t="n">
        <f aca="false">OperatingCurve!V156</f>
        <v>40634</v>
      </c>
      <c r="BF131" s="289" t="n">
        <f aca="false">OperatingCurve!AZ156</f>
        <v>0</v>
      </c>
    </row>
    <row r="132" customFormat="false" ht="12.75" hidden="false" customHeight="false" outlineLevel="0" collapsed="false">
      <c r="A132" s="282" t="n">
        <f aca="false">OperatingCurve!D128</f>
        <v>39783</v>
      </c>
      <c r="B132" s="283" t="n">
        <f aca="false">OperatingCurve!H128</f>
        <v>25.625</v>
      </c>
      <c r="C132" s="283" t="n">
        <f aca="false">OperatingCurve!G128</f>
        <v>30.9</v>
      </c>
      <c r="D132" s="283" t="n">
        <f aca="false">OperatingCurve!I128</f>
        <v>54.704</v>
      </c>
      <c r="E132" s="278"/>
      <c r="F132" s="283" t="n">
        <f aca="false">OperatingCurve!M128</f>
        <v>0</v>
      </c>
      <c r="G132" s="283" t="n">
        <f aca="false">OperatingCurve!L128</f>
        <v>0</v>
      </c>
      <c r="H132" s="283" t="n">
        <f aca="false">OperatingCurve!N128</f>
        <v>0</v>
      </c>
      <c r="I132" s="273"/>
      <c r="J132" s="284" t="n">
        <f aca="false">OperatingCurve!V157</f>
        <v>40664</v>
      </c>
      <c r="K132" s="285" t="n">
        <f aca="false">OperatingCurve!Z157</f>
        <v>0</v>
      </c>
      <c r="L132" s="285" t="n">
        <f aca="false">OperatingCurve!Y157</f>
        <v>0</v>
      </c>
      <c r="M132" s="285" t="n">
        <f aca="false">OperatingCurve!AA157</f>
        <v>0</v>
      </c>
      <c r="O132" s="285" t="n">
        <f aca="false">OperatingCurve!AE157</f>
        <v>0</v>
      </c>
      <c r="P132" s="285" t="n">
        <f aca="false">OperatingCurve!AD157</f>
        <v>0</v>
      </c>
      <c r="Q132" s="285" t="n">
        <f aca="false">OperatingCurve!AF157</f>
        <v>0</v>
      </c>
      <c r="S132" s="285" t="n">
        <f aca="false">OperatingCurve!AJ157</f>
        <v>0</v>
      </c>
      <c r="T132" s="285" t="n">
        <f aca="false">OperatingCurve!AI157</f>
        <v>0</v>
      </c>
      <c r="U132" s="285" t="n">
        <f aca="false">OperatingCurve!AK157</f>
        <v>0</v>
      </c>
      <c r="W132" s="285" t="n">
        <f aca="false">OperatingCurve!AO157</f>
        <v>0.162</v>
      </c>
      <c r="X132" s="285" t="n">
        <f aca="false">OperatingCurve!AN157</f>
        <v>0.36</v>
      </c>
      <c r="Y132" s="285" t="n">
        <f aca="false">OperatingCurve!AP157</f>
        <v>0.45</v>
      </c>
      <c r="AA132" s="285" t="n">
        <f aca="false">OperatingCurve!AR157</f>
        <v>0.144</v>
      </c>
      <c r="AB132" s="285" t="n">
        <f aca="false">OperatingCurve!AQ157</f>
        <v>0.36</v>
      </c>
      <c r="AC132" s="285" t="n">
        <f aca="false">OperatingCurve!AS157</f>
        <v>0.27</v>
      </c>
      <c r="AE132" s="285" t="n">
        <f aca="false">OperatingCurve!AU157</f>
        <v>-0.419655399211954</v>
      </c>
      <c r="AF132" s="285" t="n">
        <f aca="false">OperatingCurve!AT157</f>
        <v>6.71448638739126</v>
      </c>
      <c r="AG132" s="285" t="n">
        <f aca="false">OperatingCurve!AV157</f>
        <v>8.39310798423907</v>
      </c>
      <c r="AI132" s="285" t="n">
        <f aca="false">OperatingCurve!AX157</f>
        <v>-0.6499125</v>
      </c>
      <c r="AJ132" s="285" t="n">
        <f aca="false">OperatingCurve!AW157</f>
        <v>10.3986</v>
      </c>
      <c r="AK132" s="285" t="n">
        <f aca="false">OperatingCurve!AY157</f>
        <v>12.99825</v>
      </c>
      <c r="AM132" s="286" t="n">
        <f aca="false">OperatingCurve!AL157</f>
        <v>42</v>
      </c>
      <c r="AN132" s="287" t="n">
        <f aca="false">OperatingCurve!AM157</f>
        <v>0.4</v>
      </c>
      <c r="BE132" s="284" t="n">
        <f aca="false">OperatingCurve!V157</f>
        <v>40664</v>
      </c>
      <c r="BF132" s="289" t="n">
        <f aca="false">OperatingCurve!AZ157</f>
        <v>0</v>
      </c>
    </row>
    <row r="133" customFormat="false" ht="12.75" hidden="false" customHeight="false" outlineLevel="0" collapsed="false">
      <c r="A133" s="282" t="n">
        <f aca="false">OperatingCurve!D129</f>
        <v>39814</v>
      </c>
      <c r="B133" s="283" t="n">
        <f aca="false">OperatingCurve!H129</f>
        <v>26.676</v>
      </c>
      <c r="C133" s="283" t="n">
        <f aca="false">OperatingCurve!G129</f>
        <v>31.961</v>
      </c>
      <c r="D133" s="283" t="n">
        <f aca="false">OperatingCurve!I129</f>
        <v>56.916</v>
      </c>
      <c r="E133" s="278"/>
      <c r="F133" s="283" t="n">
        <f aca="false">OperatingCurve!M129</f>
        <v>0</v>
      </c>
      <c r="G133" s="283" t="n">
        <f aca="false">OperatingCurve!L129</f>
        <v>0</v>
      </c>
      <c r="H133" s="283" t="n">
        <f aca="false">OperatingCurve!N129</f>
        <v>0</v>
      </c>
      <c r="I133" s="273"/>
      <c r="J133" s="284" t="n">
        <f aca="false">OperatingCurve!V158</f>
        <v>40695</v>
      </c>
      <c r="K133" s="285" t="n">
        <f aca="false">OperatingCurve!Z158</f>
        <v>0</v>
      </c>
      <c r="L133" s="285" t="n">
        <f aca="false">OperatingCurve!Y158</f>
        <v>0</v>
      </c>
      <c r="M133" s="285" t="n">
        <f aca="false">OperatingCurve!AA158</f>
        <v>0</v>
      </c>
      <c r="O133" s="285" t="n">
        <f aca="false">OperatingCurve!AE158</f>
        <v>0</v>
      </c>
      <c r="P133" s="285" t="n">
        <f aca="false">OperatingCurve!AD158</f>
        <v>0</v>
      </c>
      <c r="Q133" s="285" t="n">
        <f aca="false">OperatingCurve!AF158</f>
        <v>0</v>
      </c>
      <c r="S133" s="285" t="n">
        <f aca="false">OperatingCurve!AJ158</f>
        <v>0</v>
      </c>
      <c r="T133" s="285" t="n">
        <f aca="false">OperatingCurve!AI158</f>
        <v>0</v>
      </c>
      <c r="U133" s="285" t="n">
        <f aca="false">OperatingCurve!AK158</f>
        <v>0</v>
      </c>
      <c r="W133" s="285" t="n">
        <f aca="false">OperatingCurve!AO158</f>
        <v>0.162</v>
      </c>
      <c r="X133" s="285" t="n">
        <f aca="false">OperatingCurve!AN158</f>
        <v>0.36</v>
      </c>
      <c r="Y133" s="285" t="n">
        <f aca="false">OperatingCurve!AP158</f>
        <v>0.45</v>
      </c>
      <c r="AA133" s="285" t="n">
        <f aca="false">OperatingCurve!AR158</f>
        <v>0.144</v>
      </c>
      <c r="AB133" s="285" t="n">
        <f aca="false">OperatingCurve!AQ158</f>
        <v>0.36</v>
      </c>
      <c r="AC133" s="285" t="n">
        <f aca="false">OperatingCurve!AS158</f>
        <v>0.27</v>
      </c>
      <c r="AE133" s="285" t="n">
        <f aca="false">OperatingCurve!AU158</f>
        <v>-0.517091326059428</v>
      </c>
      <c r="AF133" s="285" t="n">
        <f aca="false">OperatingCurve!AT158</f>
        <v>8.27346121695085</v>
      </c>
      <c r="AG133" s="285" t="n">
        <f aca="false">OperatingCurve!AV158</f>
        <v>10.3418265211886</v>
      </c>
      <c r="AI133" s="285" t="n">
        <f aca="false">OperatingCurve!AX158</f>
        <v>-0.6087</v>
      </c>
      <c r="AJ133" s="285" t="n">
        <f aca="false">OperatingCurve!AW158</f>
        <v>9.7392</v>
      </c>
      <c r="AK133" s="285" t="n">
        <f aca="false">OperatingCurve!AY158</f>
        <v>12.174</v>
      </c>
      <c r="AM133" s="286" t="n">
        <f aca="false">OperatingCurve!AL158</f>
        <v>42</v>
      </c>
      <c r="AN133" s="287" t="n">
        <f aca="false">OperatingCurve!AM158</f>
        <v>0.4</v>
      </c>
      <c r="BE133" s="284" t="n">
        <f aca="false">OperatingCurve!V158</f>
        <v>40695</v>
      </c>
      <c r="BF133" s="289" t="n">
        <f aca="false">OperatingCurve!AZ158</f>
        <v>0</v>
      </c>
    </row>
    <row r="134" customFormat="false" ht="12.75" hidden="false" customHeight="false" outlineLevel="0" collapsed="false">
      <c r="A134" s="282" t="n">
        <f aca="false">OperatingCurve!D130</f>
        <v>39845</v>
      </c>
      <c r="B134" s="283" t="n">
        <f aca="false">OperatingCurve!H130</f>
        <v>25.625</v>
      </c>
      <c r="C134" s="283" t="n">
        <f aca="false">OperatingCurve!G130</f>
        <v>30.9</v>
      </c>
      <c r="D134" s="283" t="n">
        <f aca="false">OperatingCurve!I130</f>
        <v>55.809</v>
      </c>
      <c r="E134" s="278"/>
      <c r="F134" s="283" t="n">
        <f aca="false">OperatingCurve!M130</f>
        <v>0</v>
      </c>
      <c r="G134" s="283" t="n">
        <f aca="false">OperatingCurve!L130</f>
        <v>0</v>
      </c>
      <c r="H134" s="283" t="n">
        <f aca="false">OperatingCurve!N130</f>
        <v>0</v>
      </c>
      <c r="I134" s="273"/>
      <c r="J134" s="284" t="n">
        <f aca="false">OperatingCurve!V159</f>
        <v>40725</v>
      </c>
      <c r="K134" s="285" t="n">
        <f aca="false">OperatingCurve!Z159</f>
        <v>0</v>
      </c>
      <c r="L134" s="285" t="n">
        <f aca="false">OperatingCurve!Y159</f>
        <v>0</v>
      </c>
      <c r="M134" s="285" t="n">
        <f aca="false">OperatingCurve!AA159</f>
        <v>0</v>
      </c>
      <c r="O134" s="285" t="n">
        <f aca="false">OperatingCurve!AE159</f>
        <v>0</v>
      </c>
      <c r="P134" s="285" t="n">
        <f aca="false">OperatingCurve!AD159</f>
        <v>0</v>
      </c>
      <c r="Q134" s="285" t="n">
        <f aca="false">OperatingCurve!AF159</f>
        <v>0</v>
      </c>
      <c r="S134" s="285" t="n">
        <f aca="false">OperatingCurve!AJ159</f>
        <v>0</v>
      </c>
      <c r="T134" s="285" t="n">
        <f aca="false">OperatingCurve!AI159</f>
        <v>0</v>
      </c>
      <c r="U134" s="285" t="n">
        <f aca="false">OperatingCurve!AK159</f>
        <v>0</v>
      </c>
      <c r="W134" s="285" t="n">
        <f aca="false">OperatingCurve!AO159</f>
        <v>0.162</v>
      </c>
      <c r="X134" s="285" t="n">
        <f aca="false">OperatingCurve!AN159</f>
        <v>0.36</v>
      </c>
      <c r="Y134" s="285" t="n">
        <f aca="false">OperatingCurve!AP159</f>
        <v>0.45</v>
      </c>
      <c r="AA134" s="285" t="n">
        <f aca="false">OperatingCurve!AR159</f>
        <v>0.144</v>
      </c>
      <c r="AB134" s="285" t="n">
        <f aca="false">OperatingCurve!AQ159</f>
        <v>0.36</v>
      </c>
      <c r="AC134" s="285" t="n">
        <f aca="false">OperatingCurve!AS159</f>
        <v>0.27</v>
      </c>
      <c r="AE134" s="285" t="n">
        <f aca="false">OperatingCurve!AU159</f>
        <v>-0.517091326059428</v>
      </c>
      <c r="AF134" s="285" t="n">
        <f aca="false">OperatingCurve!AT159</f>
        <v>8.27346121695085</v>
      </c>
      <c r="AG134" s="285" t="n">
        <f aca="false">OperatingCurve!AV159</f>
        <v>10.3418265211886</v>
      </c>
      <c r="AI134" s="285" t="n">
        <f aca="false">OperatingCurve!AX159</f>
        <v>-0.6087</v>
      </c>
      <c r="AJ134" s="285" t="n">
        <f aca="false">OperatingCurve!AW159</f>
        <v>9.7392</v>
      </c>
      <c r="AK134" s="285" t="n">
        <f aca="false">OperatingCurve!AY159</f>
        <v>12.174</v>
      </c>
      <c r="AM134" s="286" t="n">
        <f aca="false">OperatingCurve!AL159</f>
        <v>43</v>
      </c>
      <c r="AN134" s="287" t="n">
        <f aca="false">OperatingCurve!AM159</f>
        <v>0.4</v>
      </c>
      <c r="BE134" s="284" t="n">
        <f aca="false">OperatingCurve!V159</f>
        <v>40725</v>
      </c>
      <c r="BF134" s="289" t="n">
        <f aca="false">OperatingCurve!AZ159</f>
        <v>0</v>
      </c>
    </row>
    <row r="135" customFormat="false" ht="12.75" hidden="false" customHeight="false" outlineLevel="0" collapsed="false">
      <c r="A135" s="282" t="n">
        <f aca="false">OperatingCurve!D131</f>
        <v>39873</v>
      </c>
      <c r="B135" s="283" t="n">
        <f aca="false">OperatingCurve!H131</f>
        <v>24.576</v>
      </c>
      <c r="C135" s="283" t="n">
        <f aca="false">OperatingCurve!G131</f>
        <v>29.841</v>
      </c>
      <c r="D135" s="283" t="n">
        <f aca="false">OperatingCurve!I131</f>
        <v>54.704</v>
      </c>
      <c r="E135" s="278"/>
      <c r="F135" s="283" t="n">
        <f aca="false">OperatingCurve!M131</f>
        <v>0</v>
      </c>
      <c r="G135" s="283" t="n">
        <f aca="false">OperatingCurve!L131</f>
        <v>0</v>
      </c>
      <c r="H135" s="283" t="n">
        <f aca="false">OperatingCurve!N131</f>
        <v>0</v>
      </c>
      <c r="I135" s="273"/>
      <c r="J135" s="284" t="n">
        <f aca="false">OperatingCurve!V160</f>
        <v>40756</v>
      </c>
      <c r="K135" s="285" t="n">
        <f aca="false">OperatingCurve!Z160</f>
        <v>0</v>
      </c>
      <c r="L135" s="285" t="n">
        <f aca="false">OperatingCurve!Y160</f>
        <v>0</v>
      </c>
      <c r="M135" s="285" t="n">
        <f aca="false">OperatingCurve!AA160</f>
        <v>0</v>
      </c>
      <c r="O135" s="285" t="n">
        <f aca="false">OperatingCurve!AE160</f>
        <v>0</v>
      </c>
      <c r="P135" s="285" t="n">
        <f aca="false">OperatingCurve!AD160</f>
        <v>0</v>
      </c>
      <c r="Q135" s="285" t="n">
        <f aca="false">OperatingCurve!AF160</f>
        <v>0</v>
      </c>
      <c r="S135" s="285" t="n">
        <f aca="false">OperatingCurve!AJ160</f>
        <v>0</v>
      </c>
      <c r="T135" s="285" t="n">
        <f aca="false">OperatingCurve!AI160</f>
        <v>0</v>
      </c>
      <c r="U135" s="285" t="n">
        <f aca="false">OperatingCurve!AK160</f>
        <v>0</v>
      </c>
      <c r="W135" s="285" t="n">
        <f aca="false">OperatingCurve!AO160</f>
        <v>0.162</v>
      </c>
      <c r="X135" s="285" t="n">
        <f aca="false">OperatingCurve!AN160</f>
        <v>0.36</v>
      </c>
      <c r="Y135" s="285" t="n">
        <f aca="false">OperatingCurve!AP160</f>
        <v>0.45</v>
      </c>
      <c r="AA135" s="285" t="n">
        <f aca="false">OperatingCurve!AR160</f>
        <v>0.144</v>
      </c>
      <c r="AB135" s="285" t="n">
        <f aca="false">OperatingCurve!AQ160</f>
        <v>0.36</v>
      </c>
      <c r="AC135" s="285" t="n">
        <f aca="false">OperatingCurve!AS160</f>
        <v>0.27</v>
      </c>
      <c r="AE135" s="285" t="n">
        <f aca="false">OperatingCurve!AU160</f>
        <v>-0.552146177512111</v>
      </c>
      <c r="AF135" s="285" t="n">
        <f aca="false">OperatingCurve!AT160</f>
        <v>8.83433884019377</v>
      </c>
      <c r="AG135" s="285" t="n">
        <f aca="false">OperatingCurve!AV160</f>
        <v>11.0429235502422</v>
      </c>
      <c r="AI135" s="285" t="n">
        <f aca="false">OperatingCurve!AX160</f>
        <v>-0.596925</v>
      </c>
      <c r="AJ135" s="285" t="n">
        <f aca="false">OperatingCurve!AW160</f>
        <v>9.5508</v>
      </c>
      <c r="AK135" s="285" t="n">
        <f aca="false">OperatingCurve!AY160</f>
        <v>11.9385</v>
      </c>
      <c r="AM135" s="286" t="n">
        <f aca="false">OperatingCurve!AL160</f>
        <v>43</v>
      </c>
      <c r="AN135" s="287" t="n">
        <f aca="false">OperatingCurve!AM160</f>
        <v>0.4</v>
      </c>
      <c r="BE135" s="284" t="n">
        <f aca="false">OperatingCurve!V160</f>
        <v>40756</v>
      </c>
      <c r="BF135" s="289" t="n">
        <f aca="false">OperatingCurve!AZ160</f>
        <v>0</v>
      </c>
    </row>
    <row r="136" customFormat="false" ht="12.75" hidden="false" customHeight="false" outlineLevel="0" collapsed="false">
      <c r="A136" s="282" t="n">
        <f aca="false">OperatingCurve!D132</f>
        <v>39904</v>
      </c>
      <c r="B136" s="283" t="n">
        <f aca="false">OperatingCurve!H132</f>
        <v>23.529</v>
      </c>
      <c r="C136" s="283" t="n">
        <f aca="false">OperatingCurve!G132</f>
        <v>28.784</v>
      </c>
      <c r="D136" s="283" t="n">
        <f aca="false">OperatingCurve!I132</f>
        <v>53.601</v>
      </c>
      <c r="E136" s="278"/>
      <c r="F136" s="283" t="n">
        <f aca="false">OperatingCurve!M132</f>
        <v>0</v>
      </c>
      <c r="G136" s="283" t="n">
        <f aca="false">OperatingCurve!L132</f>
        <v>0</v>
      </c>
      <c r="H136" s="283" t="n">
        <f aca="false">OperatingCurve!N132</f>
        <v>0</v>
      </c>
      <c r="I136" s="273"/>
      <c r="J136" s="284" t="n">
        <f aca="false">OperatingCurve!V161</f>
        <v>40787</v>
      </c>
      <c r="K136" s="285" t="n">
        <f aca="false">OperatingCurve!Z161</f>
        <v>0</v>
      </c>
      <c r="L136" s="285" t="n">
        <f aca="false">OperatingCurve!Y161</f>
        <v>0</v>
      </c>
      <c r="M136" s="285" t="n">
        <f aca="false">OperatingCurve!AA161</f>
        <v>0</v>
      </c>
      <c r="O136" s="285" t="n">
        <f aca="false">OperatingCurve!AE161</f>
        <v>0</v>
      </c>
      <c r="P136" s="285" t="n">
        <f aca="false">OperatingCurve!AD161</f>
        <v>0</v>
      </c>
      <c r="Q136" s="285" t="n">
        <f aca="false">OperatingCurve!AF161</f>
        <v>0</v>
      </c>
      <c r="S136" s="285" t="n">
        <f aca="false">OperatingCurve!AJ161</f>
        <v>0</v>
      </c>
      <c r="T136" s="285" t="n">
        <f aca="false">OperatingCurve!AI161</f>
        <v>0</v>
      </c>
      <c r="U136" s="285" t="n">
        <f aca="false">OperatingCurve!AK161</f>
        <v>0</v>
      </c>
      <c r="W136" s="285" t="n">
        <f aca="false">OperatingCurve!AO161</f>
        <v>0.162</v>
      </c>
      <c r="X136" s="285" t="n">
        <f aca="false">OperatingCurve!AN161</f>
        <v>0.36</v>
      </c>
      <c r="Y136" s="285" t="n">
        <f aca="false">OperatingCurve!AP161</f>
        <v>0.45</v>
      </c>
      <c r="AA136" s="285" t="n">
        <f aca="false">OperatingCurve!AR161</f>
        <v>0.144</v>
      </c>
      <c r="AB136" s="285" t="n">
        <f aca="false">OperatingCurve!AQ161</f>
        <v>0.36</v>
      </c>
      <c r="AC136" s="285" t="n">
        <f aca="false">OperatingCurve!AS161</f>
        <v>0.27</v>
      </c>
      <c r="AE136" s="285" t="n">
        <f aca="false">OperatingCurve!AU161</f>
        <v>-0.455637578174882</v>
      </c>
      <c r="AF136" s="285" t="n">
        <f aca="false">OperatingCurve!AT161</f>
        <v>7.29020125079811</v>
      </c>
      <c r="AG136" s="285" t="n">
        <f aca="false">OperatingCurve!AV161</f>
        <v>9.11275156349763</v>
      </c>
      <c r="AI136" s="285" t="n">
        <f aca="false">OperatingCurve!AX161</f>
        <v>-0.63225</v>
      </c>
      <c r="AJ136" s="285" t="n">
        <f aca="false">OperatingCurve!AW161</f>
        <v>10.116</v>
      </c>
      <c r="AK136" s="285" t="n">
        <f aca="false">OperatingCurve!AY161</f>
        <v>12.645</v>
      </c>
      <c r="AM136" s="286" t="n">
        <f aca="false">OperatingCurve!AL161</f>
        <v>43</v>
      </c>
      <c r="AN136" s="287" t="n">
        <f aca="false">OperatingCurve!AM161</f>
        <v>0.4</v>
      </c>
      <c r="BE136" s="284" t="n">
        <f aca="false">OperatingCurve!V161</f>
        <v>40787</v>
      </c>
      <c r="BF136" s="289" t="n">
        <f aca="false">OperatingCurve!AZ161</f>
        <v>0</v>
      </c>
    </row>
    <row r="137" customFormat="false" ht="12.75" hidden="false" customHeight="false" outlineLevel="0" collapsed="false">
      <c r="A137" s="282" t="n">
        <f aca="false">OperatingCurve!D133</f>
        <v>39934</v>
      </c>
      <c r="B137" s="283" t="n">
        <f aca="false">OperatingCurve!H133</f>
        <v>27.729</v>
      </c>
      <c r="C137" s="283" t="n">
        <f aca="false">OperatingCurve!G133</f>
        <v>33.024</v>
      </c>
      <c r="D137" s="283" t="n">
        <f aca="false">OperatingCurve!I133</f>
        <v>58.025</v>
      </c>
      <c r="E137" s="278"/>
      <c r="F137" s="283" t="n">
        <f aca="false">OperatingCurve!M133</f>
        <v>0</v>
      </c>
      <c r="G137" s="283" t="n">
        <f aca="false">OperatingCurve!L133</f>
        <v>0</v>
      </c>
      <c r="H137" s="283" t="n">
        <f aca="false">OperatingCurve!N133</f>
        <v>0</v>
      </c>
      <c r="I137" s="273"/>
      <c r="J137" s="284" t="n">
        <f aca="false">OperatingCurve!V162</f>
        <v>40817</v>
      </c>
      <c r="K137" s="285" t="n">
        <f aca="false">OperatingCurve!Z162</f>
        <v>0</v>
      </c>
      <c r="L137" s="285" t="n">
        <f aca="false">OperatingCurve!Y162</f>
        <v>0</v>
      </c>
      <c r="M137" s="285" t="n">
        <f aca="false">OperatingCurve!AA162</f>
        <v>0</v>
      </c>
      <c r="O137" s="285" t="n">
        <f aca="false">OperatingCurve!AE162</f>
        <v>0</v>
      </c>
      <c r="P137" s="285" t="n">
        <f aca="false">OperatingCurve!AD162</f>
        <v>0</v>
      </c>
      <c r="Q137" s="285" t="n">
        <f aca="false">OperatingCurve!AF162</f>
        <v>0</v>
      </c>
      <c r="S137" s="285" t="n">
        <f aca="false">OperatingCurve!AJ162</f>
        <v>0</v>
      </c>
      <c r="T137" s="285" t="n">
        <f aca="false">OperatingCurve!AI162</f>
        <v>0</v>
      </c>
      <c r="U137" s="285" t="n">
        <f aca="false">OperatingCurve!AK162</f>
        <v>0</v>
      </c>
      <c r="W137" s="285" t="n">
        <f aca="false">OperatingCurve!AO162</f>
        <v>0.162</v>
      </c>
      <c r="X137" s="285" t="n">
        <f aca="false">OperatingCurve!AN162</f>
        <v>0.36</v>
      </c>
      <c r="Y137" s="285" t="n">
        <f aca="false">OperatingCurve!AP162</f>
        <v>0.45</v>
      </c>
      <c r="AA137" s="285" t="n">
        <f aca="false">OperatingCurve!AR162</f>
        <v>0.144</v>
      </c>
      <c r="AB137" s="285" t="n">
        <f aca="false">OperatingCurve!AQ162</f>
        <v>0.36</v>
      </c>
      <c r="AC137" s="285" t="n">
        <f aca="false">OperatingCurve!AS162</f>
        <v>0.27</v>
      </c>
      <c r="AE137" s="285" t="n">
        <f aca="false">OperatingCurve!AU162</f>
        <v>-0.484735205974953</v>
      </c>
      <c r="AF137" s="285" t="n">
        <f aca="false">OperatingCurve!AT162</f>
        <v>7.75576329559925</v>
      </c>
      <c r="AG137" s="285" t="n">
        <f aca="false">OperatingCurve!AV162</f>
        <v>9.69470411949907</v>
      </c>
      <c r="AI137" s="285" t="n">
        <f aca="false">OperatingCurve!AX162</f>
        <v>-0.620475</v>
      </c>
      <c r="AJ137" s="285" t="n">
        <f aca="false">OperatingCurve!AW162</f>
        <v>9.9276</v>
      </c>
      <c r="AK137" s="285" t="n">
        <f aca="false">OperatingCurve!AY162</f>
        <v>12.4095</v>
      </c>
      <c r="AM137" s="286" t="n">
        <f aca="false">OperatingCurve!AL162</f>
        <v>44</v>
      </c>
      <c r="AN137" s="287" t="n">
        <f aca="false">OperatingCurve!AM162</f>
        <v>0.4</v>
      </c>
      <c r="BE137" s="284" t="n">
        <f aca="false">OperatingCurve!V162</f>
        <v>40817</v>
      </c>
      <c r="BF137" s="289" t="n">
        <f aca="false">OperatingCurve!AZ162</f>
        <v>0</v>
      </c>
    </row>
    <row r="138" customFormat="false" ht="12.75" hidden="false" customHeight="false" outlineLevel="0" collapsed="false">
      <c r="A138" s="282" t="n">
        <f aca="false">OperatingCurve!D134</f>
        <v>39965</v>
      </c>
      <c r="B138" s="283" t="n">
        <f aca="false">OperatingCurve!H134</f>
        <v>34.089</v>
      </c>
      <c r="C138" s="283" t="n">
        <f aca="false">OperatingCurve!G134</f>
        <v>39.444</v>
      </c>
      <c r="D138" s="283" t="n">
        <f aca="false">OperatingCurve!I134</f>
        <v>64.721</v>
      </c>
      <c r="E138" s="278"/>
      <c r="F138" s="283" t="n">
        <f aca="false">OperatingCurve!M134</f>
        <v>0</v>
      </c>
      <c r="G138" s="283" t="n">
        <f aca="false">OperatingCurve!L134</f>
        <v>0</v>
      </c>
      <c r="H138" s="283" t="n">
        <f aca="false">OperatingCurve!N134</f>
        <v>0</v>
      </c>
      <c r="I138" s="273"/>
      <c r="J138" s="284" t="n">
        <f aca="false">OperatingCurve!V163</f>
        <v>40848</v>
      </c>
      <c r="K138" s="285" t="n">
        <f aca="false">OperatingCurve!Z163</f>
        <v>0</v>
      </c>
      <c r="L138" s="285" t="n">
        <f aca="false">OperatingCurve!Y163</f>
        <v>0</v>
      </c>
      <c r="M138" s="285" t="n">
        <f aca="false">OperatingCurve!AA163</f>
        <v>0</v>
      </c>
      <c r="O138" s="285" t="n">
        <f aca="false">OperatingCurve!AE163</f>
        <v>0</v>
      </c>
      <c r="P138" s="285" t="n">
        <f aca="false">OperatingCurve!AD163</f>
        <v>0</v>
      </c>
      <c r="Q138" s="285" t="n">
        <f aca="false">OperatingCurve!AF163</f>
        <v>0</v>
      </c>
      <c r="S138" s="285" t="n">
        <f aca="false">OperatingCurve!AJ163</f>
        <v>0</v>
      </c>
      <c r="T138" s="285" t="n">
        <f aca="false">OperatingCurve!AI163</f>
        <v>0</v>
      </c>
      <c r="U138" s="285" t="n">
        <f aca="false">OperatingCurve!AK163</f>
        <v>0</v>
      </c>
      <c r="W138" s="285" t="n">
        <f aca="false">OperatingCurve!AO163</f>
        <v>0.162</v>
      </c>
      <c r="X138" s="285" t="n">
        <f aca="false">OperatingCurve!AN163</f>
        <v>0.36</v>
      </c>
      <c r="Y138" s="285" t="n">
        <f aca="false">OperatingCurve!AP163</f>
        <v>0.45</v>
      </c>
      <c r="AA138" s="285" t="n">
        <f aca="false">OperatingCurve!AR163</f>
        <v>0.144</v>
      </c>
      <c r="AB138" s="285" t="n">
        <f aca="false">OperatingCurve!AQ163</f>
        <v>0.36</v>
      </c>
      <c r="AC138" s="285" t="n">
        <f aca="false">OperatingCurve!AS163</f>
        <v>0.27</v>
      </c>
      <c r="AE138" s="285" t="n">
        <f aca="false">OperatingCurve!AU163</f>
        <v>-0.410147476715089</v>
      </c>
      <c r="AF138" s="285" t="n">
        <f aca="false">OperatingCurve!AT163</f>
        <v>6.56235962744143</v>
      </c>
      <c r="AG138" s="285" t="n">
        <f aca="false">OperatingCurve!AV163</f>
        <v>8.20294953430178</v>
      </c>
      <c r="AI138" s="285" t="n">
        <f aca="false">OperatingCurve!AX163</f>
        <v>-0.6558</v>
      </c>
      <c r="AJ138" s="285" t="n">
        <f aca="false">OperatingCurve!AW163</f>
        <v>10.4928</v>
      </c>
      <c r="AK138" s="285" t="n">
        <f aca="false">OperatingCurve!AY163</f>
        <v>13.116</v>
      </c>
      <c r="AM138" s="286" t="n">
        <f aca="false">OperatingCurve!AL163</f>
        <v>44</v>
      </c>
      <c r="AN138" s="287" t="n">
        <f aca="false">OperatingCurve!AM163</f>
        <v>0.4</v>
      </c>
      <c r="BE138" s="284" t="n">
        <f aca="false">OperatingCurve!V163</f>
        <v>40848</v>
      </c>
      <c r="BF138" s="289" t="n">
        <f aca="false">OperatingCurve!AZ163</f>
        <v>0</v>
      </c>
    </row>
    <row r="139" customFormat="false" ht="12.75" hidden="false" customHeight="false" outlineLevel="0" collapsed="false">
      <c r="A139" s="282" t="n">
        <f aca="false">OperatingCurve!D135</f>
        <v>39995</v>
      </c>
      <c r="B139" s="283" t="n">
        <f aca="false">OperatingCurve!H135</f>
        <v>34.089</v>
      </c>
      <c r="C139" s="283" t="n">
        <f aca="false">OperatingCurve!G135</f>
        <v>39.444</v>
      </c>
      <c r="D139" s="283" t="n">
        <f aca="false">OperatingCurve!I135</f>
        <v>64.721</v>
      </c>
      <c r="E139" s="278"/>
      <c r="F139" s="283" t="n">
        <f aca="false">OperatingCurve!M135</f>
        <v>0</v>
      </c>
      <c r="G139" s="283" t="n">
        <f aca="false">OperatingCurve!L135</f>
        <v>0</v>
      </c>
      <c r="H139" s="283" t="n">
        <f aca="false">OperatingCurve!N135</f>
        <v>0</v>
      </c>
      <c r="I139" s="273"/>
      <c r="J139" s="284" t="n">
        <f aca="false">OperatingCurve!V164</f>
        <v>40878</v>
      </c>
      <c r="K139" s="285" t="n">
        <f aca="false">OperatingCurve!Z164</f>
        <v>0</v>
      </c>
      <c r="L139" s="285" t="n">
        <f aca="false">OperatingCurve!Y164</f>
        <v>0</v>
      </c>
      <c r="M139" s="285" t="n">
        <f aca="false">OperatingCurve!AA164</f>
        <v>0</v>
      </c>
      <c r="O139" s="285" t="n">
        <f aca="false">OperatingCurve!AE164</f>
        <v>0</v>
      </c>
      <c r="P139" s="285" t="n">
        <f aca="false">OperatingCurve!AD164</f>
        <v>0</v>
      </c>
      <c r="Q139" s="285" t="n">
        <f aca="false">OperatingCurve!AF164</f>
        <v>0</v>
      </c>
      <c r="S139" s="285" t="n">
        <f aca="false">OperatingCurve!AJ164</f>
        <v>0</v>
      </c>
      <c r="T139" s="285" t="n">
        <f aca="false">OperatingCurve!AI164</f>
        <v>0</v>
      </c>
      <c r="U139" s="285" t="n">
        <f aca="false">OperatingCurve!AK164</f>
        <v>0</v>
      </c>
      <c r="W139" s="285" t="n">
        <f aca="false">OperatingCurve!AO164</f>
        <v>0.162</v>
      </c>
      <c r="X139" s="285" t="n">
        <f aca="false">OperatingCurve!AN164</f>
        <v>0.36</v>
      </c>
      <c r="Y139" s="285" t="n">
        <f aca="false">OperatingCurve!AP164</f>
        <v>0.45</v>
      </c>
      <c r="AA139" s="285" t="n">
        <f aca="false">OperatingCurve!AR164</f>
        <v>0.144</v>
      </c>
      <c r="AB139" s="285" t="n">
        <f aca="false">OperatingCurve!AQ164</f>
        <v>0.36</v>
      </c>
      <c r="AC139" s="285" t="n">
        <f aca="false">OperatingCurve!AS164</f>
        <v>0.27</v>
      </c>
      <c r="AE139" s="285" t="n">
        <f aca="false">OperatingCurve!AU164</f>
        <v>-0.419655399211954</v>
      </c>
      <c r="AF139" s="285" t="n">
        <f aca="false">OperatingCurve!AT164</f>
        <v>6.71448638739126</v>
      </c>
      <c r="AG139" s="285" t="n">
        <f aca="false">OperatingCurve!AV164</f>
        <v>8.39310798423907</v>
      </c>
      <c r="AI139" s="285" t="n">
        <f aca="false">OperatingCurve!AX164</f>
        <v>-0.667575</v>
      </c>
      <c r="AJ139" s="285" t="n">
        <f aca="false">OperatingCurve!AW164</f>
        <v>10.6812</v>
      </c>
      <c r="AK139" s="285" t="n">
        <f aca="false">OperatingCurve!AY164</f>
        <v>13.3515</v>
      </c>
      <c r="AM139" s="286" t="n">
        <f aca="false">OperatingCurve!AL164</f>
        <v>44</v>
      </c>
      <c r="AN139" s="287" t="n">
        <f aca="false">OperatingCurve!AM164</f>
        <v>0.4</v>
      </c>
      <c r="BE139" s="284" t="n">
        <f aca="false">OperatingCurve!V164</f>
        <v>40878</v>
      </c>
      <c r="BF139" s="289" t="n">
        <f aca="false">OperatingCurve!AZ164</f>
        <v>0</v>
      </c>
    </row>
    <row r="140" customFormat="false" ht="12.75" hidden="false" customHeight="false" outlineLevel="0" collapsed="false">
      <c r="A140" s="282" t="n">
        <f aca="false">OperatingCurve!D136</f>
        <v>40026</v>
      </c>
      <c r="B140" s="283" t="n">
        <f aca="false">OperatingCurve!H136</f>
        <v>36.225</v>
      </c>
      <c r="C140" s="283" t="n">
        <f aca="false">OperatingCurve!G136</f>
        <v>41.6</v>
      </c>
      <c r="D140" s="283" t="n">
        <f aca="false">OperatingCurve!I136</f>
        <v>66.969</v>
      </c>
      <c r="E140" s="278"/>
      <c r="F140" s="283" t="n">
        <f aca="false">OperatingCurve!M136</f>
        <v>0</v>
      </c>
      <c r="G140" s="283" t="n">
        <f aca="false">OperatingCurve!L136</f>
        <v>0</v>
      </c>
      <c r="H140" s="283" t="n">
        <f aca="false">OperatingCurve!N136</f>
        <v>0</v>
      </c>
      <c r="I140" s="273"/>
      <c r="J140" s="284" t="n">
        <f aca="false">OperatingCurve!V165</f>
        <v>40909</v>
      </c>
      <c r="K140" s="285" t="n">
        <f aca="false">OperatingCurve!Z165</f>
        <v>0</v>
      </c>
      <c r="L140" s="285" t="n">
        <f aca="false">OperatingCurve!Y165</f>
        <v>0</v>
      </c>
      <c r="M140" s="285" t="n">
        <f aca="false">OperatingCurve!AA165</f>
        <v>0</v>
      </c>
      <c r="O140" s="285" t="n">
        <f aca="false">OperatingCurve!AE165</f>
        <v>0</v>
      </c>
      <c r="P140" s="285" t="n">
        <f aca="false">OperatingCurve!AD165</f>
        <v>0</v>
      </c>
      <c r="Q140" s="285" t="n">
        <f aca="false">OperatingCurve!AF165</f>
        <v>0</v>
      </c>
      <c r="S140" s="285" t="n">
        <f aca="false">OperatingCurve!AJ165</f>
        <v>0</v>
      </c>
      <c r="T140" s="285" t="n">
        <f aca="false">OperatingCurve!AI165</f>
        <v>0</v>
      </c>
      <c r="U140" s="285" t="n">
        <f aca="false">OperatingCurve!AK165</f>
        <v>0</v>
      </c>
      <c r="W140" s="285" t="n">
        <f aca="false">OperatingCurve!AO165</f>
        <v>0.162</v>
      </c>
      <c r="X140" s="285" t="n">
        <f aca="false">OperatingCurve!AN165</f>
        <v>0.36</v>
      </c>
      <c r="Y140" s="285" t="n">
        <f aca="false">OperatingCurve!AP165</f>
        <v>0.45</v>
      </c>
      <c r="AA140" s="285" t="n">
        <f aca="false">OperatingCurve!AR165</f>
        <v>0.144</v>
      </c>
      <c r="AB140" s="285" t="n">
        <f aca="false">OperatingCurve!AQ165</f>
        <v>0.36</v>
      </c>
      <c r="AC140" s="285" t="n">
        <f aca="false">OperatingCurve!AS165</f>
        <v>0.27</v>
      </c>
      <c r="AE140" s="285" t="n">
        <f aca="false">OperatingCurve!AU165</f>
        <v>-0.43048858158097</v>
      </c>
      <c r="AF140" s="285" t="n">
        <f aca="false">OperatingCurve!AT165</f>
        <v>6.88781730529552</v>
      </c>
      <c r="AG140" s="285" t="n">
        <f aca="false">OperatingCurve!AV165</f>
        <v>8.60977163161941</v>
      </c>
      <c r="AI140" s="285" t="n">
        <f aca="false">OperatingCurve!AX165</f>
        <v>-0.6558</v>
      </c>
      <c r="AJ140" s="285" t="n">
        <f aca="false">OperatingCurve!AW165</f>
        <v>10.4928</v>
      </c>
      <c r="AK140" s="285" t="n">
        <f aca="false">OperatingCurve!AY165</f>
        <v>13.116</v>
      </c>
      <c r="AM140" s="286" t="n">
        <f aca="false">OperatingCurve!AL165</f>
        <v>45</v>
      </c>
      <c r="AN140" s="287" t="n">
        <f aca="false">OperatingCurve!AM165</f>
        <v>0.4</v>
      </c>
      <c r="BE140" s="284" t="n">
        <f aca="false">OperatingCurve!V165</f>
        <v>40909</v>
      </c>
      <c r="BF140" s="289" t="n">
        <f aca="false">OperatingCurve!AZ165</f>
        <v>0</v>
      </c>
    </row>
    <row r="141" customFormat="false" ht="12.75" hidden="false" customHeight="false" outlineLevel="0" collapsed="false">
      <c r="A141" s="282" t="n">
        <f aca="false">OperatingCurve!D137</f>
        <v>40057</v>
      </c>
      <c r="B141" s="283" t="n">
        <f aca="false">OperatingCurve!H137</f>
        <v>29.841</v>
      </c>
      <c r="C141" s="283" t="n">
        <f aca="false">OperatingCurve!G137</f>
        <v>35.156</v>
      </c>
      <c r="D141" s="283" t="n">
        <f aca="false">OperatingCurve!I137</f>
        <v>60.249</v>
      </c>
      <c r="E141" s="278"/>
      <c r="F141" s="283" t="n">
        <f aca="false">OperatingCurve!M137</f>
        <v>0</v>
      </c>
      <c r="G141" s="283" t="n">
        <f aca="false">OperatingCurve!L137</f>
        <v>0</v>
      </c>
      <c r="H141" s="283" t="n">
        <f aca="false">OperatingCurve!N137</f>
        <v>0</v>
      </c>
      <c r="I141" s="273"/>
      <c r="J141" s="284" t="n">
        <f aca="false">OperatingCurve!V166</f>
        <v>40940</v>
      </c>
      <c r="K141" s="285" t="n">
        <f aca="false">OperatingCurve!Z166</f>
        <v>0</v>
      </c>
      <c r="L141" s="285" t="n">
        <f aca="false">OperatingCurve!Y166</f>
        <v>0</v>
      </c>
      <c r="M141" s="285" t="n">
        <f aca="false">OperatingCurve!AA166</f>
        <v>0</v>
      </c>
      <c r="O141" s="285" t="n">
        <f aca="false">OperatingCurve!AE166</f>
        <v>0</v>
      </c>
      <c r="P141" s="285" t="n">
        <f aca="false">OperatingCurve!AD166</f>
        <v>0</v>
      </c>
      <c r="Q141" s="285" t="n">
        <f aca="false">OperatingCurve!AF166</f>
        <v>0</v>
      </c>
      <c r="S141" s="285" t="n">
        <f aca="false">OperatingCurve!AJ166</f>
        <v>0</v>
      </c>
      <c r="T141" s="285" t="n">
        <f aca="false">OperatingCurve!AI166</f>
        <v>0</v>
      </c>
      <c r="U141" s="285" t="n">
        <f aca="false">OperatingCurve!AK166</f>
        <v>0</v>
      </c>
      <c r="W141" s="285" t="n">
        <f aca="false">OperatingCurve!AO166</f>
        <v>0.1575</v>
      </c>
      <c r="X141" s="285" t="n">
        <f aca="false">OperatingCurve!AN166</f>
        <v>0.35</v>
      </c>
      <c r="Y141" s="285" t="n">
        <f aca="false">OperatingCurve!AP166</f>
        <v>0.4375</v>
      </c>
      <c r="AA141" s="285" t="n">
        <f aca="false">OperatingCurve!AR166</f>
        <v>0.14</v>
      </c>
      <c r="AB141" s="285" t="n">
        <f aca="false">OperatingCurve!AQ166</f>
        <v>0.35</v>
      </c>
      <c r="AC141" s="285" t="n">
        <f aca="false">OperatingCurve!AS166</f>
        <v>0.2625</v>
      </c>
      <c r="AE141" s="285" t="n">
        <f aca="false">OperatingCurve!AU166</f>
        <v>-0.402107379613998</v>
      </c>
      <c r="AF141" s="285" t="n">
        <f aca="false">OperatingCurve!AT166</f>
        <v>6.43371807382396</v>
      </c>
      <c r="AG141" s="285" t="n">
        <f aca="false">OperatingCurve!AV166</f>
        <v>8.04214759227995</v>
      </c>
      <c r="AI141" s="285" t="n">
        <f aca="false">OperatingCurve!AX166</f>
        <v>-0.6616875</v>
      </c>
      <c r="AJ141" s="285" t="n">
        <f aca="false">OperatingCurve!AW166</f>
        <v>10.587</v>
      </c>
      <c r="AK141" s="285" t="n">
        <f aca="false">OperatingCurve!AY166</f>
        <v>13.23375</v>
      </c>
      <c r="AM141" s="286" t="n">
        <f aca="false">OperatingCurve!AL166</f>
        <v>45</v>
      </c>
      <c r="AN141" s="287" t="n">
        <f aca="false">OperatingCurve!AM166</f>
        <v>0.4</v>
      </c>
      <c r="BE141" s="284" t="n">
        <f aca="false">OperatingCurve!V166</f>
        <v>40940</v>
      </c>
      <c r="BF141" s="289" t="n">
        <f aca="false">OperatingCurve!AZ166</f>
        <v>0</v>
      </c>
    </row>
    <row r="142" customFormat="false" ht="12.75" hidden="false" customHeight="false" outlineLevel="0" collapsed="false">
      <c r="A142" s="282" t="n">
        <f aca="false">OperatingCurve!D138</f>
        <v>40087</v>
      </c>
      <c r="B142" s="283" t="n">
        <f aca="false">OperatingCurve!H138</f>
        <v>31.961</v>
      </c>
      <c r="C142" s="283" t="n">
        <f aca="false">OperatingCurve!G138</f>
        <v>37.296</v>
      </c>
      <c r="D142" s="283" t="n">
        <f aca="false">OperatingCurve!I138</f>
        <v>62.481</v>
      </c>
      <c r="E142" s="278"/>
      <c r="F142" s="283" t="n">
        <f aca="false">OperatingCurve!M138</f>
        <v>0</v>
      </c>
      <c r="G142" s="283" t="n">
        <f aca="false">OperatingCurve!L138</f>
        <v>0</v>
      </c>
      <c r="H142" s="283" t="n">
        <f aca="false">OperatingCurve!N138</f>
        <v>0</v>
      </c>
      <c r="I142" s="273"/>
      <c r="J142" s="284" t="n">
        <f aca="false">OperatingCurve!V167</f>
        <v>40969</v>
      </c>
      <c r="K142" s="285" t="n">
        <f aca="false">OperatingCurve!Z167</f>
        <v>0</v>
      </c>
      <c r="L142" s="285" t="n">
        <f aca="false">OperatingCurve!Y167</f>
        <v>0</v>
      </c>
      <c r="M142" s="285" t="n">
        <f aca="false">OperatingCurve!AA167</f>
        <v>0</v>
      </c>
      <c r="O142" s="285" t="n">
        <f aca="false">OperatingCurve!AE167</f>
        <v>0</v>
      </c>
      <c r="P142" s="285" t="n">
        <f aca="false">OperatingCurve!AD167</f>
        <v>0</v>
      </c>
      <c r="Q142" s="285" t="n">
        <f aca="false">OperatingCurve!AF167</f>
        <v>0</v>
      </c>
      <c r="S142" s="285" t="n">
        <f aca="false">OperatingCurve!AJ167</f>
        <v>0</v>
      </c>
      <c r="T142" s="285" t="n">
        <f aca="false">OperatingCurve!AI167</f>
        <v>0</v>
      </c>
      <c r="U142" s="285" t="n">
        <f aca="false">OperatingCurve!AK167</f>
        <v>0</v>
      </c>
      <c r="W142" s="285" t="n">
        <f aca="false">OperatingCurve!AO167</f>
        <v>0.153</v>
      </c>
      <c r="X142" s="285" t="n">
        <f aca="false">OperatingCurve!AN167</f>
        <v>0.34</v>
      </c>
      <c r="Y142" s="285" t="n">
        <f aca="false">OperatingCurve!AP167</f>
        <v>0.425</v>
      </c>
      <c r="AA142" s="285" t="n">
        <f aca="false">OperatingCurve!AR167</f>
        <v>0.136</v>
      </c>
      <c r="AB142" s="285" t="n">
        <f aca="false">OperatingCurve!AQ167</f>
        <v>0.34</v>
      </c>
      <c r="AC142" s="285" t="n">
        <f aca="false">OperatingCurve!AS167</f>
        <v>0.255</v>
      </c>
      <c r="AE142" s="285" t="n">
        <f aca="false">OperatingCurve!AU167</f>
        <v>-0.395696014851329</v>
      </c>
      <c r="AF142" s="285" t="n">
        <f aca="false">OperatingCurve!AT167</f>
        <v>6.33113623762127</v>
      </c>
      <c r="AG142" s="285" t="n">
        <f aca="false">OperatingCurve!AV167</f>
        <v>7.91392029702658</v>
      </c>
      <c r="AI142" s="285" t="n">
        <f aca="false">OperatingCurve!AX167</f>
        <v>-0.667575</v>
      </c>
      <c r="AJ142" s="285" t="n">
        <f aca="false">OperatingCurve!AW167</f>
        <v>10.6812</v>
      </c>
      <c r="AK142" s="285" t="n">
        <f aca="false">OperatingCurve!AY167</f>
        <v>13.3515</v>
      </c>
      <c r="AM142" s="286" t="n">
        <f aca="false">OperatingCurve!AL167</f>
        <v>45</v>
      </c>
      <c r="AN142" s="287" t="n">
        <f aca="false">OperatingCurve!AM167</f>
        <v>0.4</v>
      </c>
      <c r="BE142" s="284" t="n">
        <f aca="false">OperatingCurve!V167</f>
        <v>40969</v>
      </c>
      <c r="BF142" s="289" t="n">
        <f aca="false">OperatingCurve!AZ167</f>
        <v>0</v>
      </c>
    </row>
    <row r="143" customFormat="false" ht="12.75" hidden="false" customHeight="false" outlineLevel="0" collapsed="false">
      <c r="A143" s="282" t="n">
        <f aca="false">OperatingCurve!D139</f>
        <v>40118</v>
      </c>
      <c r="B143" s="283" t="n">
        <f aca="false">OperatingCurve!H139</f>
        <v>26.676</v>
      </c>
      <c r="C143" s="283" t="n">
        <f aca="false">OperatingCurve!G139</f>
        <v>31.961</v>
      </c>
      <c r="D143" s="283" t="n">
        <f aca="false">OperatingCurve!I139</f>
        <v>56.916</v>
      </c>
      <c r="E143" s="278"/>
      <c r="F143" s="283" t="n">
        <f aca="false">OperatingCurve!M139</f>
        <v>0</v>
      </c>
      <c r="G143" s="283" t="n">
        <f aca="false">OperatingCurve!L139</f>
        <v>0</v>
      </c>
      <c r="H143" s="283" t="n">
        <f aca="false">OperatingCurve!N139</f>
        <v>0</v>
      </c>
      <c r="I143" s="273"/>
      <c r="J143" s="284" t="n">
        <f aca="false">OperatingCurve!V168</f>
        <v>41000</v>
      </c>
      <c r="K143" s="285" t="n">
        <f aca="false">OperatingCurve!Z168</f>
        <v>0</v>
      </c>
      <c r="L143" s="285" t="n">
        <f aca="false">OperatingCurve!Y168</f>
        <v>0</v>
      </c>
      <c r="M143" s="285" t="n">
        <f aca="false">OperatingCurve!AA168</f>
        <v>0</v>
      </c>
      <c r="O143" s="285" t="n">
        <f aca="false">OperatingCurve!AE168</f>
        <v>0</v>
      </c>
      <c r="P143" s="285" t="n">
        <f aca="false">OperatingCurve!AD168</f>
        <v>0</v>
      </c>
      <c r="Q143" s="285" t="n">
        <f aca="false">OperatingCurve!AF168</f>
        <v>0</v>
      </c>
      <c r="S143" s="285" t="n">
        <f aca="false">OperatingCurve!AJ168</f>
        <v>0</v>
      </c>
      <c r="T143" s="285" t="n">
        <f aca="false">OperatingCurve!AI168</f>
        <v>0</v>
      </c>
      <c r="U143" s="285" t="n">
        <f aca="false">OperatingCurve!AK168</f>
        <v>0</v>
      </c>
      <c r="W143" s="285" t="n">
        <f aca="false">OperatingCurve!AO168</f>
        <v>0.153</v>
      </c>
      <c r="X143" s="285" t="n">
        <f aca="false">OperatingCurve!AN168</f>
        <v>0.34</v>
      </c>
      <c r="Y143" s="285" t="n">
        <f aca="false">OperatingCurve!AP168</f>
        <v>0.425</v>
      </c>
      <c r="AA143" s="285" t="n">
        <f aca="false">OperatingCurve!AR168</f>
        <v>0.136</v>
      </c>
      <c r="AB143" s="285" t="n">
        <f aca="false">OperatingCurve!AQ168</f>
        <v>0.34</v>
      </c>
      <c r="AC143" s="285" t="n">
        <f aca="false">OperatingCurve!AS168</f>
        <v>0.255</v>
      </c>
      <c r="AE143" s="285" t="n">
        <f aca="false">OperatingCurve!AU168</f>
        <v>-0.395696014851329</v>
      </c>
      <c r="AF143" s="285" t="n">
        <f aca="false">OperatingCurve!AT168</f>
        <v>6.33113623762127</v>
      </c>
      <c r="AG143" s="285" t="n">
        <f aca="false">OperatingCurve!AV168</f>
        <v>7.91392029702658</v>
      </c>
      <c r="AI143" s="285" t="n">
        <f aca="false">OperatingCurve!AX168</f>
        <v>-0.667575</v>
      </c>
      <c r="AJ143" s="285" t="n">
        <f aca="false">OperatingCurve!AW168</f>
        <v>10.6812</v>
      </c>
      <c r="AK143" s="285" t="n">
        <f aca="false">OperatingCurve!AY168</f>
        <v>13.3515</v>
      </c>
      <c r="AM143" s="286" t="n">
        <f aca="false">OperatingCurve!AL168</f>
        <v>46</v>
      </c>
      <c r="AN143" s="287" t="n">
        <f aca="false">OperatingCurve!AM168</f>
        <v>0.4</v>
      </c>
      <c r="BE143" s="284" t="n">
        <f aca="false">OperatingCurve!V168</f>
        <v>41000</v>
      </c>
      <c r="BF143" s="289" t="n">
        <f aca="false">OperatingCurve!AZ168</f>
        <v>0</v>
      </c>
    </row>
    <row r="144" customFormat="false" ht="12.75" hidden="false" customHeight="false" outlineLevel="0" collapsed="false">
      <c r="A144" s="282" t="n">
        <f aca="false">OperatingCurve!D140</f>
        <v>40148</v>
      </c>
      <c r="B144" s="283" t="n">
        <f aca="false">OperatingCurve!H140</f>
        <v>25.625</v>
      </c>
      <c r="C144" s="283" t="n">
        <f aca="false">OperatingCurve!G140</f>
        <v>30.9</v>
      </c>
      <c r="D144" s="283" t="n">
        <f aca="false">OperatingCurve!I140</f>
        <v>55.809</v>
      </c>
      <c r="E144" s="278"/>
      <c r="F144" s="283" t="n">
        <f aca="false">OperatingCurve!M140</f>
        <v>0</v>
      </c>
      <c r="G144" s="283" t="n">
        <f aca="false">OperatingCurve!L140</f>
        <v>0</v>
      </c>
      <c r="H144" s="283" t="n">
        <f aca="false">OperatingCurve!N140</f>
        <v>0</v>
      </c>
      <c r="I144" s="273"/>
      <c r="J144" s="284" t="n">
        <f aca="false">OperatingCurve!V169</f>
        <v>41030</v>
      </c>
      <c r="K144" s="285" t="n">
        <f aca="false">OperatingCurve!Z169</f>
        <v>0</v>
      </c>
      <c r="L144" s="285" t="n">
        <f aca="false">OperatingCurve!Y169</f>
        <v>0</v>
      </c>
      <c r="M144" s="285" t="n">
        <f aca="false">OperatingCurve!AA169</f>
        <v>0</v>
      </c>
      <c r="O144" s="285" t="n">
        <f aca="false">OperatingCurve!AE169</f>
        <v>0</v>
      </c>
      <c r="P144" s="285" t="n">
        <f aca="false">OperatingCurve!AD169</f>
        <v>0</v>
      </c>
      <c r="Q144" s="285" t="n">
        <f aca="false">OperatingCurve!AF169</f>
        <v>0</v>
      </c>
      <c r="S144" s="285" t="n">
        <f aca="false">OperatingCurve!AJ169</f>
        <v>0</v>
      </c>
      <c r="T144" s="285" t="n">
        <f aca="false">OperatingCurve!AI169</f>
        <v>0</v>
      </c>
      <c r="U144" s="285" t="n">
        <f aca="false">OperatingCurve!AK169</f>
        <v>0</v>
      </c>
      <c r="W144" s="285" t="n">
        <f aca="false">OperatingCurve!AO169</f>
        <v>0.153</v>
      </c>
      <c r="X144" s="285" t="n">
        <f aca="false">OperatingCurve!AN169</f>
        <v>0.34</v>
      </c>
      <c r="Y144" s="285" t="n">
        <f aca="false">OperatingCurve!AP169</f>
        <v>0.425</v>
      </c>
      <c r="AA144" s="285" t="n">
        <f aca="false">OperatingCurve!AR169</f>
        <v>0.136</v>
      </c>
      <c r="AB144" s="285" t="n">
        <f aca="false">OperatingCurve!AQ169</f>
        <v>0.34</v>
      </c>
      <c r="AC144" s="285" t="n">
        <f aca="false">OperatingCurve!AS169</f>
        <v>0.255</v>
      </c>
      <c r="AE144" s="285" t="n">
        <f aca="false">OperatingCurve!AU169</f>
        <v>-0.419655399211954</v>
      </c>
      <c r="AF144" s="285" t="n">
        <f aca="false">OperatingCurve!AT169</f>
        <v>6.71448638739126</v>
      </c>
      <c r="AG144" s="285" t="n">
        <f aca="false">OperatingCurve!AV169</f>
        <v>8.39310798423907</v>
      </c>
      <c r="AI144" s="285" t="n">
        <f aca="false">OperatingCurve!AX169</f>
        <v>-0.6499125</v>
      </c>
      <c r="AJ144" s="285" t="n">
        <f aca="false">OperatingCurve!AW169</f>
        <v>10.3986</v>
      </c>
      <c r="AK144" s="285" t="n">
        <f aca="false">OperatingCurve!AY169</f>
        <v>12.99825</v>
      </c>
      <c r="AM144" s="286" t="n">
        <f aca="false">OperatingCurve!AL169</f>
        <v>46</v>
      </c>
      <c r="AN144" s="287" t="n">
        <f aca="false">OperatingCurve!AM169</f>
        <v>0.4</v>
      </c>
      <c r="BE144" s="284" t="n">
        <f aca="false">OperatingCurve!V169</f>
        <v>41030</v>
      </c>
      <c r="BF144" s="289" t="n">
        <f aca="false">OperatingCurve!AZ169</f>
        <v>0</v>
      </c>
    </row>
    <row r="145" customFormat="false" ht="12.75" hidden="false" customHeight="false" outlineLevel="0" collapsed="false">
      <c r="A145" s="282" t="n">
        <f aca="false">OperatingCurve!D141</f>
        <v>40179</v>
      </c>
      <c r="B145" s="283" t="n">
        <f aca="false">OperatingCurve!H141</f>
        <v>28.784</v>
      </c>
      <c r="C145" s="283" t="n">
        <f aca="false">OperatingCurve!G141</f>
        <v>34.089</v>
      </c>
      <c r="D145" s="283" t="n">
        <f aca="false">OperatingCurve!I141</f>
        <v>60.249</v>
      </c>
      <c r="E145" s="278"/>
      <c r="F145" s="283" t="n">
        <f aca="false">OperatingCurve!M141</f>
        <v>0</v>
      </c>
      <c r="G145" s="283" t="n">
        <f aca="false">OperatingCurve!L141</f>
        <v>0</v>
      </c>
      <c r="H145" s="283" t="n">
        <f aca="false">OperatingCurve!N141</f>
        <v>0</v>
      </c>
      <c r="I145" s="273"/>
      <c r="J145" s="284" t="n">
        <f aca="false">OperatingCurve!V170</f>
        <v>41061</v>
      </c>
      <c r="K145" s="285" t="n">
        <f aca="false">OperatingCurve!Z170</f>
        <v>0</v>
      </c>
      <c r="L145" s="285" t="n">
        <f aca="false">OperatingCurve!Y170</f>
        <v>0</v>
      </c>
      <c r="M145" s="285" t="n">
        <f aca="false">OperatingCurve!AA170</f>
        <v>0</v>
      </c>
      <c r="O145" s="285" t="n">
        <f aca="false">OperatingCurve!AE170</f>
        <v>0</v>
      </c>
      <c r="P145" s="285" t="n">
        <f aca="false">OperatingCurve!AD170</f>
        <v>0</v>
      </c>
      <c r="Q145" s="285" t="n">
        <f aca="false">OperatingCurve!AF170</f>
        <v>0</v>
      </c>
      <c r="S145" s="285" t="n">
        <f aca="false">OperatingCurve!AJ170</f>
        <v>0</v>
      </c>
      <c r="T145" s="285" t="n">
        <f aca="false">OperatingCurve!AI170</f>
        <v>0</v>
      </c>
      <c r="U145" s="285" t="n">
        <f aca="false">OperatingCurve!AK170</f>
        <v>0</v>
      </c>
      <c r="W145" s="285" t="n">
        <f aca="false">OperatingCurve!AO170</f>
        <v>0.153</v>
      </c>
      <c r="X145" s="285" t="n">
        <f aca="false">OperatingCurve!AN170</f>
        <v>0.34</v>
      </c>
      <c r="Y145" s="285" t="n">
        <f aca="false">OperatingCurve!AP170</f>
        <v>0.425</v>
      </c>
      <c r="AA145" s="285" t="n">
        <f aca="false">OperatingCurve!AR170</f>
        <v>0.136</v>
      </c>
      <c r="AB145" s="285" t="n">
        <f aca="false">OperatingCurve!AQ170</f>
        <v>0.34</v>
      </c>
      <c r="AC145" s="285" t="n">
        <f aca="false">OperatingCurve!AS170</f>
        <v>0.255</v>
      </c>
      <c r="AE145" s="285" t="n">
        <f aca="false">OperatingCurve!AU170</f>
        <v>-0.517091326059428</v>
      </c>
      <c r="AF145" s="285" t="n">
        <f aca="false">OperatingCurve!AT170</f>
        <v>8.27346121695085</v>
      </c>
      <c r="AG145" s="285" t="n">
        <f aca="false">OperatingCurve!AV170</f>
        <v>10.3418265211886</v>
      </c>
      <c r="AI145" s="285" t="n">
        <f aca="false">OperatingCurve!AX170</f>
        <v>-0.6087</v>
      </c>
      <c r="AJ145" s="285" t="n">
        <f aca="false">OperatingCurve!AW170</f>
        <v>9.7392</v>
      </c>
      <c r="AK145" s="285" t="n">
        <f aca="false">OperatingCurve!AY170</f>
        <v>12.174</v>
      </c>
      <c r="AM145" s="286" t="n">
        <f aca="false">OperatingCurve!AL170</f>
        <v>46</v>
      </c>
      <c r="AN145" s="287" t="n">
        <f aca="false">OperatingCurve!AM170</f>
        <v>0.4</v>
      </c>
      <c r="BE145" s="284" t="n">
        <f aca="false">OperatingCurve!V170</f>
        <v>41061</v>
      </c>
      <c r="BF145" s="289" t="n">
        <f aca="false">OperatingCurve!AZ170</f>
        <v>0</v>
      </c>
    </row>
    <row r="146" customFormat="false" ht="12.75" hidden="false" customHeight="false" outlineLevel="0" collapsed="false">
      <c r="A146" s="282" t="n">
        <f aca="false">OperatingCurve!D142</f>
        <v>40210</v>
      </c>
      <c r="B146" s="283" t="n">
        <f aca="false">OperatingCurve!H142</f>
        <v>25.625</v>
      </c>
      <c r="C146" s="283" t="n">
        <f aca="false">OperatingCurve!G142</f>
        <v>30.9</v>
      </c>
      <c r="D146" s="283" t="n">
        <f aca="false">OperatingCurve!I142</f>
        <v>56.916</v>
      </c>
      <c r="E146" s="278"/>
      <c r="F146" s="283" t="n">
        <f aca="false">OperatingCurve!M142</f>
        <v>0</v>
      </c>
      <c r="G146" s="283" t="n">
        <f aca="false">OperatingCurve!L142</f>
        <v>0</v>
      </c>
      <c r="H146" s="283" t="n">
        <f aca="false">OperatingCurve!N142</f>
        <v>0</v>
      </c>
      <c r="I146" s="273"/>
      <c r="J146" s="284" t="n">
        <f aca="false">OperatingCurve!V171</f>
        <v>41091</v>
      </c>
      <c r="K146" s="285" t="n">
        <f aca="false">OperatingCurve!Z171</f>
        <v>0</v>
      </c>
      <c r="L146" s="285" t="n">
        <f aca="false">OperatingCurve!Y171</f>
        <v>0</v>
      </c>
      <c r="M146" s="285" t="n">
        <f aca="false">OperatingCurve!AA171</f>
        <v>0</v>
      </c>
      <c r="O146" s="285" t="n">
        <f aca="false">OperatingCurve!AE171</f>
        <v>0</v>
      </c>
      <c r="P146" s="285" t="n">
        <f aca="false">OperatingCurve!AD171</f>
        <v>0</v>
      </c>
      <c r="Q146" s="285" t="n">
        <f aca="false">OperatingCurve!AF171</f>
        <v>0</v>
      </c>
      <c r="S146" s="285" t="n">
        <f aca="false">OperatingCurve!AJ171</f>
        <v>0</v>
      </c>
      <c r="T146" s="285" t="n">
        <f aca="false">OperatingCurve!AI171</f>
        <v>0</v>
      </c>
      <c r="U146" s="285" t="n">
        <f aca="false">OperatingCurve!AK171</f>
        <v>0</v>
      </c>
      <c r="W146" s="285" t="n">
        <f aca="false">OperatingCurve!AO171</f>
        <v>0.153</v>
      </c>
      <c r="X146" s="285" t="n">
        <f aca="false">OperatingCurve!AN171</f>
        <v>0.34</v>
      </c>
      <c r="Y146" s="285" t="n">
        <f aca="false">OperatingCurve!AP171</f>
        <v>0.425</v>
      </c>
      <c r="AA146" s="285" t="n">
        <f aca="false">OperatingCurve!AR171</f>
        <v>0.136</v>
      </c>
      <c r="AB146" s="285" t="n">
        <f aca="false">OperatingCurve!AQ171</f>
        <v>0.34</v>
      </c>
      <c r="AC146" s="285" t="n">
        <f aca="false">OperatingCurve!AS171</f>
        <v>0.255</v>
      </c>
      <c r="AE146" s="285" t="n">
        <f aca="false">OperatingCurve!AU171</f>
        <v>-0.517091326059428</v>
      </c>
      <c r="AF146" s="285" t="n">
        <f aca="false">OperatingCurve!AT171</f>
        <v>8.27346121695085</v>
      </c>
      <c r="AG146" s="285" t="n">
        <f aca="false">OperatingCurve!AV171</f>
        <v>10.3418265211886</v>
      </c>
      <c r="AI146" s="285" t="n">
        <f aca="false">OperatingCurve!AX171</f>
        <v>-0.6087</v>
      </c>
      <c r="AJ146" s="285" t="n">
        <f aca="false">OperatingCurve!AW171</f>
        <v>9.7392</v>
      </c>
      <c r="AK146" s="285" t="n">
        <f aca="false">OperatingCurve!AY171</f>
        <v>12.174</v>
      </c>
      <c r="AM146" s="286" t="n">
        <f aca="false">OperatingCurve!AL171</f>
        <v>47</v>
      </c>
      <c r="AN146" s="287" t="n">
        <f aca="false">OperatingCurve!AM171</f>
        <v>0.4</v>
      </c>
      <c r="BE146" s="284" t="n">
        <f aca="false">OperatingCurve!V171</f>
        <v>41091</v>
      </c>
      <c r="BF146" s="289" t="n">
        <f aca="false">OperatingCurve!AZ171</f>
        <v>0</v>
      </c>
    </row>
    <row r="147" customFormat="false" ht="12.75" hidden="false" customHeight="false" outlineLevel="0" collapsed="false">
      <c r="A147" s="282" t="n">
        <f aca="false">OperatingCurve!D143</f>
        <v>40238</v>
      </c>
      <c r="B147" s="283" t="n">
        <f aca="false">OperatingCurve!H143</f>
        <v>24.576</v>
      </c>
      <c r="C147" s="283" t="n">
        <f aca="false">OperatingCurve!G143</f>
        <v>29.841</v>
      </c>
      <c r="D147" s="283" t="n">
        <f aca="false">OperatingCurve!I143</f>
        <v>55.809</v>
      </c>
      <c r="E147" s="278"/>
      <c r="F147" s="283" t="n">
        <f aca="false">OperatingCurve!M143</f>
        <v>0</v>
      </c>
      <c r="G147" s="283" t="n">
        <f aca="false">OperatingCurve!L143</f>
        <v>0</v>
      </c>
      <c r="H147" s="283" t="n">
        <f aca="false">OperatingCurve!N143</f>
        <v>0</v>
      </c>
      <c r="I147" s="273"/>
      <c r="J147" s="284" t="n">
        <f aca="false">OperatingCurve!V172</f>
        <v>41122</v>
      </c>
      <c r="K147" s="285" t="n">
        <f aca="false">OperatingCurve!Z172</f>
        <v>0</v>
      </c>
      <c r="L147" s="285" t="n">
        <f aca="false">OperatingCurve!Y172</f>
        <v>0</v>
      </c>
      <c r="M147" s="285" t="n">
        <f aca="false">OperatingCurve!AA172</f>
        <v>0</v>
      </c>
      <c r="O147" s="285" t="n">
        <f aca="false">OperatingCurve!AE172</f>
        <v>0</v>
      </c>
      <c r="P147" s="285" t="n">
        <f aca="false">OperatingCurve!AD172</f>
        <v>0</v>
      </c>
      <c r="Q147" s="285" t="n">
        <f aca="false">OperatingCurve!AF172</f>
        <v>0</v>
      </c>
      <c r="S147" s="285" t="n">
        <f aca="false">OperatingCurve!AJ172</f>
        <v>0</v>
      </c>
      <c r="T147" s="285" t="n">
        <f aca="false">OperatingCurve!AI172</f>
        <v>0</v>
      </c>
      <c r="U147" s="285" t="n">
        <f aca="false">OperatingCurve!AK172</f>
        <v>0</v>
      </c>
      <c r="W147" s="285" t="n">
        <f aca="false">OperatingCurve!AO172</f>
        <v>0.153</v>
      </c>
      <c r="X147" s="285" t="n">
        <f aca="false">OperatingCurve!AN172</f>
        <v>0.34</v>
      </c>
      <c r="Y147" s="285" t="n">
        <f aca="false">OperatingCurve!AP172</f>
        <v>0.425</v>
      </c>
      <c r="AA147" s="285" t="n">
        <f aca="false">OperatingCurve!AR172</f>
        <v>0.136</v>
      </c>
      <c r="AB147" s="285" t="n">
        <f aca="false">OperatingCurve!AQ172</f>
        <v>0.34</v>
      </c>
      <c r="AC147" s="285" t="n">
        <f aca="false">OperatingCurve!AS172</f>
        <v>0.255</v>
      </c>
      <c r="AE147" s="285" t="n">
        <f aca="false">OperatingCurve!AU172</f>
        <v>-0.552146177512111</v>
      </c>
      <c r="AF147" s="285" t="n">
        <f aca="false">OperatingCurve!AT172</f>
        <v>8.83433884019377</v>
      </c>
      <c r="AG147" s="285" t="n">
        <f aca="false">OperatingCurve!AV172</f>
        <v>11.0429235502422</v>
      </c>
      <c r="AI147" s="285" t="n">
        <f aca="false">OperatingCurve!AX172</f>
        <v>-0.596925</v>
      </c>
      <c r="AJ147" s="285" t="n">
        <f aca="false">OperatingCurve!AW172</f>
        <v>9.5508</v>
      </c>
      <c r="AK147" s="285" t="n">
        <f aca="false">OperatingCurve!AY172</f>
        <v>11.9385</v>
      </c>
      <c r="AM147" s="286" t="n">
        <f aca="false">OperatingCurve!AL172</f>
        <v>47</v>
      </c>
      <c r="AN147" s="287" t="n">
        <f aca="false">OperatingCurve!AM172</f>
        <v>0.4</v>
      </c>
      <c r="BE147" s="284" t="n">
        <f aca="false">OperatingCurve!V172</f>
        <v>41122</v>
      </c>
      <c r="BF147" s="289" t="n">
        <f aca="false">OperatingCurve!AZ172</f>
        <v>0</v>
      </c>
    </row>
    <row r="148" customFormat="false" ht="12.75" hidden="false" customHeight="false" outlineLevel="0" collapsed="false">
      <c r="A148" s="282" t="n">
        <f aca="false">OperatingCurve!D144</f>
        <v>40269</v>
      </c>
      <c r="B148" s="283" t="n">
        <f aca="false">OperatingCurve!H144</f>
        <v>24.576</v>
      </c>
      <c r="C148" s="283" t="n">
        <f aca="false">OperatingCurve!G144</f>
        <v>29.841</v>
      </c>
      <c r="D148" s="283" t="n">
        <f aca="false">OperatingCurve!I144</f>
        <v>55.809</v>
      </c>
      <c r="E148" s="278"/>
      <c r="F148" s="283" t="n">
        <f aca="false">OperatingCurve!M144</f>
        <v>26.14</v>
      </c>
      <c r="G148" s="283" t="n">
        <f aca="false">OperatingCurve!L144</f>
        <v>0</v>
      </c>
      <c r="H148" s="283" t="n">
        <f aca="false">OperatingCurve!N144</f>
        <v>0</v>
      </c>
      <c r="I148" s="273"/>
      <c r="J148" s="284" t="n">
        <f aca="false">OperatingCurve!V173</f>
        <v>41153</v>
      </c>
      <c r="K148" s="285" t="n">
        <f aca="false">OperatingCurve!Z173</f>
        <v>0</v>
      </c>
      <c r="L148" s="285" t="n">
        <f aca="false">OperatingCurve!Y173</f>
        <v>0</v>
      </c>
      <c r="M148" s="285" t="n">
        <f aca="false">OperatingCurve!AA173</f>
        <v>0</v>
      </c>
      <c r="O148" s="285" t="n">
        <f aca="false">OperatingCurve!AE173</f>
        <v>0</v>
      </c>
      <c r="P148" s="285" t="n">
        <f aca="false">OperatingCurve!AD173</f>
        <v>0</v>
      </c>
      <c r="Q148" s="285" t="n">
        <f aca="false">OperatingCurve!AF173</f>
        <v>0</v>
      </c>
      <c r="S148" s="285" t="n">
        <f aca="false">OperatingCurve!AJ173</f>
        <v>0</v>
      </c>
      <c r="T148" s="285" t="n">
        <f aca="false">OperatingCurve!AI173</f>
        <v>0</v>
      </c>
      <c r="U148" s="285" t="n">
        <f aca="false">OperatingCurve!AK173</f>
        <v>0</v>
      </c>
      <c r="W148" s="285" t="n">
        <f aca="false">OperatingCurve!AO173</f>
        <v>0.153</v>
      </c>
      <c r="X148" s="285" t="n">
        <f aca="false">OperatingCurve!AN173</f>
        <v>0.34</v>
      </c>
      <c r="Y148" s="285" t="n">
        <f aca="false">OperatingCurve!AP173</f>
        <v>0.425</v>
      </c>
      <c r="AA148" s="285" t="n">
        <f aca="false">OperatingCurve!AR173</f>
        <v>0.136</v>
      </c>
      <c r="AB148" s="285" t="n">
        <f aca="false">OperatingCurve!AQ173</f>
        <v>0.34</v>
      </c>
      <c r="AC148" s="285" t="n">
        <f aca="false">OperatingCurve!AS173</f>
        <v>0.255</v>
      </c>
      <c r="AE148" s="285" t="n">
        <f aca="false">OperatingCurve!AU173</f>
        <v>-0.455637578174882</v>
      </c>
      <c r="AF148" s="285" t="n">
        <f aca="false">OperatingCurve!AT173</f>
        <v>7.29020125079811</v>
      </c>
      <c r="AG148" s="285" t="n">
        <f aca="false">OperatingCurve!AV173</f>
        <v>9.11275156349763</v>
      </c>
      <c r="AI148" s="285" t="n">
        <f aca="false">OperatingCurve!AX173</f>
        <v>-0.63225</v>
      </c>
      <c r="AJ148" s="285" t="n">
        <f aca="false">OperatingCurve!AW173</f>
        <v>10.116</v>
      </c>
      <c r="AK148" s="285" t="n">
        <f aca="false">OperatingCurve!AY173</f>
        <v>12.645</v>
      </c>
      <c r="AM148" s="286" t="n">
        <f aca="false">OperatingCurve!AL173</f>
        <v>47</v>
      </c>
      <c r="AN148" s="287" t="n">
        <f aca="false">OperatingCurve!AM173</f>
        <v>0.4</v>
      </c>
      <c r="BE148" s="284" t="n">
        <f aca="false">OperatingCurve!V173</f>
        <v>41153</v>
      </c>
      <c r="BF148" s="289" t="n">
        <f aca="false">OperatingCurve!AZ173</f>
        <v>0</v>
      </c>
    </row>
    <row r="149" customFormat="false" ht="12.75" hidden="false" customHeight="false" outlineLevel="0" collapsed="false">
      <c r="A149" s="282" t="n">
        <f aca="false">OperatingCurve!D145</f>
        <v>40299</v>
      </c>
      <c r="B149" s="283" t="n">
        <f aca="false">OperatingCurve!H145</f>
        <v>27.729</v>
      </c>
      <c r="C149" s="283" t="n">
        <f aca="false">OperatingCurve!G145</f>
        <v>33.024</v>
      </c>
      <c r="D149" s="283" t="n">
        <f aca="false">OperatingCurve!I145</f>
        <v>59.136</v>
      </c>
      <c r="E149" s="278"/>
      <c r="F149" s="283" t="n">
        <f aca="false">OperatingCurve!M145</f>
        <v>0</v>
      </c>
      <c r="G149" s="283" t="n">
        <f aca="false">OperatingCurve!L145</f>
        <v>0</v>
      </c>
      <c r="H149" s="283" t="n">
        <f aca="false">OperatingCurve!N145</f>
        <v>0</v>
      </c>
      <c r="I149" s="273"/>
      <c r="J149" s="284" t="n">
        <f aca="false">OperatingCurve!V174</f>
        <v>41183</v>
      </c>
      <c r="K149" s="285" t="n">
        <f aca="false">OperatingCurve!Z174</f>
        <v>0</v>
      </c>
      <c r="L149" s="285" t="n">
        <f aca="false">OperatingCurve!Y174</f>
        <v>0</v>
      </c>
      <c r="M149" s="285" t="n">
        <f aca="false">OperatingCurve!AA174</f>
        <v>0</v>
      </c>
      <c r="O149" s="285" t="n">
        <f aca="false">OperatingCurve!AE174</f>
        <v>0</v>
      </c>
      <c r="P149" s="285" t="n">
        <f aca="false">OperatingCurve!AD174</f>
        <v>0</v>
      </c>
      <c r="Q149" s="285" t="n">
        <f aca="false">OperatingCurve!AF174</f>
        <v>0</v>
      </c>
      <c r="S149" s="285" t="n">
        <f aca="false">OperatingCurve!AJ174</f>
        <v>0</v>
      </c>
      <c r="T149" s="285" t="n">
        <f aca="false">OperatingCurve!AI174</f>
        <v>0</v>
      </c>
      <c r="U149" s="285" t="n">
        <f aca="false">OperatingCurve!AK174</f>
        <v>0</v>
      </c>
      <c r="W149" s="285" t="n">
        <f aca="false">OperatingCurve!AO174</f>
        <v>0.153</v>
      </c>
      <c r="X149" s="285" t="n">
        <f aca="false">OperatingCurve!AN174</f>
        <v>0.34</v>
      </c>
      <c r="Y149" s="285" t="n">
        <f aca="false">OperatingCurve!AP174</f>
        <v>0.425</v>
      </c>
      <c r="AA149" s="285" t="n">
        <f aca="false">OperatingCurve!AR174</f>
        <v>0.136</v>
      </c>
      <c r="AB149" s="285" t="n">
        <f aca="false">OperatingCurve!AQ174</f>
        <v>0.34</v>
      </c>
      <c r="AC149" s="285" t="n">
        <f aca="false">OperatingCurve!AS174</f>
        <v>0.255</v>
      </c>
      <c r="AE149" s="285" t="n">
        <f aca="false">OperatingCurve!AU174</f>
        <v>-0.484735205974953</v>
      </c>
      <c r="AF149" s="285" t="n">
        <f aca="false">OperatingCurve!AT174</f>
        <v>7.75576329559925</v>
      </c>
      <c r="AG149" s="285" t="n">
        <f aca="false">OperatingCurve!AV174</f>
        <v>9.69470411949907</v>
      </c>
      <c r="AI149" s="285" t="n">
        <f aca="false">OperatingCurve!AX174</f>
        <v>-0.620475</v>
      </c>
      <c r="AJ149" s="285" t="n">
        <f aca="false">OperatingCurve!AW174</f>
        <v>9.9276</v>
      </c>
      <c r="AK149" s="285" t="n">
        <f aca="false">OperatingCurve!AY174</f>
        <v>12.4095</v>
      </c>
      <c r="AM149" s="286" t="n">
        <f aca="false">OperatingCurve!AL174</f>
        <v>48</v>
      </c>
      <c r="AN149" s="287" t="n">
        <f aca="false">OperatingCurve!AM174</f>
        <v>0.4</v>
      </c>
      <c r="BE149" s="284" t="n">
        <f aca="false">OperatingCurve!V174</f>
        <v>41183</v>
      </c>
      <c r="BF149" s="289" t="n">
        <f aca="false">OperatingCurve!AZ174</f>
        <v>0</v>
      </c>
    </row>
    <row r="150" customFormat="false" ht="12.75" hidden="false" customHeight="false" outlineLevel="0" collapsed="false">
      <c r="A150" s="282" t="n">
        <f aca="false">OperatingCurve!D146</f>
        <v>40330</v>
      </c>
      <c r="B150" s="283" t="n">
        <f aca="false">OperatingCurve!H146</f>
        <v>35.156</v>
      </c>
      <c r="C150" s="283" t="n">
        <f aca="false">OperatingCurve!G146</f>
        <v>40.521</v>
      </c>
      <c r="D150" s="283" t="n">
        <f aca="false">OperatingCurve!I146</f>
        <v>66.969</v>
      </c>
      <c r="E150" s="278"/>
      <c r="F150" s="283" t="n">
        <f aca="false">OperatingCurve!M146</f>
        <v>0</v>
      </c>
      <c r="G150" s="283" t="n">
        <f aca="false">OperatingCurve!L146</f>
        <v>0</v>
      </c>
      <c r="H150" s="283" t="n">
        <f aca="false">OperatingCurve!N146</f>
        <v>0</v>
      </c>
      <c r="I150" s="273"/>
      <c r="J150" s="284" t="n">
        <f aca="false">OperatingCurve!V175</f>
        <v>41214</v>
      </c>
      <c r="K150" s="285" t="n">
        <f aca="false">OperatingCurve!Z175</f>
        <v>0</v>
      </c>
      <c r="L150" s="285" t="n">
        <f aca="false">OperatingCurve!Y175</f>
        <v>0</v>
      </c>
      <c r="M150" s="285" t="n">
        <f aca="false">OperatingCurve!AA175</f>
        <v>0</v>
      </c>
      <c r="O150" s="285" t="n">
        <f aca="false">OperatingCurve!AE175</f>
        <v>0</v>
      </c>
      <c r="P150" s="285" t="n">
        <f aca="false">OperatingCurve!AD175</f>
        <v>0</v>
      </c>
      <c r="Q150" s="285" t="n">
        <f aca="false">OperatingCurve!AF175</f>
        <v>0</v>
      </c>
      <c r="S150" s="285" t="n">
        <f aca="false">OperatingCurve!AJ175</f>
        <v>0</v>
      </c>
      <c r="T150" s="285" t="n">
        <f aca="false">OperatingCurve!AI175</f>
        <v>0</v>
      </c>
      <c r="U150" s="285" t="n">
        <f aca="false">OperatingCurve!AK175</f>
        <v>0</v>
      </c>
      <c r="W150" s="285" t="n">
        <f aca="false">OperatingCurve!AO175</f>
        <v>0.153</v>
      </c>
      <c r="X150" s="285" t="n">
        <f aca="false">OperatingCurve!AN175</f>
        <v>0.34</v>
      </c>
      <c r="Y150" s="285" t="n">
        <f aca="false">OperatingCurve!AP175</f>
        <v>0.425</v>
      </c>
      <c r="AA150" s="285" t="n">
        <f aca="false">OperatingCurve!AR175</f>
        <v>0.136</v>
      </c>
      <c r="AB150" s="285" t="n">
        <f aca="false">OperatingCurve!AQ175</f>
        <v>0.34</v>
      </c>
      <c r="AC150" s="285" t="n">
        <f aca="false">OperatingCurve!AS175</f>
        <v>0.255</v>
      </c>
      <c r="AE150" s="285" t="n">
        <f aca="false">OperatingCurve!AU175</f>
        <v>-0.410147476715089</v>
      </c>
      <c r="AF150" s="285" t="n">
        <f aca="false">OperatingCurve!AT175</f>
        <v>6.56235962744143</v>
      </c>
      <c r="AG150" s="285" t="n">
        <f aca="false">OperatingCurve!AV175</f>
        <v>8.20294953430178</v>
      </c>
      <c r="AI150" s="285" t="n">
        <f aca="false">OperatingCurve!AX175</f>
        <v>-0.6558</v>
      </c>
      <c r="AJ150" s="285" t="n">
        <f aca="false">OperatingCurve!AW175</f>
        <v>10.4928</v>
      </c>
      <c r="AK150" s="285" t="n">
        <f aca="false">OperatingCurve!AY175</f>
        <v>13.116</v>
      </c>
      <c r="AM150" s="286" t="n">
        <f aca="false">OperatingCurve!AL175</f>
        <v>48</v>
      </c>
      <c r="AN150" s="287" t="n">
        <f aca="false">OperatingCurve!AM175</f>
        <v>0.4</v>
      </c>
      <c r="BE150" s="284" t="n">
        <f aca="false">OperatingCurve!V175</f>
        <v>41214</v>
      </c>
      <c r="BF150" s="289" t="n">
        <f aca="false">OperatingCurve!AZ175</f>
        <v>0</v>
      </c>
    </row>
    <row r="151" customFormat="false" ht="12.75" hidden="false" customHeight="false" outlineLevel="0" collapsed="false">
      <c r="A151" s="282" t="n">
        <f aca="false">OperatingCurve!D147</f>
        <v>40360</v>
      </c>
      <c r="B151" s="283" t="n">
        <f aca="false">OperatingCurve!H147</f>
        <v>35.156</v>
      </c>
      <c r="C151" s="283" t="n">
        <f aca="false">OperatingCurve!G147</f>
        <v>40.521</v>
      </c>
      <c r="D151" s="283" t="n">
        <f aca="false">OperatingCurve!I147</f>
        <v>66.969</v>
      </c>
      <c r="E151" s="278"/>
      <c r="F151" s="283" t="n">
        <f aca="false">OperatingCurve!M147</f>
        <v>0</v>
      </c>
      <c r="G151" s="283" t="n">
        <f aca="false">OperatingCurve!L147</f>
        <v>0</v>
      </c>
      <c r="H151" s="283" t="n">
        <f aca="false">OperatingCurve!N147</f>
        <v>0</v>
      </c>
      <c r="I151" s="273"/>
      <c r="J151" s="284" t="n">
        <f aca="false">OperatingCurve!V176</f>
        <v>41244</v>
      </c>
      <c r="K151" s="285" t="n">
        <f aca="false">OperatingCurve!Z176</f>
        <v>0</v>
      </c>
      <c r="L151" s="285" t="n">
        <f aca="false">OperatingCurve!Y176</f>
        <v>0</v>
      </c>
      <c r="M151" s="285" t="n">
        <f aca="false">OperatingCurve!AA176</f>
        <v>0</v>
      </c>
      <c r="O151" s="285" t="n">
        <f aca="false">OperatingCurve!AE176</f>
        <v>0</v>
      </c>
      <c r="P151" s="285" t="n">
        <f aca="false">OperatingCurve!AD176</f>
        <v>0</v>
      </c>
      <c r="Q151" s="285" t="n">
        <f aca="false">OperatingCurve!AF176</f>
        <v>0</v>
      </c>
      <c r="S151" s="285" t="n">
        <f aca="false">OperatingCurve!AJ176</f>
        <v>0</v>
      </c>
      <c r="T151" s="285" t="n">
        <f aca="false">OperatingCurve!AI176</f>
        <v>0</v>
      </c>
      <c r="U151" s="285" t="n">
        <f aca="false">OperatingCurve!AK176</f>
        <v>0</v>
      </c>
      <c r="W151" s="285" t="n">
        <f aca="false">OperatingCurve!AO176</f>
        <v>0.153</v>
      </c>
      <c r="X151" s="285" t="n">
        <f aca="false">OperatingCurve!AN176</f>
        <v>0.34</v>
      </c>
      <c r="Y151" s="285" t="n">
        <f aca="false">OperatingCurve!AP176</f>
        <v>0.425</v>
      </c>
      <c r="AA151" s="285" t="n">
        <f aca="false">OperatingCurve!AR176</f>
        <v>0.136</v>
      </c>
      <c r="AB151" s="285" t="n">
        <f aca="false">OperatingCurve!AQ176</f>
        <v>0.34</v>
      </c>
      <c r="AC151" s="285" t="n">
        <f aca="false">OperatingCurve!AS176</f>
        <v>0.255</v>
      </c>
      <c r="AE151" s="285" t="n">
        <f aca="false">OperatingCurve!AU176</f>
        <v>-0.419655399211954</v>
      </c>
      <c r="AF151" s="285" t="n">
        <f aca="false">OperatingCurve!AT176</f>
        <v>6.71448638739126</v>
      </c>
      <c r="AG151" s="285" t="n">
        <f aca="false">OperatingCurve!AV176</f>
        <v>8.39310798423907</v>
      </c>
      <c r="AI151" s="285" t="n">
        <f aca="false">OperatingCurve!AX176</f>
        <v>-0.667575</v>
      </c>
      <c r="AJ151" s="285" t="n">
        <f aca="false">OperatingCurve!AW176</f>
        <v>10.6812</v>
      </c>
      <c r="AK151" s="285" t="n">
        <f aca="false">OperatingCurve!AY176</f>
        <v>13.3515</v>
      </c>
      <c r="AM151" s="286" t="n">
        <f aca="false">OperatingCurve!AL176</f>
        <v>48</v>
      </c>
      <c r="AN151" s="287" t="n">
        <f aca="false">OperatingCurve!AM176</f>
        <v>0.4</v>
      </c>
      <c r="BE151" s="284" t="n">
        <f aca="false">OperatingCurve!V176</f>
        <v>41244</v>
      </c>
      <c r="BF151" s="289" t="n">
        <f aca="false">OperatingCurve!AZ176</f>
        <v>0</v>
      </c>
    </row>
    <row r="152" customFormat="false" ht="12.75" hidden="false" customHeight="false" outlineLevel="0" collapsed="false">
      <c r="A152" s="282" t="n">
        <f aca="false">OperatingCurve!D148</f>
        <v>40391</v>
      </c>
      <c r="B152" s="283" t="n">
        <f aca="false">OperatingCurve!H148</f>
        <v>37.296</v>
      </c>
      <c r="C152" s="283" t="n">
        <f aca="false">OperatingCurve!G148</f>
        <v>42.681</v>
      </c>
      <c r="D152" s="283" t="n">
        <f aca="false">OperatingCurve!I148</f>
        <v>69.225</v>
      </c>
      <c r="E152" s="278"/>
      <c r="F152" s="283" t="n">
        <f aca="false">OperatingCurve!M148</f>
        <v>0</v>
      </c>
      <c r="G152" s="283" t="n">
        <f aca="false">OperatingCurve!L148</f>
        <v>0</v>
      </c>
      <c r="H152" s="283" t="n">
        <f aca="false">OperatingCurve!N148</f>
        <v>0</v>
      </c>
      <c r="I152" s="273"/>
      <c r="J152" s="284" t="n">
        <f aca="false">OperatingCurve!V177</f>
        <v>41275</v>
      </c>
      <c r="K152" s="285" t="n">
        <f aca="false">OperatingCurve!Z177</f>
        <v>0</v>
      </c>
      <c r="L152" s="285" t="n">
        <f aca="false">OperatingCurve!Y177</f>
        <v>0</v>
      </c>
      <c r="M152" s="285" t="n">
        <f aca="false">OperatingCurve!AA177</f>
        <v>0</v>
      </c>
      <c r="O152" s="285" t="n">
        <f aca="false">OperatingCurve!AE177</f>
        <v>0</v>
      </c>
      <c r="P152" s="285" t="n">
        <f aca="false">OperatingCurve!AD177</f>
        <v>0</v>
      </c>
      <c r="Q152" s="285" t="n">
        <f aca="false">OperatingCurve!AF177</f>
        <v>0</v>
      </c>
      <c r="S152" s="285" t="n">
        <f aca="false">OperatingCurve!AJ177</f>
        <v>0</v>
      </c>
      <c r="T152" s="285" t="n">
        <f aca="false">OperatingCurve!AI177</f>
        <v>0</v>
      </c>
      <c r="U152" s="285" t="n">
        <f aca="false">OperatingCurve!AK177</f>
        <v>0</v>
      </c>
      <c r="W152" s="285" t="n">
        <f aca="false">OperatingCurve!AO177</f>
        <v>0.153</v>
      </c>
      <c r="X152" s="285" t="n">
        <f aca="false">OperatingCurve!AN177</f>
        <v>0.34</v>
      </c>
      <c r="Y152" s="285" t="n">
        <f aca="false">OperatingCurve!AP177</f>
        <v>0.425</v>
      </c>
      <c r="AA152" s="285" t="n">
        <f aca="false">OperatingCurve!AR177</f>
        <v>0.136</v>
      </c>
      <c r="AB152" s="285" t="n">
        <f aca="false">OperatingCurve!AQ177</f>
        <v>0.34</v>
      </c>
      <c r="AC152" s="285" t="n">
        <f aca="false">OperatingCurve!AS177</f>
        <v>0.255</v>
      </c>
      <c r="AE152" s="285" t="n">
        <f aca="false">OperatingCurve!AU177</f>
        <v>-0.43048858158097</v>
      </c>
      <c r="AF152" s="285" t="n">
        <f aca="false">OperatingCurve!AT177</f>
        <v>6.88781730529552</v>
      </c>
      <c r="AG152" s="285" t="n">
        <f aca="false">OperatingCurve!AV177</f>
        <v>8.60977163161941</v>
      </c>
      <c r="AI152" s="285" t="n">
        <f aca="false">OperatingCurve!AX177</f>
        <v>-0.6558</v>
      </c>
      <c r="AJ152" s="285" t="n">
        <f aca="false">OperatingCurve!AW177</f>
        <v>10.4928</v>
      </c>
      <c r="AK152" s="285" t="n">
        <f aca="false">OperatingCurve!AY177</f>
        <v>13.116</v>
      </c>
      <c r="AM152" s="286" t="n">
        <f aca="false">OperatingCurve!AL177</f>
        <v>49</v>
      </c>
      <c r="AN152" s="287" t="n">
        <f aca="false">OperatingCurve!AM177</f>
        <v>0.4</v>
      </c>
      <c r="BE152" s="284" t="n">
        <f aca="false">OperatingCurve!V177</f>
        <v>41275</v>
      </c>
      <c r="BF152" s="289" t="n">
        <f aca="false">OperatingCurve!AZ177</f>
        <v>0</v>
      </c>
    </row>
    <row r="153" customFormat="false" ht="12.75" hidden="false" customHeight="false" outlineLevel="0" collapsed="false">
      <c r="A153" s="282" t="n">
        <f aca="false">OperatingCurve!D149</f>
        <v>40422</v>
      </c>
      <c r="B153" s="283" t="n">
        <f aca="false">OperatingCurve!H149</f>
        <v>30.9</v>
      </c>
      <c r="C153" s="283" t="n">
        <f aca="false">OperatingCurve!G149</f>
        <v>36.225</v>
      </c>
      <c r="D153" s="283" t="n">
        <f aca="false">OperatingCurve!I149</f>
        <v>62.481</v>
      </c>
      <c r="E153" s="278"/>
      <c r="F153" s="283" t="n">
        <f aca="false">OperatingCurve!M149</f>
        <v>0</v>
      </c>
      <c r="G153" s="283" t="n">
        <f aca="false">OperatingCurve!L149</f>
        <v>0</v>
      </c>
      <c r="H153" s="283" t="n">
        <f aca="false">OperatingCurve!N149</f>
        <v>0</v>
      </c>
      <c r="I153" s="273"/>
      <c r="J153" s="284" t="n">
        <f aca="false">OperatingCurve!V178</f>
        <v>41306</v>
      </c>
      <c r="K153" s="285" t="n">
        <f aca="false">OperatingCurve!Z178</f>
        <v>0</v>
      </c>
      <c r="L153" s="285" t="n">
        <f aca="false">OperatingCurve!Y178</f>
        <v>0</v>
      </c>
      <c r="M153" s="285" t="n">
        <f aca="false">OperatingCurve!AA178</f>
        <v>0</v>
      </c>
      <c r="O153" s="285" t="n">
        <f aca="false">OperatingCurve!AE178</f>
        <v>0</v>
      </c>
      <c r="P153" s="285" t="n">
        <f aca="false">OperatingCurve!AD178</f>
        <v>0</v>
      </c>
      <c r="Q153" s="285" t="n">
        <f aca="false">OperatingCurve!AF178</f>
        <v>0</v>
      </c>
      <c r="S153" s="285" t="n">
        <f aca="false">OperatingCurve!AJ178</f>
        <v>0</v>
      </c>
      <c r="T153" s="285" t="n">
        <f aca="false">OperatingCurve!AI178</f>
        <v>0</v>
      </c>
      <c r="U153" s="285" t="n">
        <f aca="false">OperatingCurve!AK178</f>
        <v>0</v>
      </c>
      <c r="W153" s="285" t="n">
        <f aca="false">OperatingCurve!AO178</f>
        <v>0.153</v>
      </c>
      <c r="X153" s="285" t="n">
        <f aca="false">OperatingCurve!AN178</f>
        <v>0.34</v>
      </c>
      <c r="Y153" s="285" t="n">
        <f aca="false">OperatingCurve!AP178</f>
        <v>0.425</v>
      </c>
      <c r="AA153" s="285" t="n">
        <f aca="false">OperatingCurve!AR178</f>
        <v>0.136</v>
      </c>
      <c r="AB153" s="285" t="n">
        <f aca="false">OperatingCurve!AQ178</f>
        <v>0.34</v>
      </c>
      <c r="AC153" s="285" t="n">
        <f aca="false">OperatingCurve!AS178</f>
        <v>0.255</v>
      </c>
      <c r="AE153" s="285" t="n">
        <f aca="false">OperatingCurve!AU178</f>
        <v>-0.402107379613998</v>
      </c>
      <c r="AF153" s="285" t="n">
        <f aca="false">OperatingCurve!AT178</f>
        <v>6.43371807382396</v>
      </c>
      <c r="AG153" s="285" t="n">
        <f aca="false">OperatingCurve!AV178</f>
        <v>8.04214759227995</v>
      </c>
      <c r="AI153" s="285" t="n">
        <f aca="false">OperatingCurve!AX178</f>
        <v>-0.6616875</v>
      </c>
      <c r="AJ153" s="285" t="n">
        <f aca="false">OperatingCurve!AW178</f>
        <v>10.587</v>
      </c>
      <c r="AK153" s="285" t="n">
        <f aca="false">OperatingCurve!AY178</f>
        <v>13.23375</v>
      </c>
      <c r="AM153" s="286" t="n">
        <f aca="false">OperatingCurve!AL178</f>
        <v>49</v>
      </c>
      <c r="AN153" s="287" t="n">
        <f aca="false">OperatingCurve!AM178</f>
        <v>0.4</v>
      </c>
      <c r="BE153" s="284" t="n">
        <f aca="false">OperatingCurve!V178</f>
        <v>41306</v>
      </c>
      <c r="BF153" s="289" t="n">
        <f aca="false">OperatingCurve!AZ178</f>
        <v>0</v>
      </c>
    </row>
    <row r="154" customFormat="false" ht="12.75" hidden="false" customHeight="false" outlineLevel="0" collapsed="false">
      <c r="A154" s="282" t="n">
        <f aca="false">OperatingCurve!D150</f>
        <v>40452</v>
      </c>
      <c r="B154" s="283" t="n">
        <f aca="false">OperatingCurve!H150</f>
        <v>33.024</v>
      </c>
      <c r="C154" s="283" t="n">
        <f aca="false">OperatingCurve!G150</f>
        <v>38.369</v>
      </c>
      <c r="D154" s="283" t="n">
        <f aca="false">OperatingCurve!I150</f>
        <v>64.721</v>
      </c>
      <c r="E154" s="278"/>
      <c r="F154" s="283" t="n">
        <f aca="false">OperatingCurve!M150</f>
        <v>0</v>
      </c>
      <c r="G154" s="283" t="n">
        <f aca="false">OperatingCurve!L150</f>
        <v>0</v>
      </c>
      <c r="H154" s="283" t="n">
        <f aca="false">OperatingCurve!N150</f>
        <v>0</v>
      </c>
      <c r="I154" s="273"/>
      <c r="J154" s="284" t="n">
        <f aca="false">OperatingCurve!V179</f>
        <v>41334</v>
      </c>
      <c r="K154" s="285" t="n">
        <f aca="false">OperatingCurve!Z179</f>
        <v>0</v>
      </c>
      <c r="L154" s="285" t="n">
        <f aca="false">OperatingCurve!Y179</f>
        <v>0</v>
      </c>
      <c r="M154" s="285" t="n">
        <f aca="false">OperatingCurve!AA179</f>
        <v>0</v>
      </c>
      <c r="O154" s="285" t="n">
        <f aca="false">OperatingCurve!AE179</f>
        <v>0</v>
      </c>
      <c r="P154" s="285" t="n">
        <f aca="false">OperatingCurve!AD179</f>
        <v>0</v>
      </c>
      <c r="Q154" s="285" t="n">
        <f aca="false">OperatingCurve!AF179</f>
        <v>0</v>
      </c>
      <c r="S154" s="285" t="n">
        <f aca="false">OperatingCurve!AJ179</f>
        <v>0</v>
      </c>
      <c r="T154" s="285" t="n">
        <f aca="false">OperatingCurve!AI179</f>
        <v>0</v>
      </c>
      <c r="U154" s="285" t="n">
        <f aca="false">OperatingCurve!AK179</f>
        <v>0</v>
      </c>
      <c r="W154" s="285" t="n">
        <f aca="false">OperatingCurve!AO179</f>
        <v>0.153</v>
      </c>
      <c r="X154" s="285" t="n">
        <f aca="false">OperatingCurve!AN179</f>
        <v>0.34</v>
      </c>
      <c r="Y154" s="285" t="n">
        <f aca="false">OperatingCurve!AP179</f>
        <v>0.425</v>
      </c>
      <c r="AA154" s="285" t="n">
        <f aca="false">OperatingCurve!AR179</f>
        <v>0.136</v>
      </c>
      <c r="AB154" s="285" t="n">
        <f aca="false">OperatingCurve!AQ179</f>
        <v>0.34</v>
      </c>
      <c r="AC154" s="285" t="n">
        <f aca="false">OperatingCurve!AS179</f>
        <v>0.255</v>
      </c>
      <c r="AE154" s="285" t="n">
        <f aca="false">OperatingCurve!AU179</f>
        <v>-0.395696014851329</v>
      </c>
      <c r="AF154" s="285" t="n">
        <f aca="false">OperatingCurve!AT179</f>
        <v>6.33113623762127</v>
      </c>
      <c r="AG154" s="285" t="n">
        <f aca="false">OperatingCurve!AV179</f>
        <v>7.91392029702658</v>
      </c>
      <c r="AI154" s="285" t="n">
        <f aca="false">OperatingCurve!AX179</f>
        <v>-0.667575</v>
      </c>
      <c r="AJ154" s="285" t="n">
        <f aca="false">OperatingCurve!AW179</f>
        <v>10.6812</v>
      </c>
      <c r="AK154" s="285" t="n">
        <f aca="false">OperatingCurve!AY179</f>
        <v>13.3515</v>
      </c>
      <c r="AM154" s="286" t="n">
        <f aca="false">OperatingCurve!AL179</f>
        <v>49</v>
      </c>
      <c r="AN154" s="287" t="n">
        <f aca="false">OperatingCurve!AM179</f>
        <v>0.4</v>
      </c>
      <c r="BE154" s="284" t="n">
        <f aca="false">OperatingCurve!V179</f>
        <v>41334</v>
      </c>
      <c r="BF154" s="289" t="n">
        <f aca="false">OperatingCurve!AZ179</f>
        <v>0</v>
      </c>
    </row>
    <row r="155" customFormat="false" ht="12.75" hidden="false" customHeight="false" outlineLevel="0" collapsed="false">
      <c r="A155" s="282" t="n">
        <f aca="false">OperatingCurve!D151</f>
        <v>40483</v>
      </c>
      <c r="B155" s="283" t="n">
        <f aca="false">OperatingCurve!H151</f>
        <v>26.676</v>
      </c>
      <c r="C155" s="283" t="n">
        <f aca="false">OperatingCurve!G151</f>
        <v>31.961</v>
      </c>
      <c r="D155" s="283" t="n">
        <f aca="false">OperatingCurve!I151</f>
        <v>58.025</v>
      </c>
      <c r="E155" s="278"/>
      <c r="F155" s="283" t="n">
        <f aca="false">OperatingCurve!M151</f>
        <v>0</v>
      </c>
      <c r="G155" s="283" t="n">
        <f aca="false">OperatingCurve!L151</f>
        <v>0</v>
      </c>
      <c r="H155" s="283" t="n">
        <f aca="false">OperatingCurve!N151</f>
        <v>0</v>
      </c>
      <c r="I155" s="273"/>
      <c r="J155" s="284" t="n">
        <f aca="false">OperatingCurve!V180</f>
        <v>41365</v>
      </c>
      <c r="K155" s="285" t="n">
        <f aca="false">OperatingCurve!Z180</f>
        <v>0</v>
      </c>
      <c r="L155" s="285" t="n">
        <f aca="false">OperatingCurve!Y180</f>
        <v>0</v>
      </c>
      <c r="M155" s="285" t="n">
        <f aca="false">OperatingCurve!AA180</f>
        <v>0</v>
      </c>
      <c r="O155" s="285" t="n">
        <f aca="false">OperatingCurve!AE180</f>
        <v>0</v>
      </c>
      <c r="P155" s="285" t="n">
        <f aca="false">OperatingCurve!AD180</f>
        <v>0</v>
      </c>
      <c r="Q155" s="285" t="n">
        <f aca="false">OperatingCurve!AF180</f>
        <v>0</v>
      </c>
      <c r="S155" s="285" t="n">
        <f aca="false">OperatingCurve!AJ180</f>
        <v>0</v>
      </c>
      <c r="T155" s="285" t="n">
        <f aca="false">OperatingCurve!AI180</f>
        <v>0</v>
      </c>
      <c r="U155" s="285" t="n">
        <f aca="false">OperatingCurve!AK180</f>
        <v>0</v>
      </c>
      <c r="W155" s="285" t="n">
        <f aca="false">OperatingCurve!AO180</f>
        <v>0.153</v>
      </c>
      <c r="X155" s="285" t="n">
        <f aca="false">OperatingCurve!AN180</f>
        <v>0.34</v>
      </c>
      <c r="Y155" s="285" t="n">
        <f aca="false">OperatingCurve!AP180</f>
        <v>0.425</v>
      </c>
      <c r="AA155" s="285" t="n">
        <f aca="false">OperatingCurve!AR180</f>
        <v>0.136</v>
      </c>
      <c r="AB155" s="285" t="n">
        <f aca="false">OperatingCurve!AQ180</f>
        <v>0.34</v>
      </c>
      <c r="AC155" s="285" t="n">
        <f aca="false">OperatingCurve!AS180</f>
        <v>0.255</v>
      </c>
      <c r="AE155" s="285" t="n">
        <f aca="false">OperatingCurve!AU180</f>
        <v>-0.395696014851329</v>
      </c>
      <c r="AF155" s="285" t="n">
        <f aca="false">OperatingCurve!AT180</f>
        <v>6.33113623762127</v>
      </c>
      <c r="AG155" s="285" t="n">
        <f aca="false">OperatingCurve!AV180</f>
        <v>7.91392029702658</v>
      </c>
      <c r="AI155" s="285" t="n">
        <f aca="false">OperatingCurve!AX180</f>
        <v>-0.667575</v>
      </c>
      <c r="AJ155" s="285" t="n">
        <f aca="false">OperatingCurve!AW180</f>
        <v>10.6812</v>
      </c>
      <c r="AK155" s="285" t="n">
        <f aca="false">OperatingCurve!AY180</f>
        <v>13.3515</v>
      </c>
      <c r="AM155" s="286" t="n">
        <f aca="false">OperatingCurve!AL180</f>
        <v>50</v>
      </c>
      <c r="AN155" s="287" t="n">
        <f aca="false">OperatingCurve!AM180</f>
        <v>0.4</v>
      </c>
      <c r="BE155" s="284" t="n">
        <f aca="false">OperatingCurve!V180</f>
        <v>41365</v>
      </c>
      <c r="BF155" s="289" t="n">
        <f aca="false">OperatingCurve!AZ180</f>
        <v>0</v>
      </c>
    </row>
    <row r="156" customFormat="false" ht="12.75" hidden="false" customHeight="false" outlineLevel="0" collapsed="false">
      <c r="A156" s="282" t="n">
        <f aca="false">OperatingCurve!D152</f>
        <v>40513</v>
      </c>
      <c r="B156" s="283" t="n">
        <f aca="false">OperatingCurve!H152</f>
        <v>27.729</v>
      </c>
      <c r="C156" s="283" t="n">
        <f aca="false">OperatingCurve!G152</f>
        <v>33.024</v>
      </c>
      <c r="D156" s="283" t="n">
        <f aca="false">OperatingCurve!I152</f>
        <v>59.136</v>
      </c>
      <c r="E156" s="278"/>
      <c r="F156" s="283" t="n">
        <f aca="false">OperatingCurve!M152</f>
        <v>0</v>
      </c>
      <c r="G156" s="283" t="n">
        <f aca="false">OperatingCurve!L152</f>
        <v>0</v>
      </c>
      <c r="H156" s="283" t="n">
        <f aca="false">OperatingCurve!N152</f>
        <v>0</v>
      </c>
      <c r="I156" s="273"/>
      <c r="J156" s="284" t="n">
        <f aca="false">OperatingCurve!V181</f>
        <v>41395</v>
      </c>
      <c r="K156" s="285" t="n">
        <f aca="false">OperatingCurve!Z181</f>
        <v>0</v>
      </c>
      <c r="L156" s="285" t="n">
        <f aca="false">OperatingCurve!Y181</f>
        <v>0</v>
      </c>
      <c r="M156" s="285" t="n">
        <f aca="false">OperatingCurve!AA181</f>
        <v>0</v>
      </c>
      <c r="O156" s="285" t="n">
        <f aca="false">OperatingCurve!AE181</f>
        <v>0</v>
      </c>
      <c r="P156" s="285" t="n">
        <f aca="false">OperatingCurve!AD181</f>
        <v>0</v>
      </c>
      <c r="Q156" s="285" t="n">
        <f aca="false">OperatingCurve!AF181</f>
        <v>0</v>
      </c>
      <c r="S156" s="285" t="n">
        <f aca="false">OperatingCurve!AJ181</f>
        <v>0</v>
      </c>
      <c r="T156" s="285" t="n">
        <f aca="false">OperatingCurve!AI181</f>
        <v>0</v>
      </c>
      <c r="U156" s="285" t="n">
        <f aca="false">OperatingCurve!AK181</f>
        <v>0</v>
      </c>
      <c r="W156" s="285" t="n">
        <f aca="false">OperatingCurve!AO181</f>
        <v>0.153</v>
      </c>
      <c r="X156" s="285" t="n">
        <f aca="false">OperatingCurve!AN181</f>
        <v>0.34</v>
      </c>
      <c r="Y156" s="285" t="n">
        <f aca="false">OperatingCurve!AP181</f>
        <v>0.425</v>
      </c>
      <c r="AA156" s="285" t="n">
        <f aca="false">OperatingCurve!AR181</f>
        <v>0.136</v>
      </c>
      <c r="AB156" s="285" t="n">
        <f aca="false">OperatingCurve!AQ181</f>
        <v>0.34</v>
      </c>
      <c r="AC156" s="285" t="n">
        <f aca="false">OperatingCurve!AS181</f>
        <v>0.255</v>
      </c>
      <c r="AE156" s="285" t="n">
        <f aca="false">OperatingCurve!AU181</f>
        <v>-0.419655399211954</v>
      </c>
      <c r="AF156" s="285" t="n">
        <f aca="false">OperatingCurve!AT181</f>
        <v>6.71448638739126</v>
      </c>
      <c r="AG156" s="285" t="n">
        <f aca="false">OperatingCurve!AV181</f>
        <v>8.39310798423907</v>
      </c>
      <c r="AI156" s="285" t="n">
        <f aca="false">OperatingCurve!AX181</f>
        <v>-0.6499125</v>
      </c>
      <c r="AJ156" s="285" t="n">
        <f aca="false">OperatingCurve!AW181</f>
        <v>10.3986</v>
      </c>
      <c r="AK156" s="285" t="n">
        <f aca="false">OperatingCurve!AY181</f>
        <v>12.99825</v>
      </c>
      <c r="AM156" s="286" t="n">
        <f aca="false">OperatingCurve!AL181</f>
        <v>50</v>
      </c>
      <c r="AN156" s="287" t="n">
        <f aca="false">OperatingCurve!AM181</f>
        <v>0.4</v>
      </c>
      <c r="BE156" s="284" t="n">
        <f aca="false">OperatingCurve!V181</f>
        <v>41395</v>
      </c>
      <c r="BF156" s="289" t="n">
        <f aca="false">OperatingCurve!AZ181</f>
        <v>0</v>
      </c>
    </row>
    <row r="157" customFormat="false" ht="12.75" hidden="false" customHeight="false" outlineLevel="0" collapsed="false">
      <c r="A157" s="282" t="n">
        <f aca="false">OperatingCurve!D153</f>
        <v>40544</v>
      </c>
      <c r="B157" s="283" t="n">
        <f aca="false">OperatingCurve!H153</f>
        <v>28.784</v>
      </c>
      <c r="C157" s="283" t="n">
        <f aca="false">OperatingCurve!G153</f>
        <v>34.089</v>
      </c>
      <c r="D157" s="283" t="n">
        <f aca="false">OperatingCurve!I153</f>
        <v>61.364</v>
      </c>
      <c r="E157" s="278"/>
      <c r="F157" s="283" t="n">
        <f aca="false">OperatingCurve!M153</f>
        <v>0</v>
      </c>
      <c r="G157" s="283" t="n">
        <f aca="false">OperatingCurve!L153</f>
        <v>0</v>
      </c>
      <c r="H157" s="283" t="n">
        <f aca="false">OperatingCurve!N153</f>
        <v>0</v>
      </c>
      <c r="I157" s="273"/>
      <c r="J157" s="284" t="n">
        <f aca="false">OperatingCurve!V182</f>
        <v>41426</v>
      </c>
      <c r="K157" s="285" t="n">
        <f aca="false">OperatingCurve!Z182</f>
        <v>0</v>
      </c>
      <c r="L157" s="285" t="n">
        <f aca="false">OperatingCurve!Y182</f>
        <v>0</v>
      </c>
      <c r="M157" s="285" t="n">
        <f aca="false">OperatingCurve!AA182</f>
        <v>0</v>
      </c>
      <c r="O157" s="285" t="n">
        <f aca="false">OperatingCurve!AE182</f>
        <v>0</v>
      </c>
      <c r="P157" s="285" t="n">
        <f aca="false">OperatingCurve!AD182</f>
        <v>0</v>
      </c>
      <c r="Q157" s="285" t="n">
        <f aca="false">OperatingCurve!AF182</f>
        <v>0</v>
      </c>
      <c r="S157" s="285" t="n">
        <f aca="false">OperatingCurve!AJ182</f>
        <v>0</v>
      </c>
      <c r="T157" s="285" t="n">
        <f aca="false">OperatingCurve!AI182</f>
        <v>0</v>
      </c>
      <c r="U157" s="285" t="n">
        <f aca="false">OperatingCurve!AK182</f>
        <v>0</v>
      </c>
      <c r="W157" s="285" t="n">
        <f aca="false">OperatingCurve!AO182</f>
        <v>0.153</v>
      </c>
      <c r="X157" s="285" t="n">
        <f aca="false">OperatingCurve!AN182</f>
        <v>0.34</v>
      </c>
      <c r="Y157" s="285" t="n">
        <f aca="false">OperatingCurve!AP182</f>
        <v>0.425</v>
      </c>
      <c r="AA157" s="285" t="n">
        <f aca="false">OperatingCurve!AR182</f>
        <v>0.136</v>
      </c>
      <c r="AB157" s="285" t="n">
        <f aca="false">OperatingCurve!AQ182</f>
        <v>0.34</v>
      </c>
      <c r="AC157" s="285" t="n">
        <f aca="false">OperatingCurve!AS182</f>
        <v>0.255</v>
      </c>
      <c r="AE157" s="285" t="n">
        <f aca="false">OperatingCurve!AU182</f>
        <v>-0.517091326059428</v>
      </c>
      <c r="AF157" s="285" t="n">
        <f aca="false">OperatingCurve!AT182</f>
        <v>8.27346121695085</v>
      </c>
      <c r="AG157" s="285" t="n">
        <f aca="false">OperatingCurve!AV182</f>
        <v>10.3418265211886</v>
      </c>
      <c r="AI157" s="285" t="n">
        <f aca="false">OperatingCurve!AX182</f>
        <v>-0.6087</v>
      </c>
      <c r="AJ157" s="285" t="n">
        <f aca="false">OperatingCurve!AW182</f>
        <v>9.7392</v>
      </c>
      <c r="AK157" s="285" t="n">
        <f aca="false">OperatingCurve!AY182</f>
        <v>12.174</v>
      </c>
      <c r="AM157" s="286" t="n">
        <f aca="false">OperatingCurve!AL182</f>
        <v>50</v>
      </c>
      <c r="AN157" s="287" t="n">
        <f aca="false">OperatingCurve!AM182</f>
        <v>0.4</v>
      </c>
      <c r="BE157" s="284" t="n">
        <f aca="false">OperatingCurve!V182</f>
        <v>41426</v>
      </c>
      <c r="BF157" s="289" t="n">
        <f aca="false">OperatingCurve!AZ182</f>
        <v>0</v>
      </c>
    </row>
    <row r="158" customFormat="false" ht="12.75" hidden="false" customHeight="false" outlineLevel="0" collapsed="false">
      <c r="A158" s="282" t="n">
        <f aca="false">OperatingCurve!D154</f>
        <v>40575</v>
      </c>
      <c r="B158" s="283" t="n">
        <f aca="false">OperatingCurve!H154</f>
        <v>25.625</v>
      </c>
      <c r="C158" s="283" t="n">
        <f aca="false">OperatingCurve!G154</f>
        <v>30.9</v>
      </c>
      <c r="D158" s="283" t="n">
        <f aca="false">OperatingCurve!I154</f>
        <v>58.025</v>
      </c>
      <c r="E158" s="278"/>
      <c r="F158" s="283" t="n">
        <f aca="false">OperatingCurve!M154</f>
        <v>0</v>
      </c>
      <c r="G158" s="283" t="n">
        <f aca="false">OperatingCurve!L154</f>
        <v>0</v>
      </c>
      <c r="H158" s="283" t="n">
        <f aca="false">OperatingCurve!N154</f>
        <v>0</v>
      </c>
      <c r="I158" s="273"/>
      <c r="J158" s="284" t="n">
        <f aca="false">OperatingCurve!V183</f>
        <v>41456</v>
      </c>
      <c r="K158" s="285" t="n">
        <f aca="false">OperatingCurve!Z183</f>
        <v>0</v>
      </c>
      <c r="L158" s="285" t="n">
        <f aca="false">OperatingCurve!Y183</f>
        <v>0</v>
      </c>
      <c r="M158" s="285" t="n">
        <f aca="false">OperatingCurve!AA183</f>
        <v>0</v>
      </c>
      <c r="O158" s="285" t="n">
        <f aca="false">OperatingCurve!AE183</f>
        <v>0</v>
      </c>
      <c r="P158" s="285" t="n">
        <f aca="false">OperatingCurve!AD183</f>
        <v>0</v>
      </c>
      <c r="Q158" s="285" t="n">
        <f aca="false">OperatingCurve!AF183</f>
        <v>0</v>
      </c>
      <c r="S158" s="285" t="n">
        <f aca="false">OperatingCurve!AJ183</f>
        <v>0</v>
      </c>
      <c r="T158" s="285" t="n">
        <f aca="false">OperatingCurve!AI183</f>
        <v>0</v>
      </c>
      <c r="U158" s="285" t="n">
        <f aca="false">OperatingCurve!AK183</f>
        <v>0</v>
      </c>
      <c r="W158" s="285" t="n">
        <f aca="false">OperatingCurve!AO183</f>
        <v>0.153</v>
      </c>
      <c r="X158" s="285" t="n">
        <f aca="false">OperatingCurve!AN183</f>
        <v>0.34</v>
      </c>
      <c r="Y158" s="285" t="n">
        <f aca="false">OperatingCurve!AP183</f>
        <v>0.425</v>
      </c>
      <c r="AA158" s="285" t="n">
        <f aca="false">OperatingCurve!AR183</f>
        <v>0.136</v>
      </c>
      <c r="AB158" s="285" t="n">
        <f aca="false">OperatingCurve!AQ183</f>
        <v>0.34</v>
      </c>
      <c r="AC158" s="285" t="n">
        <f aca="false">OperatingCurve!AS183</f>
        <v>0.255</v>
      </c>
      <c r="AE158" s="285" t="n">
        <f aca="false">OperatingCurve!AU183</f>
        <v>-0.517091326059428</v>
      </c>
      <c r="AF158" s="285" t="n">
        <f aca="false">OperatingCurve!AT183</f>
        <v>8.27346121695085</v>
      </c>
      <c r="AG158" s="285" t="n">
        <f aca="false">OperatingCurve!AV183</f>
        <v>10.3418265211886</v>
      </c>
      <c r="AI158" s="285" t="n">
        <f aca="false">OperatingCurve!AX183</f>
        <v>-0.6087</v>
      </c>
      <c r="AJ158" s="285" t="n">
        <f aca="false">OperatingCurve!AW183</f>
        <v>9.7392</v>
      </c>
      <c r="AK158" s="285" t="n">
        <f aca="false">OperatingCurve!AY183</f>
        <v>12.174</v>
      </c>
      <c r="AM158" s="286" t="n">
        <f aca="false">OperatingCurve!AL183</f>
        <v>51</v>
      </c>
      <c r="AN158" s="287" t="n">
        <f aca="false">OperatingCurve!AM183</f>
        <v>0.4</v>
      </c>
      <c r="BE158" s="284" t="n">
        <f aca="false">OperatingCurve!V183</f>
        <v>41456</v>
      </c>
      <c r="BF158" s="289" t="n">
        <f aca="false">OperatingCurve!AZ183</f>
        <v>0</v>
      </c>
    </row>
    <row r="159" customFormat="false" ht="12.75" hidden="false" customHeight="false" outlineLevel="0" collapsed="false">
      <c r="A159" s="282" t="n">
        <f aca="false">OperatingCurve!D155</f>
        <v>40603</v>
      </c>
      <c r="B159" s="283" t="n">
        <f aca="false">OperatingCurve!H155</f>
        <v>24.576</v>
      </c>
      <c r="C159" s="283" t="n">
        <f aca="false">OperatingCurve!G155</f>
        <v>29.841</v>
      </c>
      <c r="D159" s="283" t="n">
        <f aca="false">OperatingCurve!I155</f>
        <v>56.916</v>
      </c>
      <c r="E159" s="278"/>
      <c r="F159" s="283" t="n">
        <f aca="false">OperatingCurve!M155</f>
        <v>0</v>
      </c>
      <c r="G159" s="283" t="n">
        <f aca="false">OperatingCurve!L155</f>
        <v>0</v>
      </c>
      <c r="H159" s="283" t="n">
        <f aca="false">OperatingCurve!N155</f>
        <v>0</v>
      </c>
      <c r="I159" s="273"/>
      <c r="J159" s="284" t="n">
        <f aca="false">OperatingCurve!V184</f>
        <v>41487</v>
      </c>
      <c r="K159" s="285" t="n">
        <f aca="false">OperatingCurve!Z184</f>
        <v>0</v>
      </c>
      <c r="L159" s="285" t="n">
        <f aca="false">OperatingCurve!Y184</f>
        <v>0</v>
      </c>
      <c r="M159" s="285" t="n">
        <f aca="false">OperatingCurve!AA184</f>
        <v>0</v>
      </c>
      <c r="O159" s="285" t="n">
        <f aca="false">OperatingCurve!AE184</f>
        <v>0</v>
      </c>
      <c r="P159" s="285" t="n">
        <f aca="false">OperatingCurve!AD184</f>
        <v>0</v>
      </c>
      <c r="Q159" s="285" t="n">
        <f aca="false">OperatingCurve!AF184</f>
        <v>0</v>
      </c>
      <c r="S159" s="285" t="n">
        <f aca="false">OperatingCurve!AJ184</f>
        <v>0</v>
      </c>
      <c r="T159" s="285" t="n">
        <f aca="false">OperatingCurve!AI184</f>
        <v>0</v>
      </c>
      <c r="U159" s="285" t="n">
        <f aca="false">OperatingCurve!AK184</f>
        <v>0</v>
      </c>
      <c r="W159" s="285" t="n">
        <f aca="false">OperatingCurve!AO184</f>
        <v>0.153</v>
      </c>
      <c r="X159" s="285" t="n">
        <f aca="false">OperatingCurve!AN184</f>
        <v>0.34</v>
      </c>
      <c r="Y159" s="285" t="n">
        <f aca="false">OperatingCurve!AP184</f>
        <v>0.425</v>
      </c>
      <c r="AA159" s="285" t="n">
        <f aca="false">OperatingCurve!AR184</f>
        <v>0.136</v>
      </c>
      <c r="AB159" s="285" t="n">
        <f aca="false">OperatingCurve!AQ184</f>
        <v>0.34</v>
      </c>
      <c r="AC159" s="285" t="n">
        <f aca="false">OperatingCurve!AS184</f>
        <v>0.255</v>
      </c>
      <c r="AE159" s="285" t="n">
        <f aca="false">OperatingCurve!AU184</f>
        <v>-0.552146177512111</v>
      </c>
      <c r="AF159" s="285" t="n">
        <f aca="false">OperatingCurve!AT184</f>
        <v>8.83433884019377</v>
      </c>
      <c r="AG159" s="285" t="n">
        <f aca="false">OperatingCurve!AV184</f>
        <v>11.0429235502422</v>
      </c>
      <c r="AI159" s="285" t="n">
        <f aca="false">OperatingCurve!AX184</f>
        <v>-0.596925</v>
      </c>
      <c r="AJ159" s="285" t="n">
        <f aca="false">OperatingCurve!AW184</f>
        <v>9.5508</v>
      </c>
      <c r="AK159" s="285" t="n">
        <f aca="false">OperatingCurve!AY184</f>
        <v>11.9385</v>
      </c>
      <c r="AM159" s="286" t="n">
        <f aca="false">OperatingCurve!AL184</f>
        <v>51</v>
      </c>
      <c r="AN159" s="287" t="n">
        <f aca="false">OperatingCurve!AM184</f>
        <v>0.4</v>
      </c>
      <c r="BE159" s="284" t="n">
        <f aca="false">OperatingCurve!V184</f>
        <v>41487</v>
      </c>
      <c r="BF159" s="289" t="n">
        <f aca="false">OperatingCurve!AZ184</f>
        <v>0</v>
      </c>
    </row>
    <row r="160" customFormat="false" ht="12.75" hidden="false" customHeight="false" outlineLevel="0" collapsed="false">
      <c r="A160" s="282" t="n">
        <f aca="false">OperatingCurve!D156</f>
        <v>40634</v>
      </c>
      <c r="B160" s="283" t="n">
        <f aca="false">OperatingCurve!H156</f>
        <v>24.576</v>
      </c>
      <c r="C160" s="283" t="n">
        <f aca="false">OperatingCurve!G156</f>
        <v>29.841</v>
      </c>
      <c r="D160" s="283" t="n">
        <f aca="false">OperatingCurve!I156</f>
        <v>56.916</v>
      </c>
      <c r="E160" s="278"/>
      <c r="F160" s="283" t="n">
        <f aca="false">OperatingCurve!M156</f>
        <v>0</v>
      </c>
      <c r="G160" s="283" t="n">
        <f aca="false">OperatingCurve!L156</f>
        <v>0</v>
      </c>
      <c r="H160" s="283" t="n">
        <f aca="false">OperatingCurve!N156</f>
        <v>0</v>
      </c>
      <c r="I160" s="273"/>
      <c r="J160" s="284" t="n">
        <f aca="false">OperatingCurve!V185</f>
        <v>41518</v>
      </c>
      <c r="K160" s="285" t="n">
        <f aca="false">OperatingCurve!Z185</f>
        <v>0</v>
      </c>
      <c r="L160" s="285" t="n">
        <f aca="false">OperatingCurve!Y185</f>
        <v>0</v>
      </c>
      <c r="M160" s="285" t="n">
        <f aca="false">OperatingCurve!AA185</f>
        <v>0</v>
      </c>
      <c r="O160" s="285" t="n">
        <f aca="false">OperatingCurve!AE185</f>
        <v>0</v>
      </c>
      <c r="P160" s="285" t="n">
        <f aca="false">OperatingCurve!AD185</f>
        <v>0</v>
      </c>
      <c r="Q160" s="285" t="n">
        <f aca="false">OperatingCurve!AF185</f>
        <v>0</v>
      </c>
      <c r="S160" s="285" t="n">
        <f aca="false">OperatingCurve!AJ185</f>
        <v>0</v>
      </c>
      <c r="T160" s="285" t="n">
        <f aca="false">OperatingCurve!AI185</f>
        <v>0</v>
      </c>
      <c r="U160" s="285" t="n">
        <f aca="false">OperatingCurve!AK185</f>
        <v>0</v>
      </c>
      <c r="W160" s="285" t="n">
        <f aca="false">OperatingCurve!AO185</f>
        <v>0.153</v>
      </c>
      <c r="X160" s="285" t="n">
        <f aca="false">OperatingCurve!AN185</f>
        <v>0.34</v>
      </c>
      <c r="Y160" s="285" t="n">
        <f aca="false">OperatingCurve!AP185</f>
        <v>0.425</v>
      </c>
      <c r="AA160" s="285" t="n">
        <f aca="false">OperatingCurve!AR185</f>
        <v>0.136</v>
      </c>
      <c r="AB160" s="285" t="n">
        <f aca="false">OperatingCurve!AQ185</f>
        <v>0.34</v>
      </c>
      <c r="AC160" s="285" t="n">
        <f aca="false">OperatingCurve!AS185</f>
        <v>0.255</v>
      </c>
      <c r="AE160" s="285" t="n">
        <f aca="false">OperatingCurve!AU185</f>
        <v>-0.455637578174882</v>
      </c>
      <c r="AF160" s="285" t="n">
        <f aca="false">OperatingCurve!AT185</f>
        <v>7.29020125079811</v>
      </c>
      <c r="AG160" s="285" t="n">
        <f aca="false">OperatingCurve!AV185</f>
        <v>9.11275156349763</v>
      </c>
      <c r="AI160" s="285" t="n">
        <f aca="false">OperatingCurve!AX185</f>
        <v>-0.63225</v>
      </c>
      <c r="AJ160" s="285" t="n">
        <f aca="false">OperatingCurve!AW185</f>
        <v>10.116</v>
      </c>
      <c r="AK160" s="285" t="n">
        <f aca="false">OperatingCurve!AY185</f>
        <v>12.645</v>
      </c>
      <c r="AM160" s="286" t="n">
        <f aca="false">OperatingCurve!AL185</f>
        <v>51</v>
      </c>
      <c r="AN160" s="287" t="n">
        <f aca="false">OperatingCurve!AM185</f>
        <v>0.4</v>
      </c>
      <c r="BE160" s="284" t="n">
        <f aca="false">OperatingCurve!V185</f>
        <v>41518</v>
      </c>
      <c r="BF160" s="289" t="n">
        <f aca="false">OperatingCurve!AZ185</f>
        <v>0</v>
      </c>
    </row>
    <row r="161" customFormat="false" ht="12.75" hidden="false" customHeight="false" outlineLevel="0" collapsed="false">
      <c r="A161" s="282" t="n">
        <f aca="false">OperatingCurve!D157</f>
        <v>40664</v>
      </c>
      <c r="B161" s="283" t="n">
        <f aca="false">OperatingCurve!H157</f>
        <v>27.729</v>
      </c>
      <c r="C161" s="283" t="n">
        <f aca="false">OperatingCurve!G157</f>
        <v>33.024</v>
      </c>
      <c r="D161" s="283" t="n">
        <f aca="false">OperatingCurve!I157</f>
        <v>60.249</v>
      </c>
      <c r="E161" s="278"/>
      <c r="F161" s="283" t="n">
        <f aca="false">OperatingCurve!M157</f>
        <v>0</v>
      </c>
      <c r="G161" s="283" t="n">
        <f aca="false">OperatingCurve!L157</f>
        <v>0</v>
      </c>
      <c r="H161" s="283" t="n">
        <f aca="false">OperatingCurve!N157</f>
        <v>0</v>
      </c>
      <c r="I161" s="273"/>
      <c r="J161" s="284" t="n">
        <f aca="false">OperatingCurve!V186</f>
        <v>41548</v>
      </c>
      <c r="K161" s="285" t="n">
        <f aca="false">OperatingCurve!Z186</f>
        <v>0</v>
      </c>
      <c r="L161" s="285" t="n">
        <f aca="false">OperatingCurve!Y186</f>
        <v>0</v>
      </c>
      <c r="M161" s="285" t="n">
        <f aca="false">OperatingCurve!AA186</f>
        <v>0</v>
      </c>
      <c r="O161" s="285" t="n">
        <f aca="false">OperatingCurve!AE186</f>
        <v>0</v>
      </c>
      <c r="P161" s="285" t="n">
        <f aca="false">OperatingCurve!AD186</f>
        <v>0</v>
      </c>
      <c r="Q161" s="285" t="n">
        <f aca="false">OperatingCurve!AF186</f>
        <v>0</v>
      </c>
      <c r="S161" s="285" t="n">
        <f aca="false">OperatingCurve!AJ186</f>
        <v>0</v>
      </c>
      <c r="T161" s="285" t="n">
        <f aca="false">OperatingCurve!AI186</f>
        <v>0</v>
      </c>
      <c r="U161" s="285" t="n">
        <f aca="false">OperatingCurve!AK186</f>
        <v>0</v>
      </c>
      <c r="W161" s="285" t="n">
        <f aca="false">OperatingCurve!AO186</f>
        <v>0.153</v>
      </c>
      <c r="X161" s="285" t="n">
        <f aca="false">OperatingCurve!AN186</f>
        <v>0.34</v>
      </c>
      <c r="Y161" s="285" t="n">
        <f aca="false">OperatingCurve!AP186</f>
        <v>0.425</v>
      </c>
      <c r="AA161" s="285" t="n">
        <f aca="false">OperatingCurve!AR186</f>
        <v>0.136</v>
      </c>
      <c r="AB161" s="285" t="n">
        <f aca="false">OperatingCurve!AQ186</f>
        <v>0.34</v>
      </c>
      <c r="AC161" s="285" t="n">
        <f aca="false">OperatingCurve!AS186</f>
        <v>0.255</v>
      </c>
      <c r="AE161" s="285" t="n">
        <f aca="false">OperatingCurve!AU186</f>
        <v>-0.484735205974953</v>
      </c>
      <c r="AF161" s="285" t="n">
        <f aca="false">OperatingCurve!AT186</f>
        <v>7.75576329559925</v>
      </c>
      <c r="AG161" s="285" t="n">
        <f aca="false">OperatingCurve!AV186</f>
        <v>9.69470411949907</v>
      </c>
      <c r="AI161" s="285" t="n">
        <f aca="false">OperatingCurve!AX186</f>
        <v>-0.620475</v>
      </c>
      <c r="AJ161" s="285" t="n">
        <f aca="false">OperatingCurve!AW186</f>
        <v>9.9276</v>
      </c>
      <c r="AK161" s="285" t="n">
        <f aca="false">OperatingCurve!AY186</f>
        <v>12.4095</v>
      </c>
      <c r="AM161" s="286" t="n">
        <f aca="false">OperatingCurve!AL186</f>
        <v>52</v>
      </c>
      <c r="AN161" s="287" t="n">
        <f aca="false">OperatingCurve!AM186</f>
        <v>0.4</v>
      </c>
      <c r="BE161" s="284" t="n">
        <f aca="false">OperatingCurve!V186</f>
        <v>41548</v>
      </c>
      <c r="BF161" s="289" t="n">
        <f aca="false">OperatingCurve!AZ186</f>
        <v>0</v>
      </c>
    </row>
    <row r="162" customFormat="false" ht="12.75" hidden="false" customHeight="false" outlineLevel="0" collapsed="false">
      <c r="A162" s="282" t="n">
        <f aca="false">OperatingCurve!D158</f>
        <v>40695</v>
      </c>
      <c r="B162" s="283" t="n">
        <f aca="false">OperatingCurve!H158</f>
        <v>35.156</v>
      </c>
      <c r="C162" s="283" t="n">
        <f aca="false">OperatingCurve!G158</f>
        <v>40.521</v>
      </c>
      <c r="D162" s="283" t="n">
        <f aca="false">OperatingCurve!I158</f>
        <v>68.096</v>
      </c>
      <c r="E162" s="278"/>
      <c r="F162" s="283" t="n">
        <f aca="false">OperatingCurve!M158</f>
        <v>0</v>
      </c>
      <c r="G162" s="283" t="n">
        <f aca="false">OperatingCurve!L158</f>
        <v>0</v>
      </c>
      <c r="H162" s="283" t="n">
        <f aca="false">OperatingCurve!N158</f>
        <v>0</v>
      </c>
      <c r="I162" s="273"/>
      <c r="J162" s="284" t="n">
        <f aca="false">OperatingCurve!V187</f>
        <v>41579</v>
      </c>
      <c r="K162" s="285" t="n">
        <f aca="false">OperatingCurve!Z187</f>
        <v>0</v>
      </c>
      <c r="L162" s="285" t="n">
        <f aca="false">OperatingCurve!Y187</f>
        <v>0</v>
      </c>
      <c r="M162" s="285" t="n">
        <f aca="false">OperatingCurve!AA187</f>
        <v>0</v>
      </c>
      <c r="O162" s="285" t="n">
        <f aca="false">OperatingCurve!AE187</f>
        <v>0</v>
      </c>
      <c r="P162" s="285" t="n">
        <f aca="false">OperatingCurve!AD187</f>
        <v>0</v>
      </c>
      <c r="Q162" s="285" t="n">
        <f aca="false">OperatingCurve!AF187</f>
        <v>0</v>
      </c>
      <c r="S162" s="285" t="n">
        <f aca="false">OperatingCurve!AJ187</f>
        <v>0</v>
      </c>
      <c r="T162" s="285" t="n">
        <f aca="false">OperatingCurve!AI187</f>
        <v>0</v>
      </c>
      <c r="U162" s="285" t="n">
        <f aca="false">OperatingCurve!AK187</f>
        <v>0</v>
      </c>
      <c r="W162" s="285" t="n">
        <f aca="false">OperatingCurve!AO187</f>
        <v>0.153</v>
      </c>
      <c r="X162" s="285" t="n">
        <f aca="false">OperatingCurve!AN187</f>
        <v>0.34</v>
      </c>
      <c r="Y162" s="285" t="n">
        <f aca="false">OperatingCurve!AP187</f>
        <v>0.425</v>
      </c>
      <c r="AA162" s="285" t="n">
        <f aca="false">OperatingCurve!AR187</f>
        <v>0.136</v>
      </c>
      <c r="AB162" s="285" t="n">
        <f aca="false">OperatingCurve!AQ187</f>
        <v>0.34</v>
      </c>
      <c r="AC162" s="285" t="n">
        <f aca="false">OperatingCurve!AS187</f>
        <v>0.255</v>
      </c>
      <c r="AE162" s="285" t="n">
        <f aca="false">OperatingCurve!AU187</f>
        <v>-0.410147476715089</v>
      </c>
      <c r="AF162" s="285" t="n">
        <f aca="false">OperatingCurve!AT187</f>
        <v>6.56235962744143</v>
      </c>
      <c r="AG162" s="285" t="n">
        <f aca="false">OperatingCurve!AV187</f>
        <v>8.20294953430178</v>
      </c>
      <c r="AI162" s="285" t="n">
        <f aca="false">OperatingCurve!AX187</f>
        <v>-0.6558</v>
      </c>
      <c r="AJ162" s="285" t="n">
        <f aca="false">OperatingCurve!AW187</f>
        <v>10.4928</v>
      </c>
      <c r="AK162" s="285" t="n">
        <f aca="false">OperatingCurve!AY187</f>
        <v>13.116</v>
      </c>
      <c r="AM162" s="286" t="n">
        <f aca="false">OperatingCurve!AL187</f>
        <v>52</v>
      </c>
      <c r="AN162" s="287" t="n">
        <f aca="false">OperatingCurve!AM187</f>
        <v>0.4</v>
      </c>
      <c r="BE162" s="284" t="n">
        <f aca="false">OperatingCurve!V187</f>
        <v>41579</v>
      </c>
      <c r="BF162" s="289" t="n">
        <f aca="false">OperatingCurve!AZ187</f>
        <v>0</v>
      </c>
    </row>
    <row r="163" customFormat="false" ht="12.75" hidden="false" customHeight="false" outlineLevel="0" collapsed="false">
      <c r="A163" s="282" t="n">
        <f aca="false">OperatingCurve!D159</f>
        <v>40725</v>
      </c>
      <c r="B163" s="283" t="n">
        <f aca="false">OperatingCurve!H159</f>
        <v>35.156</v>
      </c>
      <c r="C163" s="283" t="n">
        <f aca="false">OperatingCurve!G159</f>
        <v>40.521</v>
      </c>
      <c r="D163" s="283" t="n">
        <f aca="false">OperatingCurve!I159</f>
        <v>68.096</v>
      </c>
      <c r="E163" s="278"/>
      <c r="F163" s="283" t="n">
        <f aca="false">OperatingCurve!M159</f>
        <v>0</v>
      </c>
      <c r="G163" s="283" t="n">
        <f aca="false">OperatingCurve!L159</f>
        <v>0</v>
      </c>
      <c r="H163" s="283" t="n">
        <f aca="false">OperatingCurve!N159</f>
        <v>0</v>
      </c>
      <c r="I163" s="273"/>
      <c r="J163" s="284" t="n">
        <f aca="false">OperatingCurve!V188</f>
        <v>41609</v>
      </c>
      <c r="K163" s="285" t="n">
        <f aca="false">OperatingCurve!Z188</f>
        <v>0</v>
      </c>
      <c r="L163" s="285" t="n">
        <f aca="false">OperatingCurve!Y188</f>
        <v>0</v>
      </c>
      <c r="M163" s="285" t="n">
        <f aca="false">OperatingCurve!AA188</f>
        <v>0</v>
      </c>
      <c r="O163" s="285" t="n">
        <f aca="false">OperatingCurve!AE188</f>
        <v>0</v>
      </c>
      <c r="P163" s="285" t="n">
        <f aca="false">OperatingCurve!AD188</f>
        <v>0</v>
      </c>
      <c r="Q163" s="285" t="n">
        <f aca="false">OperatingCurve!AF188</f>
        <v>0</v>
      </c>
      <c r="S163" s="285" t="n">
        <f aca="false">OperatingCurve!AJ188</f>
        <v>0</v>
      </c>
      <c r="T163" s="285" t="n">
        <f aca="false">OperatingCurve!AI188</f>
        <v>0</v>
      </c>
      <c r="U163" s="285" t="n">
        <f aca="false">OperatingCurve!AK188</f>
        <v>0</v>
      </c>
      <c r="W163" s="285" t="n">
        <f aca="false">OperatingCurve!AO188</f>
        <v>0.153</v>
      </c>
      <c r="X163" s="285" t="n">
        <f aca="false">OperatingCurve!AN188</f>
        <v>0.34</v>
      </c>
      <c r="Y163" s="285" t="n">
        <f aca="false">OperatingCurve!AP188</f>
        <v>0.425</v>
      </c>
      <c r="AA163" s="285" t="n">
        <f aca="false">OperatingCurve!AR188</f>
        <v>0.136</v>
      </c>
      <c r="AB163" s="285" t="n">
        <f aca="false">OperatingCurve!AQ188</f>
        <v>0.34</v>
      </c>
      <c r="AC163" s="285" t="n">
        <f aca="false">OperatingCurve!AS188</f>
        <v>0.255</v>
      </c>
      <c r="AE163" s="285" t="n">
        <f aca="false">OperatingCurve!AU188</f>
        <v>-0.419655399211954</v>
      </c>
      <c r="AF163" s="285" t="n">
        <f aca="false">OperatingCurve!AT188</f>
        <v>6.71448638739126</v>
      </c>
      <c r="AG163" s="285" t="n">
        <f aca="false">OperatingCurve!AV188</f>
        <v>8.39310798423907</v>
      </c>
      <c r="AI163" s="285" t="n">
        <f aca="false">OperatingCurve!AX188</f>
        <v>-0.667575</v>
      </c>
      <c r="AJ163" s="285" t="n">
        <f aca="false">OperatingCurve!AW188</f>
        <v>10.6812</v>
      </c>
      <c r="AK163" s="285" t="n">
        <f aca="false">OperatingCurve!AY188</f>
        <v>13.3515</v>
      </c>
      <c r="AM163" s="286" t="n">
        <f aca="false">OperatingCurve!AL188</f>
        <v>52</v>
      </c>
      <c r="AN163" s="287" t="n">
        <f aca="false">OperatingCurve!AM188</f>
        <v>0.4</v>
      </c>
      <c r="BE163" s="284" t="n">
        <f aca="false">OperatingCurve!V188</f>
        <v>41609</v>
      </c>
      <c r="BF163" s="289" t="n">
        <f aca="false">OperatingCurve!AZ188</f>
        <v>0</v>
      </c>
    </row>
    <row r="164" customFormat="false" ht="12.75" hidden="false" customHeight="false" outlineLevel="0" collapsed="false">
      <c r="A164" s="282" t="n">
        <f aca="false">OperatingCurve!D160</f>
        <v>40756</v>
      </c>
      <c r="B164" s="283" t="n">
        <f aca="false">OperatingCurve!H160</f>
        <v>37.296</v>
      </c>
      <c r="C164" s="283" t="n">
        <f aca="false">OperatingCurve!G160</f>
        <v>42.681</v>
      </c>
      <c r="D164" s="283" t="n">
        <f aca="false">OperatingCurve!I160</f>
        <v>70.356</v>
      </c>
      <c r="E164" s="278"/>
      <c r="F164" s="283" t="n">
        <f aca="false">OperatingCurve!M160</f>
        <v>0</v>
      </c>
      <c r="G164" s="283" t="n">
        <f aca="false">OperatingCurve!L160</f>
        <v>0</v>
      </c>
      <c r="H164" s="283" t="n">
        <f aca="false">OperatingCurve!N160</f>
        <v>0</v>
      </c>
      <c r="I164" s="273"/>
      <c r="J164" s="284" t="n">
        <f aca="false">OperatingCurve!V189</f>
        <v>41640</v>
      </c>
      <c r="K164" s="285" t="n">
        <f aca="false">OperatingCurve!Z189</f>
        <v>0</v>
      </c>
      <c r="L164" s="285" t="n">
        <f aca="false">OperatingCurve!Y189</f>
        <v>0</v>
      </c>
      <c r="M164" s="285" t="n">
        <f aca="false">OperatingCurve!AA189</f>
        <v>0</v>
      </c>
      <c r="O164" s="285" t="n">
        <f aca="false">OperatingCurve!AE189</f>
        <v>0</v>
      </c>
      <c r="P164" s="285" t="n">
        <f aca="false">OperatingCurve!AD189</f>
        <v>0</v>
      </c>
      <c r="Q164" s="285" t="n">
        <f aca="false">OperatingCurve!AF189</f>
        <v>0</v>
      </c>
      <c r="S164" s="285" t="n">
        <f aca="false">OperatingCurve!AJ189</f>
        <v>0</v>
      </c>
      <c r="T164" s="285" t="n">
        <f aca="false">OperatingCurve!AI189</f>
        <v>0</v>
      </c>
      <c r="U164" s="285" t="n">
        <f aca="false">OperatingCurve!AK189</f>
        <v>0</v>
      </c>
      <c r="W164" s="285" t="n">
        <f aca="false">OperatingCurve!AO189</f>
        <v>0.153</v>
      </c>
      <c r="X164" s="285" t="n">
        <f aca="false">OperatingCurve!AN189</f>
        <v>0.34</v>
      </c>
      <c r="Y164" s="285" t="n">
        <f aca="false">OperatingCurve!AP189</f>
        <v>0.425</v>
      </c>
      <c r="AA164" s="285" t="n">
        <f aca="false">OperatingCurve!AR189</f>
        <v>0.136</v>
      </c>
      <c r="AB164" s="285" t="n">
        <f aca="false">OperatingCurve!AQ189</f>
        <v>0.34</v>
      </c>
      <c r="AC164" s="285" t="n">
        <f aca="false">OperatingCurve!AS189</f>
        <v>0.255</v>
      </c>
      <c r="AE164" s="285" t="n">
        <f aca="false">OperatingCurve!AU189</f>
        <v>-0.43048858158097</v>
      </c>
      <c r="AF164" s="285" t="n">
        <f aca="false">OperatingCurve!AT189</f>
        <v>6.88781730529552</v>
      </c>
      <c r="AG164" s="285" t="n">
        <f aca="false">OperatingCurve!AV189</f>
        <v>8.60977163161941</v>
      </c>
      <c r="AI164" s="285" t="n">
        <f aca="false">OperatingCurve!AX189</f>
        <v>-0.6558</v>
      </c>
      <c r="AJ164" s="285" t="n">
        <f aca="false">OperatingCurve!AW189</f>
        <v>10.4928</v>
      </c>
      <c r="AK164" s="285" t="n">
        <f aca="false">OperatingCurve!AY189</f>
        <v>13.116</v>
      </c>
      <c r="AM164" s="286" t="n">
        <f aca="false">OperatingCurve!AL189</f>
        <v>53</v>
      </c>
      <c r="AN164" s="287" t="n">
        <f aca="false">OperatingCurve!AM189</f>
        <v>0.4</v>
      </c>
      <c r="BE164" s="284" t="n">
        <f aca="false">OperatingCurve!V189</f>
        <v>41640</v>
      </c>
      <c r="BF164" s="289" t="n">
        <f aca="false">OperatingCurve!AZ189</f>
        <v>0</v>
      </c>
    </row>
    <row r="165" customFormat="false" ht="12.75" hidden="false" customHeight="false" outlineLevel="0" collapsed="false">
      <c r="A165" s="282" t="n">
        <f aca="false">OperatingCurve!D161</f>
        <v>40787</v>
      </c>
      <c r="B165" s="283" t="n">
        <f aca="false">OperatingCurve!H161</f>
        <v>30.9</v>
      </c>
      <c r="C165" s="283" t="n">
        <f aca="false">OperatingCurve!G161</f>
        <v>36.225</v>
      </c>
      <c r="D165" s="283" t="n">
        <f aca="false">OperatingCurve!I161</f>
        <v>63.6</v>
      </c>
      <c r="E165" s="278"/>
      <c r="F165" s="283" t="n">
        <f aca="false">OperatingCurve!M161</f>
        <v>0</v>
      </c>
      <c r="G165" s="283" t="n">
        <f aca="false">OperatingCurve!L161</f>
        <v>0</v>
      </c>
      <c r="H165" s="283" t="n">
        <f aca="false">OperatingCurve!N161</f>
        <v>0</v>
      </c>
      <c r="I165" s="273"/>
      <c r="J165" s="284" t="n">
        <f aca="false">OperatingCurve!V190</f>
        <v>41671</v>
      </c>
      <c r="K165" s="285" t="n">
        <f aca="false">OperatingCurve!Z190</f>
        <v>0</v>
      </c>
      <c r="L165" s="285" t="n">
        <f aca="false">OperatingCurve!Y190</f>
        <v>0</v>
      </c>
      <c r="M165" s="285" t="n">
        <f aca="false">OperatingCurve!AA190</f>
        <v>0</v>
      </c>
      <c r="O165" s="285" t="n">
        <f aca="false">OperatingCurve!AE190</f>
        <v>0</v>
      </c>
      <c r="P165" s="285" t="n">
        <f aca="false">OperatingCurve!AD190</f>
        <v>0</v>
      </c>
      <c r="Q165" s="285" t="n">
        <f aca="false">OperatingCurve!AF190</f>
        <v>0</v>
      </c>
      <c r="S165" s="285" t="n">
        <f aca="false">OperatingCurve!AJ190</f>
        <v>0</v>
      </c>
      <c r="T165" s="285" t="n">
        <f aca="false">OperatingCurve!AI190</f>
        <v>0</v>
      </c>
      <c r="U165" s="285" t="n">
        <f aca="false">OperatingCurve!AK190</f>
        <v>0</v>
      </c>
      <c r="W165" s="285" t="n">
        <f aca="false">OperatingCurve!AO190</f>
        <v>0.153</v>
      </c>
      <c r="X165" s="285" t="n">
        <f aca="false">OperatingCurve!AN190</f>
        <v>0.34</v>
      </c>
      <c r="Y165" s="285" t="n">
        <f aca="false">OperatingCurve!AP190</f>
        <v>0.425</v>
      </c>
      <c r="AA165" s="285" t="n">
        <f aca="false">OperatingCurve!AR190</f>
        <v>0.136</v>
      </c>
      <c r="AB165" s="285" t="n">
        <f aca="false">OperatingCurve!AQ190</f>
        <v>0.34</v>
      </c>
      <c r="AC165" s="285" t="n">
        <f aca="false">OperatingCurve!AS190</f>
        <v>0.255</v>
      </c>
      <c r="AE165" s="285" t="n">
        <f aca="false">OperatingCurve!AU190</f>
        <v>-0.402107379613998</v>
      </c>
      <c r="AF165" s="285" t="n">
        <f aca="false">OperatingCurve!AT190</f>
        <v>6.43371807382396</v>
      </c>
      <c r="AG165" s="285" t="n">
        <f aca="false">OperatingCurve!AV190</f>
        <v>8.04214759227995</v>
      </c>
      <c r="AI165" s="285" t="n">
        <f aca="false">OperatingCurve!AX190</f>
        <v>-0.6616875</v>
      </c>
      <c r="AJ165" s="285" t="n">
        <f aca="false">OperatingCurve!AW190</f>
        <v>10.587</v>
      </c>
      <c r="AK165" s="285" t="n">
        <f aca="false">OperatingCurve!AY190</f>
        <v>13.23375</v>
      </c>
      <c r="AM165" s="286" t="n">
        <f aca="false">OperatingCurve!AL190</f>
        <v>53</v>
      </c>
      <c r="AN165" s="287" t="n">
        <f aca="false">OperatingCurve!AM190</f>
        <v>0.4</v>
      </c>
      <c r="BE165" s="284" t="n">
        <f aca="false">OperatingCurve!V190</f>
        <v>41671</v>
      </c>
      <c r="BF165" s="289" t="n">
        <f aca="false">OperatingCurve!AZ190</f>
        <v>0</v>
      </c>
    </row>
    <row r="166" customFormat="false" ht="12.75" hidden="false" customHeight="false" outlineLevel="0" collapsed="false">
      <c r="A166" s="282" t="n">
        <f aca="false">OperatingCurve!D162</f>
        <v>40817</v>
      </c>
      <c r="B166" s="283" t="n">
        <f aca="false">OperatingCurve!H162</f>
        <v>33.024</v>
      </c>
      <c r="C166" s="283" t="n">
        <f aca="false">OperatingCurve!G162</f>
        <v>38.369</v>
      </c>
      <c r="D166" s="283" t="n">
        <f aca="false">OperatingCurve!I162</f>
        <v>65.844</v>
      </c>
      <c r="E166" s="278"/>
      <c r="F166" s="283" t="n">
        <f aca="false">OperatingCurve!M162</f>
        <v>0</v>
      </c>
      <c r="G166" s="283" t="n">
        <f aca="false">OperatingCurve!L162</f>
        <v>0</v>
      </c>
      <c r="H166" s="283" t="n">
        <f aca="false">OperatingCurve!N162</f>
        <v>0</v>
      </c>
      <c r="I166" s="273"/>
      <c r="J166" s="284" t="n">
        <f aca="false">OperatingCurve!V191</f>
        <v>41699</v>
      </c>
      <c r="K166" s="285" t="n">
        <f aca="false">OperatingCurve!Z191</f>
        <v>0</v>
      </c>
      <c r="L166" s="285" t="n">
        <f aca="false">OperatingCurve!Y191</f>
        <v>0</v>
      </c>
      <c r="M166" s="285" t="n">
        <f aca="false">OperatingCurve!AA191</f>
        <v>0</v>
      </c>
      <c r="O166" s="285" t="n">
        <f aca="false">OperatingCurve!AE191</f>
        <v>0</v>
      </c>
      <c r="P166" s="285" t="n">
        <f aca="false">OperatingCurve!AD191</f>
        <v>0</v>
      </c>
      <c r="Q166" s="285" t="n">
        <f aca="false">OperatingCurve!AF191</f>
        <v>0</v>
      </c>
      <c r="S166" s="285" t="n">
        <f aca="false">OperatingCurve!AJ191</f>
        <v>0</v>
      </c>
      <c r="T166" s="285" t="n">
        <f aca="false">OperatingCurve!AI191</f>
        <v>0</v>
      </c>
      <c r="U166" s="285" t="n">
        <f aca="false">OperatingCurve!AK191</f>
        <v>0</v>
      </c>
      <c r="W166" s="285" t="n">
        <f aca="false">OperatingCurve!AO191</f>
        <v>0.153</v>
      </c>
      <c r="X166" s="285" t="n">
        <f aca="false">OperatingCurve!AN191</f>
        <v>0.34</v>
      </c>
      <c r="Y166" s="285" t="n">
        <f aca="false">OperatingCurve!AP191</f>
        <v>0.425</v>
      </c>
      <c r="AA166" s="285" t="n">
        <f aca="false">OperatingCurve!AR191</f>
        <v>0.136</v>
      </c>
      <c r="AB166" s="285" t="n">
        <f aca="false">OperatingCurve!AQ191</f>
        <v>0.34</v>
      </c>
      <c r="AC166" s="285" t="n">
        <f aca="false">OperatingCurve!AS191</f>
        <v>0.255</v>
      </c>
      <c r="AE166" s="285" t="n">
        <f aca="false">OperatingCurve!AU191</f>
        <v>-0.395696014851329</v>
      </c>
      <c r="AF166" s="285" t="n">
        <f aca="false">OperatingCurve!AT191</f>
        <v>6.33113623762127</v>
      </c>
      <c r="AG166" s="285" t="n">
        <f aca="false">OperatingCurve!AV191</f>
        <v>7.91392029702658</v>
      </c>
      <c r="AI166" s="285" t="n">
        <f aca="false">OperatingCurve!AX191</f>
        <v>-0.667575</v>
      </c>
      <c r="AJ166" s="285" t="n">
        <f aca="false">OperatingCurve!AW191</f>
        <v>10.6812</v>
      </c>
      <c r="AK166" s="285" t="n">
        <f aca="false">OperatingCurve!AY191</f>
        <v>13.3515</v>
      </c>
      <c r="AM166" s="286" t="n">
        <f aca="false">OperatingCurve!AL191</f>
        <v>53</v>
      </c>
      <c r="AN166" s="287" t="n">
        <f aca="false">OperatingCurve!AM191</f>
        <v>0.4</v>
      </c>
      <c r="BE166" s="284" t="n">
        <f aca="false">OperatingCurve!V191</f>
        <v>41699</v>
      </c>
      <c r="BF166" s="289" t="n">
        <f aca="false">OperatingCurve!AZ191</f>
        <v>0</v>
      </c>
    </row>
    <row r="167" customFormat="false" ht="12.75" hidden="false" customHeight="false" outlineLevel="0" collapsed="false">
      <c r="A167" s="282" t="n">
        <f aca="false">OperatingCurve!D163</f>
        <v>40848</v>
      </c>
      <c r="B167" s="283" t="n">
        <f aca="false">OperatingCurve!H163</f>
        <v>26.676</v>
      </c>
      <c r="C167" s="283" t="n">
        <f aca="false">OperatingCurve!G163</f>
        <v>31.961</v>
      </c>
      <c r="D167" s="283" t="n">
        <f aca="false">OperatingCurve!I163</f>
        <v>59.136</v>
      </c>
      <c r="E167" s="278"/>
      <c r="F167" s="283" t="n">
        <f aca="false">OperatingCurve!M163</f>
        <v>0</v>
      </c>
      <c r="G167" s="283" t="n">
        <f aca="false">OperatingCurve!L163</f>
        <v>0</v>
      </c>
      <c r="H167" s="283" t="n">
        <f aca="false">OperatingCurve!N163</f>
        <v>0</v>
      </c>
      <c r="I167" s="273"/>
      <c r="J167" s="284" t="n">
        <f aca="false">OperatingCurve!V192</f>
        <v>41730</v>
      </c>
      <c r="K167" s="285" t="n">
        <f aca="false">OperatingCurve!Z192</f>
        <v>0</v>
      </c>
      <c r="L167" s="285" t="n">
        <f aca="false">OperatingCurve!Y192</f>
        <v>0</v>
      </c>
      <c r="M167" s="285" t="n">
        <f aca="false">OperatingCurve!AA192</f>
        <v>0</v>
      </c>
      <c r="O167" s="285" t="n">
        <f aca="false">OperatingCurve!AE192</f>
        <v>0</v>
      </c>
      <c r="P167" s="285" t="n">
        <f aca="false">OperatingCurve!AD192</f>
        <v>0</v>
      </c>
      <c r="Q167" s="285" t="n">
        <f aca="false">OperatingCurve!AF192</f>
        <v>0</v>
      </c>
      <c r="S167" s="285" t="n">
        <f aca="false">OperatingCurve!AJ192</f>
        <v>0</v>
      </c>
      <c r="T167" s="285" t="n">
        <f aca="false">OperatingCurve!AI192</f>
        <v>0</v>
      </c>
      <c r="U167" s="285" t="n">
        <f aca="false">OperatingCurve!AK192</f>
        <v>0</v>
      </c>
      <c r="W167" s="285" t="n">
        <f aca="false">OperatingCurve!AO192</f>
        <v>0.153</v>
      </c>
      <c r="X167" s="285" t="n">
        <f aca="false">OperatingCurve!AN192</f>
        <v>0.34</v>
      </c>
      <c r="Y167" s="285" t="n">
        <f aca="false">OperatingCurve!AP192</f>
        <v>0.425</v>
      </c>
      <c r="AA167" s="285" t="n">
        <f aca="false">OperatingCurve!AR192</f>
        <v>0.136</v>
      </c>
      <c r="AB167" s="285" t="n">
        <f aca="false">OperatingCurve!AQ192</f>
        <v>0.34</v>
      </c>
      <c r="AC167" s="285" t="n">
        <f aca="false">OperatingCurve!AS192</f>
        <v>0.255</v>
      </c>
      <c r="AE167" s="285" t="n">
        <f aca="false">OperatingCurve!AU192</f>
        <v>-0.395696014851329</v>
      </c>
      <c r="AF167" s="285" t="n">
        <f aca="false">OperatingCurve!AT192</f>
        <v>6.33113623762127</v>
      </c>
      <c r="AG167" s="285" t="n">
        <f aca="false">OperatingCurve!AV192</f>
        <v>7.91392029702658</v>
      </c>
      <c r="AI167" s="285" t="n">
        <f aca="false">OperatingCurve!AX192</f>
        <v>-0.667575</v>
      </c>
      <c r="AJ167" s="285" t="n">
        <f aca="false">OperatingCurve!AW192</f>
        <v>10.6812</v>
      </c>
      <c r="AK167" s="285" t="n">
        <f aca="false">OperatingCurve!AY192</f>
        <v>13.3515</v>
      </c>
      <c r="AM167" s="286" t="n">
        <f aca="false">OperatingCurve!AL192</f>
        <v>54</v>
      </c>
      <c r="AN167" s="287" t="n">
        <f aca="false">OperatingCurve!AM192</f>
        <v>0.4</v>
      </c>
      <c r="BE167" s="284" t="n">
        <f aca="false">OperatingCurve!V192</f>
        <v>41730</v>
      </c>
      <c r="BF167" s="289" t="n">
        <f aca="false">OperatingCurve!AZ192</f>
        <v>0</v>
      </c>
    </row>
    <row r="168" customFormat="false" ht="12.75" hidden="false" customHeight="false" outlineLevel="0" collapsed="false">
      <c r="A168" s="282" t="n">
        <f aca="false">OperatingCurve!D164</f>
        <v>40878</v>
      </c>
      <c r="B168" s="283" t="n">
        <f aca="false">OperatingCurve!H164</f>
        <v>27.729</v>
      </c>
      <c r="C168" s="283" t="n">
        <f aca="false">OperatingCurve!G164</f>
        <v>33.024</v>
      </c>
      <c r="D168" s="283" t="n">
        <f aca="false">OperatingCurve!I164</f>
        <v>60.249</v>
      </c>
      <c r="E168" s="278"/>
      <c r="F168" s="283" t="n">
        <f aca="false">OperatingCurve!M164</f>
        <v>0</v>
      </c>
      <c r="G168" s="283" t="n">
        <f aca="false">OperatingCurve!L164</f>
        <v>0</v>
      </c>
      <c r="H168" s="283" t="n">
        <f aca="false">OperatingCurve!N164</f>
        <v>0</v>
      </c>
      <c r="I168" s="273"/>
      <c r="J168" s="284" t="n">
        <f aca="false">OperatingCurve!V193</f>
        <v>41760</v>
      </c>
      <c r="K168" s="285" t="n">
        <f aca="false">OperatingCurve!Z193</f>
        <v>0</v>
      </c>
      <c r="L168" s="285" t="n">
        <f aca="false">OperatingCurve!Y193</f>
        <v>0</v>
      </c>
      <c r="M168" s="285" t="n">
        <f aca="false">OperatingCurve!AA193</f>
        <v>0</v>
      </c>
      <c r="O168" s="285" t="n">
        <f aca="false">OperatingCurve!AE193</f>
        <v>0</v>
      </c>
      <c r="P168" s="285" t="n">
        <f aca="false">OperatingCurve!AD193</f>
        <v>0</v>
      </c>
      <c r="Q168" s="285" t="n">
        <f aca="false">OperatingCurve!AF193</f>
        <v>0</v>
      </c>
      <c r="S168" s="285" t="n">
        <f aca="false">OperatingCurve!AJ193</f>
        <v>0</v>
      </c>
      <c r="T168" s="285" t="n">
        <f aca="false">OperatingCurve!AI193</f>
        <v>0</v>
      </c>
      <c r="U168" s="285" t="n">
        <f aca="false">OperatingCurve!AK193</f>
        <v>0</v>
      </c>
      <c r="W168" s="285" t="n">
        <f aca="false">OperatingCurve!AO193</f>
        <v>0.153</v>
      </c>
      <c r="X168" s="285" t="n">
        <f aca="false">OperatingCurve!AN193</f>
        <v>0.34</v>
      </c>
      <c r="Y168" s="285" t="n">
        <f aca="false">OperatingCurve!AP193</f>
        <v>0.425</v>
      </c>
      <c r="AA168" s="285" t="n">
        <f aca="false">OperatingCurve!AR193</f>
        <v>0.136</v>
      </c>
      <c r="AB168" s="285" t="n">
        <f aca="false">OperatingCurve!AQ193</f>
        <v>0.34</v>
      </c>
      <c r="AC168" s="285" t="n">
        <f aca="false">OperatingCurve!AS193</f>
        <v>0.255</v>
      </c>
      <c r="AE168" s="285" t="n">
        <f aca="false">OperatingCurve!AU193</f>
        <v>-0.419655399211954</v>
      </c>
      <c r="AF168" s="285" t="n">
        <f aca="false">OperatingCurve!AT193</f>
        <v>6.71448638739126</v>
      </c>
      <c r="AG168" s="285" t="n">
        <f aca="false">OperatingCurve!AV193</f>
        <v>8.39310798423907</v>
      </c>
      <c r="AI168" s="285" t="n">
        <f aca="false">OperatingCurve!AX193</f>
        <v>-0.6499125</v>
      </c>
      <c r="AJ168" s="285" t="n">
        <f aca="false">OperatingCurve!AW193</f>
        <v>10.3986</v>
      </c>
      <c r="AK168" s="285" t="n">
        <f aca="false">OperatingCurve!AY193</f>
        <v>12.99825</v>
      </c>
      <c r="AM168" s="286" t="n">
        <f aca="false">OperatingCurve!AL193</f>
        <v>54</v>
      </c>
      <c r="AN168" s="287" t="n">
        <f aca="false">OperatingCurve!AM193</f>
        <v>0.4</v>
      </c>
      <c r="BE168" s="284" t="n">
        <f aca="false">OperatingCurve!V193</f>
        <v>41760</v>
      </c>
      <c r="BF168" s="289" t="n">
        <f aca="false">OperatingCurve!AZ193</f>
        <v>0</v>
      </c>
    </row>
    <row r="169" customFormat="false" ht="12.75" hidden="false" customHeight="false" outlineLevel="0" collapsed="false">
      <c r="A169" s="282" t="n">
        <f aca="false">OperatingCurve!D165</f>
        <v>40909</v>
      </c>
      <c r="B169" s="283" t="n">
        <f aca="false">OperatingCurve!H165</f>
        <v>28.784</v>
      </c>
      <c r="C169" s="283" t="n">
        <f aca="false">OperatingCurve!G165</f>
        <v>34.089</v>
      </c>
      <c r="D169" s="283" t="n">
        <f aca="false">OperatingCurve!I165</f>
        <v>62.481</v>
      </c>
      <c r="E169" s="278"/>
      <c r="F169" s="283" t="n">
        <f aca="false">OperatingCurve!M165</f>
        <v>0</v>
      </c>
      <c r="G169" s="283" t="n">
        <f aca="false">OperatingCurve!L165</f>
        <v>0</v>
      </c>
      <c r="H169" s="283" t="n">
        <f aca="false">OperatingCurve!N165</f>
        <v>0</v>
      </c>
      <c r="I169" s="273"/>
      <c r="J169" s="284" t="n">
        <f aca="false">OperatingCurve!V194</f>
        <v>41791</v>
      </c>
      <c r="K169" s="285" t="n">
        <f aca="false">OperatingCurve!Z194</f>
        <v>0</v>
      </c>
      <c r="L169" s="285" t="n">
        <f aca="false">OperatingCurve!Y194</f>
        <v>0</v>
      </c>
      <c r="M169" s="285" t="n">
        <f aca="false">OperatingCurve!AA194</f>
        <v>0</v>
      </c>
      <c r="O169" s="285" t="n">
        <f aca="false">OperatingCurve!AE194</f>
        <v>0</v>
      </c>
      <c r="P169" s="285" t="n">
        <f aca="false">OperatingCurve!AD194</f>
        <v>0</v>
      </c>
      <c r="Q169" s="285" t="n">
        <f aca="false">OperatingCurve!AF194</f>
        <v>0</v>
      </c>
      <c r="S169" s="285" t="n">
        <f aca="false">OperatingCurve!AJ194</f>
        <v>0</v>
      </c>
      <c r="T169" s="285" t="n">
        <f aca="false">OperatingCurve!AI194</f>
        <v>0</v>
      </c>
      <c r="U169" s="285" t="n">
        <f aca="false">OperatingCurve!AK194</f>
        <v>0</v>
      </c>
      <c r="W169" s="285" t="n">
        <f aca="false">OperatingCurve!AO194</f>
        <v>0.153</v>
      </c>
      <c r="X169" s="285" t="n">
        <f aca="false">OperatingCurve!AN194</f>
        <v>0.34</v>
      </c>
      <c r="Y169" s="285" t="n">
        <f aca="false">OperatingCurve!AP194</f>
        <v>0.425</v>
      </c>
      <c r="AA169" s="285" t="n">
        <f aca="false">OperatingCurve!AR194</f>
        <v>0.136</v>
      </c>
      <c r="AB169" s="285" t="n">
        <f aca="false">OperatingCurve!AQ194</f>
        <v>0.34</v>
      </c>
      <c r="AC169" s="285" t="n">
        <f aca="false">OperatingCurve!AS194</f>
        <v>0.255</v>
      </c>
      <c r="AE169" s="285" t="n">
        <f aca="false">OperatingCurve!AU194</f>
        <v>-0.517091326059428</v>
      </c>
      <c r="AF169" s="285" t="n">
        <f aca="false">OperatingCurve!AT194</f>
        <v>8.27346121695085</v>
      </c>
      <c r="AG169" s="285" t="n">
        <f aca="false">OperatingCurve!AV194</f>
        <v>10.3418265211886</v>
      </c>
      <c r="AI169" s="285" t="n">
        <f aca="false">OperatingCurve!AX194</f>
        <v>-0.6087</v>
      </c>
      <c r="AJ169" s="285" t="n">
        <f aca="false">OperatingCurve!AW194</f>
        <v>9.7392</v>
      </c>
      <c r="AK169" s="285" t="n">
        <f aca="false">OperatingCurve!AY194</f>
        <v>12.174</v>
      </c>
      <c r="AM169" s="286" t="n">
        <f aca="false">OperatingCurve!AL194</f>
        <v>54</v>
      </c>
      <c r="AN169" s="287" t="n">
        <f aca="false">OperatingCurve!AM194</f>
        <v>0.4</v>
      </c>
      <c r="BE169" s="284" t="n">
        <f aca="false">OperatingCurve!V194</f>
        <v>41791</v>
      </c>
      <c r="BF169" s="289" t="n">
        <f aca="false">OperatingCurve!AZ194</f>
        <v>0</v>
      </c>
    </row>
    <row r="170" customFormat="false" ht="12.75" hidden="false" customHeight="false" outlineLevel="0" collapsed="false">
      <c r="A170" s="282" t="n">
        <f aca="false">OperatingCurve!D166</f>
        <v>40940</v>
      </c>
      <c r="B170" s="283" t="n">
        <f aca="false">OperatingCurve!H166</f>
        <v>25.625</v>
      </c>
      <c r="C170" s="283" t="n">
        <f aca="false">OperatingCurve!G166</f>
        <v>30.9</v>
      </c>
      <c r="D170" s="283" t="n">
        <f aca="false">OperatingCurve!I166</f>
        <v>59.136</v>
      </c>
      <c r="E170" s="278"/>
      <c r="F170" s="283" t="n">
        <f aca="false">OperatingCurve!M166</f>
        <v>0</v>
      </c>
      <c r="G170" s="283" t="n">
        <f aca="false">OperatingCurve!L166</f>
        <v>0</v>
      </c>
      <c r="H170" s="283" t="n">
        <f aca="false">OperatingCurve!N166</f>
        <v>0</v>
      </c>
      <c r="I170" s="273"/>
      <c r="J170" s="284" t="n">
        <f aca="false">OperatingCurve!V195</f>
        <v>41821</v>
      </c>
      <c r="K170" s="285" t="n">
        <f aca="false">OperatingCurve!Z195</f>
        <v>0</v>
      </c>
      <c r="L170" s="285" t="n">
        <f aca="false">OperatingCurve!Y195</f>
        <v>0</v>
      </c>
      <c r="M170" s="285" t="n">
        <f aca="false">OperatingCurve!AA195</f>
        <v>0</v>
      </c>
      <c r="O170" s="285" t="n">
        <f aca="false">OperatingCurve!AE195</f>
        <v>0</v>
      </c>
      <c r="P170" s="285" t="n">
        <f aca="false">OperatingCurve!AD195</f>
        <v>0</v>
      </c>
      <c r="Q170" s="285" t="n">
        <f aca="false">OperatingCurve!AF195</f>
        <v>0</v>
      </c>
      <c r="S170" s="285" t="n">
        <f aca="false">OperatingCurve!AJ195</f>
        <v>0</v>
      </c>
      <c r="T170" s="285" t="n">
        <f aca="false">OperatingCurve!AI195</f>
        <v>0</v>
      </c>
      <c r="U170" s="285" t="n">
        <f aca="false">OperatingCurve!AK195</f>
        <v>0</v>
      </c>
      <c r="W170" s="285" t="n">
        <f aca="false">OperatingCurve!AO195</f>
        <v>0.153</v>
      </c>
      <c r="X170" s="285" t="n">
        <f aca="false">OperatingCurve!AN195</f>
        <v>0.34</v>
      </c>
      <c r="Y170" s="285" t="n">
        <f aca="false">OperatingCurve!AP195</f>
        <v>0.425</v>
      </c>
      <c r="AA170" s="285" t="n">
        <f aca="false">OperatingCurve!AR195</f>
        <v>0.136</v>
      </c>
      <c r="AB170" s="285" t="n">
        <f aca="false">OperatingCurve!AQ195</f>
        <v>0.34</v>
      </c>
      <c r="AC170" s="285" t="n">
        <f aca="false">OperatingCurve!AS195</f>
        <v>0.255</v>
      </c>
      <c r="AE170" s="285" t="n">
        <f aca="false">OperatingCurve!AU195</f>
        <v>-0.517091326059428</v>
      </c>
      <c r="AF170" s="285" t="n">
        <f aca="false">OperatingCurve!AT195</f>
        <v>8.27346121695085</v>
      </c>
      <c r="AG170" s="285" t="n">
        <f aca="false">OperatingCurve!AV195</f>
        <v>10.3418265211886</v>
      </c>
      <c r="AI170" s="285" t="n">
        <f aca="false">OperatingCurve!AX195</f>
        <v>-0.6087</v>
      </c>
      <c r="AJ170" s="285" t="n">
        <f aca="false">OperatingCurve!AW195</f>
        <v>9.7392</v>
      </c>
      <c r="AK170" s="285" t="n">
        <f aca="false">OperatingCurve!AY195</f>
        <v>12.174</v>
      </c>
      <c r="AM170" s="286" t="n">
        <f aca="false">OperatingCurve!AL195</f>
        <v>55</v>
      </c>
      <c r="AN170" s="287" t="n">
        <f aca="false">OperatingCurve!AM195</f>
        <v>0.4</v>
      </c>
      <c r="BE170" s="284" t="n">
        <f aca="false">OperatingCurve!V195</f>
        <v>41821</v>
      </c>
      <c r="BF170" s="289" t="n">
        <f aca="false">OperatingCurve!AZ195</f>
        <v>0</v>
      </c>
    </row>
    <row r="171" customFormat="false" ht="12.75" hidden="false" customHeight="false" outlineLevel="0" collapsed="false">
      <c r="A171" s="282" t="n">
        <f aca="false">OperatingCurve!D167</f>
        <v>40969</v>
      </c>
      <c r="B171" s="283" t="n">
        <f aca="false">OperatingCurve!H167</f>
        <v>24.576</v>
      </c>
      <c r="C171" s="283" t="n">
        <f aca="false">OperatingCurve!G167</f>
        <v>29.841</v>
      </c>
      <c r="D171" s="283" t="n">
        <f aca="false">OperatingCurve!I167</f>
        <v>58.025</v>
      </c>
      <c r="E171" s="278"/>
      <c r="F171" s="283" t="n">
        <f aca="false">OperatingCurve!M167</f>
        <v>0</v>
      </c>
      <c r="G171" s="283" t="n">
        <f aca="false">OperatingCurve!L167</f>
        <v>0</v>
      </c>
      <c r="H171" s="283" t="n">
        <f aca="false">OperatingCurve!N167</f>
        <v>0</v>
      </c>
      <c r="I171" s="273"/>
      <c r="J171" s="284" t="n">
        <f aca="false">OperatingCurve!V196</f>
        <v>41852</v>
      </c>
      <c r="K171" s="285" t="n">
        <f aca="false">OperatingCurve!Z196</f>
        <v>0</v>
      </c>
      <c r="L171" s="285" t="n">
        <f aca="false">OperatingCurve!Y196</f>
        <v>0</v>
      </c>
      <c r="M171" s="285" t="n">
        <f aca="false">OperatingCurve!AA196</f>
        <v>0</v>
      </c>
      <c r="O171" s="285" t="n">
        <f aca="false">OperatingCurve!AE196</f>
        <v>0</v>
      </c>
      <c r="P171" s="285" t="n">
        <f aca="false">OperatingCurve!AD196</f>
        <v>0</v>
      </c>
      <c r="Q171" s="285" t="n">
        <f aca="false">OperatingCurve!AF196</f>
        <v>0</v>
      </c>
      <c r="S171" s="285" t="n">
        <f aca="false">OperatingCurve!AJ196</f>
        <v>0</v>
      </c>
      <c r="T171" s="285" t="n">
        <f aca="false">OperatingCurve!AI196</f>
        <v>0</v>
      </c>
      <c r="U171" s="285" t="n">
        <f aca="false">OperatingCurve!AK196</f>
        <v>0</v>
      </c>
      <c r="W171" s="285" t="n">
        <f aca="false">OperatingCurve!AO196</f>
        <v>0.153</v>
      </c>
      <c r="X171" s="285" t="n">
        <f aca="false">OperatingCurve!AN196</f>
        <v>0.34</v>
      </c>
      <c r="Y171" s="285" t="n">
        <f aca="false">OperatingCurve!AP196</f>
        <v>0.425</v>
      </c>
      <c r="AA171" s="285" t="n">
        <f aca="false">OperatingCurve!AR196</f>
        <v>0.136</v>
      </c>
      <c r="AB171" s="285" t="n">
        <f aca="false">OperatingCurve!AQ196</f>
        <v>0.34</v>
      </c>
      <c r="AC171" s="285" t="n">
        <f aca="false">OperatingCurve!AS196</f>
        <v>0.255</v>
      </c>
      <c r="AE171" s="285" t="n">
        <f aca="false">OperatingCurve!AU196</f>
        <v>-0.552146177512111</v>
      </c>
      <c r="AF171" s="285" t="n">
        <f aca="false">OperatingCurve!AT196</f>
        <v>8.83433884019377</v>
      </c>
      <c r="AG171" s="285" t="n">
        <f aca="false">OperatingCurve!AV196</f>
        <v>11.0429235502422</v>
      </c>
      <c r="AI171" s="285" t="n">
        <f aca="false">OperatingCurve!AX196</f>
        <v>-0.596925</v>
      </c>
      <c r="AJ171" s="285" t="n">
        <f aca="false">OperatingCurve!AW196</f>
        <v>9.5508</v>
      </c>
      <c r="AK171" s="285" t="n">
        <f aca="false">OperatingCurve!AY196</f>
        <v>11.9385</v>
      </c>
      <c r="AM171" s="286" t="n">
        <f aca="false">OperatingCurve!AL196</f>
        <v>55</v>
      </c>
      <c r="AN171" s="287" t="n">
        <f aca="false">OperatingCurve!AM196</f>
        <v>0.4</v>
      </c>
      <c r="BE171" s="284" t="n">
        <f aca="false">OperatingCurve!V196</f>
        <v>41852</v>
      </c>
      <c r="BF171" s="289" t="n">
        <f aca="false">OperatingCurve!AZ196</f>
        <v>0</v>
      </c>
    </row>
    <row r="172" customFormat="false" ht="12.75" hidden="false" customHeight="false" outlineLevel="0" collapsed="false">
      <c r="A172" s="282" t="n">
        <f aca="false">OperatingCurve!D168</f>
        <v>41000</v>
      </c>
      <c r="B172" s="283" t="n">
        <f aca="false">OperatingCurve!H168</f>
        <v>24.576</v>
      </c>
      <c r="C172" s="283" t="n">
        <f aca="false">OperatingCurve!G168</f>
        <v>29.841</v>
      </c>
      <c r="D172" s="283" t="n">
        <f aca="false">OperatingCurve!I168</f>
        <v>58.025</v>
      </c>
      <c r="E172" s="278"/>
      <c r="F172" s="283" t="n">
        <f aca="false">OperatingCurve!M168</f>
        <v>0</v>
      </c>
      <c r="G172" s="283" t="n">
        <f aca="false">OperatingCurve!L168</f>
        <v>0</v>
      </c>
      <c r="H172" s="283" t="n">
        <f aca="false">OperatingCurve!N168</f>
        <v>0</v>
      </c>
      <c r="I172" s="273"/>
      <c r="J172" s="284" t="n">
        <f aca="false">OperatingCurve!V197</f>
        <v>41883</v>
      </c>
      <c r="K172" s="285" t="n">
        <f aca="false">OperatingCurve!Z197</f>
        <v>0</v>
      </c>
      <c r="L172" s="285" t="n">
        <f aca="false">OperatingCurve!Y197</f>
        <v>0</v>
      </c>
      <c r="M172" s="285" t="n">
        <f aca="false">OperatingCurve!AA197</f>
        <v>0</v>
      </c>
      <c r="O172" s="285" t="n">
        <f aca="false">OperatingCurve!AE197</f>
        <v>0</v>
      </c>
      <c r="P172" s="285" t="n">
        <f aca="false">OperatingCurve!AD197</f>
        <v>0</v>
      </c>
      <c r="Q172" s="285" t="n">
        <f aca="false">OperatingCurve!AF197</f>
        <v>0</v>
      </c>
      <c r="S172" s="285" t="n">
        <f aca="false">OperatingCurve!AJ197</f>
        <v>0</v>
      </c>
      <c r="T172" s="285" t="n">
        <f aca="false">OperatingCurve!AI197</f>
        <v>0</v>
      </c>
      <c r="U172" s="285" t="n">
        <f aca="false">OperatingCurve!AK197</f>
        <v>0</v>
      </c>
      <c r="W172" s="285" t="n">
        <f aca="false">OperatingCurve!AO197</f>
        <v>0.153</v>
      </c>
      <c r="X172" s="285" t="n">
        <f aca="false">OperatingCurve!AN197</f>
        <v>0.34</v>
      </c>
      <c r="Y172" s="285" t="n">
        <f aca="false">OperatingCurve!AP197</f>
        <v>0.425</v>
      </c>
      <c r="AA172" s="285" t="n">
        <f aca="false">OperatingCurve!AR197</f>
        <v>0.136</v>
      </c>
      <c r="AB172" s="285" t="n">
        <f aca="false">OperatingCurve!AQ197</f>
        <v>0.34</v>
      </c>
      <c r="AC172" s="285" t="n">
        <f aca="false">OperatingCurve!AS197</f>
        <v>0.255</v>
      </c>
      <c r="AE172" s="285" t="n">
        <f aca="false">OperatingCurve!AU197</f>
        <v>-0.455637578174882</v>
      </c>
      <c r="AF172" s="285" t="n">
        <f aca="false">OperatingCurve!AT197</f>
        <v>7.29020125079811</v>
      </c>
      <c r="AG172" s="285" t="n">
        <f aca="false">OperatingCurve!AV197</f>
        <v>9.11275156349763</v>
      </c>
      <c r="AI172" s="285" t="n">
        <f aca="false">OperatingCurve!AX197</f>
        <v>-0.63225</v>
      </c>
      <c r="AJ172" s="285" t="n">
        <f aca="false">OperatingCurve!AW197</f>
        <v>10.116</v>
      </c>
      <c r="AK172" s="285" t="n">
        <f aca="false">OperatingCurve!AY197</f>
        <v>12.645</v>
      </c>
      <c r="AM172" s="286" t="n">
        <f aca="false">OperatingCurve!AL197</f>
        <v>55</v>
      </c>
      <c r="AN172" s="287" t="n">
        <f aca="false">OperatingCurve!AM197</f>
        <v>0.4</v>
      </c>
      <c r="BE172" s="284" t="n">
        <f aca="false">OperatingCurve!V197</f>
        <v>41883</v>
      </c>
      <c r="BF172" s="289" t="n">
        <f aca="false">OperatingCurve!AZ197</f>
        <v>0</v>
      </c>
    </row>
    <row r="173" customFormat="false" ht="12.75" hidden="false" customHeight="false" outlineLevel="0" collapsed="false">
      <c r="A173" s="282" t="n">
        <f aca="false">OperatingCurve!D169</f>
        <v>41030</v>
      </c>
      <c r="B173" s="283" t="n">
        <f aca="false">OperatingCurve!H169</f>
        <v>27.729</v>
      </c>
      <c r="C173" s="283" t="n">
        <f aca="false">OperatingCurve!G169</f>
        <v>33.024</v>
      </c>
      <c r="D173" s="283" t="n">
        <f aca="false">OperatingCurve!I169</f>
        <v>61.364</v>
      </c>
      <c r="E173" s="278"/>
      <c r="F173" s="283" t="n">
        <f aca="false">OperatingCurve!M169</f>
        <v>0</v>
      </c>
      <c r="G173" s="283" t="n">
        <f aca="false">OperatingCurve!L169</f>
        <v>0</v>
      </c>
      <c r="H173" s="283" t="n">
        <f aca="false">OperatingCurve!N169</f>
        <v>0</v>
      </c>
      <c r="I173" s="273"/>
      <c r="J173" s="284" t="n">
        <f aca="false">OperatingCurve!V198</f>
        <v>41913</v>
      </c>
      <c r="K173" s="285" t="n">
        <f aca="false">OperatingCurve!Z198</f>
        <v>0</v>
      </c>
      <c r="L173" s="285" t="n">
        <f aca="false">OperatingCurve!Y198</f>
        <v>0</v>
      </c>
      <c r="M173" s="285" t="n">
        <f aca="false">OperatingCurve!AA198</f>
        <v>0</v>
      </c>
      <c r="O173" s="285" t="n">
        <f aca="false">OperatingCurve!AE198</f>
        <v>0</v>
      </c>
      <c r="P173" s="285" t="n">
        <f aca="false">OperatingCurve!AD198</f>
        <v>0</v>
      </c>
      <c r="Q173" s="285" t="n">
        <f aca="false">OperatingCurve!AF198</f>
        <v>0</v>
      </c>
      <c r="S173" s="285" t="n">
        <f aca="false">OperatingCurve!AJ198</f>
        <v>0</v>
      </c>
      <c r="T173" s="285" t="n">
        <f aca="false">OperatingCurve!AI198</f>
        <v>0</v>
      </c>
      <c r="U173" s="285" t="n">
        <f aca="false">OperatingCurve!AK198</f>
        <v>0</v>
      </c>
      <c r="W173" s="285" t="n">
        <f aca="false">OperatingCurve!AO198</f>
        <v>0.153</v>
      </c>
      <c r="X173" s="285" t="n">
        <f aca="false">OperatingCurve!AN198</f>
        <v>0.34</v>
      </c>
      <c r="Y173" s="285" t="n">
        <f aca="false">OperatingCurve!AP198</f>
        <v>0.425</v>
      </c>
      <c r="AA173" s="285" t="n">
        <f aca="false">OperatingCurve!AR198</f>
        <v>0.136</v>
      </c>
      <c r="AB173" s="285" t="n">
        <f aca="false">OperatingCurve!AQ198</f>
        <v>0.34</v>
      </c>
      <c r="AC173" s="285" t="n">
        <f aca="false">OperatingCurve!AS198</f>
        <v>0.255</v>
      </c>
      <c r="AE173" s="285" t="n">
        <f aca="false">OperatingCurve!AU198</f>
        <v>-0.484735205974953</v>
      </c>
      <c r="AF173" s="285" t="n">
        <f aca="false">OperatingCurve!AT198</f>
        <v>7.75576329559925</v>
      </c>
      <c r="AG173" s="285" t="n">
        <f aca="false">OperatingCurve!AV198</f>
        <v>9.69470411949907</v>
      </c>
      <c r="AI173" s="285" t="n">
        <f aca="false">OperatingCurve!AX198</f>
        <v>-0.620475</v>
      </c>
      <c r="AJ173" s="285" t="n">
        <f aca="false">OperatingCurve!AW198</f>
        <v>9.9276</v>
      </c>
      <c r="AK173" s="285" t="n">
        <f aca="false">OperatingCurve!AY198</f>
        <v>12.4095</v>
      </c>
      <c r="AM173" s="286" t="n">
        <f aca="false">OperatingCurve!AL198</f>
        <v>56</v>
      </c>
      <c r="AN173" s="287" t="n">
        <f aca="false">OperatingCurve!AM198</f>
        <v>0.4</v>
      </c>
      <c r="BE173" s="284" t="n">
        <f aca="false">OperatingCurve!V198</f>
        <v>41913</v>
      </c>
      <c r="BF173" s="289" t="n">
        <f aca="false">OperatingCurve!AZ198</f>
        <v>0</v>
      </c>
    </row>
    <row r="174" customFormat="false" ht="12.75" hidden="false" customHeight="false" outlineLevel="0" collapsed="false">
      <c r="A174" s="282" t="n">
        <f aca="false">OperatingCurve!D170</f>
        <v>41061</v>
      </c>
      <c r="B174" s="283" t="n">
        <f aca="false">OperatingCurve!H170</f>
        <v>35.156</v>
      </c>
      <c r="C174" s="283" t="n">
        <f aca="false">OperatingCurve!G170</f>
        <v>40.521</v>
      </c>
      <c r="D174" s="283" t="n">
        <f aca="false">OperatingCurve!I170</f>
        <v>69.225</v>
      </c>
      <c r="E174" s="278"/>
      <c r="F174" s="283" t="n">
        <f aca="false">OperatingCurve!M170</f>
        <v>0</v>
      </c>
      <c r="G174" s="283" t="n">
        <f aca="false">OperatingCurve!L170</f>
        <v>0</v>
      </c>
      <c r="H174" s="283" t="n">
        <f aca="false">OperatingCurve!N170</f>
        <v>0</v>
      </c>
      <c r="I174" s="273"/>
      <c r="J174" s="284" t="n">
        <f aca="false">OperatingCurve!V199</f>
        <v>41944</v>
      </c>
      <c r="K174" s="285" t="n">
        <f aca="false">OperatingCurve!Z199</f>
        <v>0</v>
      </c>
      <c r="L174" s="285" t="n">
        <f aca="false">OperatingCurve!Y199</f>
        <v>0</v>
      </c>
      <c r="M174" s="285" t="n">
        <f aca="false">OperatingCurve!AA199</f>
        <v>0</v>
      </c>
      <c r="O174" s="285" t="n">
        <f aca="false">OperatingCurve!AE199</f>
        <v>0</v>
      </c>
      <c r="P174" s="285" t="n">
        <f aca="false">OperatingCurve!AD199</f>
        <v>0</v>
      </c>
      <c r="Q174" s="285" t="n">
        <f aca="false">OperatingCurve!AF199</f>
        <v>0</v>
      </c>
      <c r="S174" s="285" t="n">
        <f aca="false">OperatingCurve!AJ199</f>
        <v>0</v>
      </c>
      <c r="T174" s="285" t="n">
        <f aca="false">OperatingCurve!AI199</f>
        <v>0</v>
      </c>
      <c r="U174" s="285" t="n">
        <f aca="false">OperatingCurve!AK199</f>
        <v>0</v>
      </c>
      <c r="W174" s="285" t="n">
        <f aca="false">OperatingCurve!AO199</f>
        <v>0.153</v>
      </c>
      <c r="X174" s="285" t="n">
        <f aca="false">OperatingCurve!AN199</f>
        <v>0.34</v>
      </c>
      <c r="Y174" s="285" t="n">
        <f aca="false">OperatingCurve!AP199</f>
        <v>0.425</v>
      </c>
      <c r="AA174" s="285" t="n">
        <f aca="false">OperatingCurve!AR199</f>
        <v>0.136</v>
      </c>
      <c r="AB174" s="285" t="n">
        <f aca="false">OperatingCurve!AQ199</f>
        <v>0.34</v>
      </c>
      <c r="AC174" s="285" t="n">
        <f aca="false">OperatingCurve!AS199</f>
        <v>0.255</v>
      </c>
      <c r="AE174" s="285" t="n">
        <f aca="false">OperatingCurve!AU199</f>
        <v>-0.410147476715089</v>
      </c>
      <c r="AF174" s="285" t="n">
        <f aca="false">OperatingCurve!AT199</f>
        <v>6.56235962744143</v>
      </c>
      <c r="AG174" s="285" t="n">
        <f aca="false">OperatingCurve!AV199</f>
        <v>8.20294953430178</v>
      </c>
      <c r="AI174" s="285" t="n">
        <f aca="false">OperatingCurve!AX199</f>
        <v>-0.6558</v>
      </c>
      <c r="AJ174" s="285" t="n">
        <f aca="false">OperatingCurve!AW199</f>
        <v>10.4928</v>
      </c>
      <c r="AK174" s="285" t="n">
        <f aca="false">OperatingCurve!AY199</f>
        <v>13.116</v>
      </c>
      <c r="AM174" s="286" t="n">
        <f aca="false">OperatingCurve!AL199</f>
        <v>56</v>
      </c>
      <c r="AN174" s="287" t="n">
        <f aca="false">OperatingCurve!AM199</f>
        <v>0.4</v>
      </c>
      <c r="BE174" s="284" t="n">
        <f aca="false">OperatingCurve!V199</f>
        <v>41944</v>
      </c>
      <c r="BF174" s="289" t="n">
        <f aca="false">OperatingCurve!AZ199</f>
        <v>0</v>
      </c>
    </row>
    <row r="175" customFormat="false" ht="12.75" hidden="false" customHeight="false" outlineLevel="0" collapsed="false">
      <c r="A175" s="282" t="n">
        <f aca="false">OperatingCurve!D171</f>
        <v>41091</v>
      </c>
      <c r="B175" s="283" t="n">
        <f aca="false">OperatingCurve!H171</f>
        <v>35.156</v>
      </c>
      <c r="C175" s="283" t="n">
        <f aca="false">OperatingCurve!G171</f>
        <v>40.521</v>
      </c>
      <c r="D175" s="283" t="n">
        <f aca="false">OperatingCurve!I171</f>
        <v>69.225</v>
      </c>
      <c r="E175" s="278"/>
      <c r="F175" s="283" t="n">
        <f aca="false">OperatingCurve!M171</f>
        <v>0</v>
      </c>
      <c r="G175" s="283" t="n">
        <f aca="false">OperatingCurve!L171</f>
        <v>0</v>
      </c>
      <c r="H175" s="283" t="n">
        <f aca="false">OperatingCurve!N171</f>
        <v>0</v>
      </c>
      <c r="I175" s="273"/>
      <c r="J175" s="284" t="n">
        <f aca="false">OperatingCurve!V200</f>
        <v>41974</v>
      </c>
      <c r="K175" s="285" t="n">
        <f aca="false">OperatingCurve!Z200</f>
        <v>0</v>
      </c>
      <c r="L175" s="285" t="n">
        <f aca="false">OperatingCurve!Y200</f>
        <v>0</v>
      </c>
      <c r="M175" s="285" t="n">
        <f aca="false">OperatingCurve!AA200</f>
        <v>0</v>
      </c>
      <c r="O175" s="285" t="n">
        <f aca="false">OperatingCurve!AE200</f>
        <v>0</v>
      </c>
      <c r="P175" s="285" t="n">
        <f aca="false">OperatingCurve!AD200</f>
        <v>0</v>
      </c>
      <c r="Q175" s="285" t="n">
        <f aca="false">OperatingCurve!AF200</f>
        <v>0</v>
      </c>
      <c r="S175" s="285" t="n">
        <f aca="false">OperatingCurve!AJ200</f>
        <v>0</v>
      </c>
      <c r="T175" s="285" t="n">
        <f aca="false">OperatingCurve!AI200</f>
        <v>0</v>
      </c>
      <c r="U175" s="285" t="n">
        <f aca="false">OperatingCurve!AK200</f>
        <v>0</v>
      </c>
      <c r="W175" s="285" t="n">
        <f aca="false">OperatingCurve!AO200</f>
        <v>0.153</v>
      </c>
      <c r="X175" s="285" t="n">
        <f aca="false">OperatingCurve!AN200</f>
        <v>0.34</v>
      </c>
      <c r="Y175" s="285" t="n">
        <f aca="false">OperatingCurve!AP200</f>
        <v>0.425</v>
      </c>
      <c r="AA175" s="285" t="n">
        <f aca="false">OperatingCurve!AR200</f>
        <v>0.136</v>
      </c>
      <c r="AB175" s="285" t="n">
        <f aca="false">OperatingCurve!AQ200</f>
        <v>0.34</v>
      </c>
      <c r="AC175" s="285" t="n">
        <f aca="false">OperatingCurve!AS200</f>
        <v>0.255</v>
      </c>
      <c r="AE175" s="285" t="n">
        <f aca="false">OperatingCurve!AU200</f>
        <v>-0.419655399211954</v>
      </c>
      <c r="AF175" s="285" t="n">
        <f aca="false">OperatingCurve!AT200</f>
        <v>6.71448638739126</v>
      </c>
      <c r="AG175" s="285" t="n">
        <f aca="false">OperatingCurve!AV200</f>
        <v>8.39310798423907</v>
      </c>
      <c r="AI175" s="285" t="n">
        <f aca="false">OperatingCurve!AX200</f>
        <v>-0.667575</v>
      </c>
      <c r="AJ175" s="285" t="n">
        <f aca="false">OperatingCurve!AW200</f>
        <v>10.6812</v>
      </c>
      <c r="AK175" s="285" t="n">
        <f aca="false">OperatingCurve!AY200</f>
        <v>13.3515</v>
      </c>
      <c r="AM175" s="286" t="n">
        <f aca="false">OperatingCurve!AL200</f>
        <v>56</v>
      </c>
      <c r="AN175" s="287" t="n">
        <f aca="false">OperatingCurve!AM200</f>
        <v>0.4</v>
      </c>
      <c r="BE175" s="284" t="n">
        <f aca="false">OperatingCurve!V200</f>
        <v>41974</v>
      </c>
      <c r="BF175" s="289" t="n">
        <f aca="false">OperatingCurve!AZ200</f>
        <v>0</v>
      </c>
    </row>
    <row r="176" customFormat="false" ht="12.75" hidden="false" customHeight="false" outlineLevel="0" collapsed="false">
      <c r="A176" s="282" t="n">
        <f aca="false">OperatingCurve!D172</f>
        <v>41122</v>
      </c>
      <c r="B176" s="283" t="n">
        <f aca="false">OperatingCurve!H172</f>
        <v>37.296</v>
      </c>
      <c r="C176" s="283" t="n">
        <f aca="false">OperatingCurve!G172</f>
        <v>42.681</v>
      </c>
      <c r="D176" s="283" t="n">
        <f aca="false">OperatingCurve!I172</f>
        <v>71.489</v>
      </c>
      <c r="E176" s="278"/>
      <c r="F176" s="283" t="n">
        <f aca="false">OperatingCurve!M172</f>
        <v>0</v>
      </c>
      <c r="G176" s="283" t="n">
        <f aca="false">OperatingCurve!L172</f>
        <v>0</v>
      </c>
      <c r="H176" s="283" t="n">
        <f aca="false">OperatingCurve!N172</f>
        <v>0</v>
      </c>
      <c r="I176" s="273"/>
      <c r="J176" s="284" t="n">
        <f aca="false">OperatingCurve!V201</f>
        <v>42005</v>
      </c>
      <c r="K176" s="285" t="n">
        <f aca="false">OperatingCurve!Z201</f>
        <v>0</v>
      </c>
      <c r="L176" s="285" t="n">
        <f aca="false">OperatingCurve!Y201</f>
        <v>0</v>
      </c>
      <c r="M176" s="285" t="n">
        <f aca="false">OperatingCurve!AA201</f>
        <v>0</v>
      </c>
      <c r="O176" s="285" t="n">
        <f aca="false">OperatingCurve!AE201</f>
        <v>0</v>
      </c>
      <c r="P176" s="285" t="n">
        <f aca="false">OperatingCurve!AD201</f>
        <v>0</v>
      </c>
      <c r="Q176" s="285" t="n">
        <f aca="false">OperatingCurve!AF201</f>
        <v>0</v>
      </c>
      <c r="S176" s="285" t="n">
        <f aca="false">OperatingCurve!AJ201</f>
        <v>0</v>
      </c>
      <c r="T176" s="285" t="n">
        <f aca="false">OperatingCurve!AI201</f>
        <v>0</v>
      </c>
      <c r="U176" s="285" t="n">
        <f aca="false">OperatingCurve!AK201</f>
        <v>0</v>
      </c>
      <c r="W176" s="285" t="n">
        <f aca="false">OperatingCurve!AO201</f>
        <v>0.153</v>
      </c>
      <c r="X176" s="285" t="n">
        <f aca="false">OperatingCurve!AN201</f>
        <v>0.34</v>
      </c>
      <c r="Y176" s="285" t="n">
        <f aca="false">OperatingCurve!AP201</f>
        <v>0.425</v>
      </c>
      <c r="AA176" s="285" t="n">
        <f aca="false">OperatingCurve!AR201</f>
        <v>0.136</v>
      </c>
      <c r="AB176" s="285" t="n">
        <f aca="false">OperatingCurve!AQ201</f>
        <v>0.34</v>
      </c>
      <c r="AC176" s="285" t="n">
        <f aca="false">OperatingCurve!AS201</f>
        <v>0.255</v>
      </c>
      <c r="AE176" s="285" t="n">
        <f aca="false">OperatingCurve!AU201</f>
        <v>-0.43048858158097</v>
      </c>
      <c r="AF176" s="285" t="n">
        <f aca="false">OperatingCurve!AT201</f>
        <v>6.88781730529552</v>
      </c>
      <c r="AG176" s="285" t="n">
        <f aca="false">OperatingCurve!AV201</f>
        <v>8.60977163161941</v>
      </c>
      <c r="AI176" s="285" t="n">
        <f aca="false">OperatingCurve!AX201</f>
        <v>-0.6558</v>
      </c>
      <c r="AJ176" s="285" t="n">
        <f aca="false">OperatingCurve!AW201</f>
        <v>10.4928</v>
      </c>
      <c r="AK176" s="285" t="n">
        <f aca="false">OperatingCurve!AY201</f>
        <v>13.116</v>
      </c>
      <c r="AM176" s="286" t="n">
        <f aca="false">OperatingCurve!AL201</f>
        <v>57</v>
      </c>
      <c r="AN176" s="287" t="n">
        <f aca="false">OperatingCurve!AM201</f>
        <v>0.4</v>
      </c>
      <c r="BE176" s="284" t="n">
        <f aca="false">OperatingCurve!V201</f>
        <v>42005</v>
      </c>
      <c r="BF176" s="289" t="n">
        <f aca="false">OperatingCurve!AZ201</f>
        <v>0</v>
      </c>
    </row>
    <row r="177" customFormat="false" ht="12.75" hidden="false" customHeight="false" outlineLevel="0" collapsed="false">
      <c r="A177" s="282" t="n">
        <f aca="false">OperatingCurve!D173</f>
        <v>41153</v>
      </c>
      <c r="B177" s="283" t="n">
        <f aca="false">OperatingCurve!H173</f>
        <v>30.9</v>
      </c>
      <c r="C177" s="283" t="n">
        <f aca="false">OperatingCurve!G173</f>
        <v>36.225</v>
      </c>
      <c r="D177" s="283" t="n">
        <f aca="false">OperatingCurve!I173</f>
        <v>64.721</v>
      </c>
      <c r="E177" s="278"/>
      <c r="F177" s="283" t="n">
        <f aca="false">OperatingCurve!M173</f>
        <v>0</v>
      </c>
      <c r="G177" s="283" t="n">
        <f aca="false">OperatingCurve!L173</f>
        <v>0</v>
      </c>
      <c r="H177" s="283" t="n">
        <f aca="false">OperatingCurve!N173</f>
        <v>0</v>
      </c>
      <c r="I177" s="273"/>
      <c r="J177" s="284" t="n">
        <f aca="false">OperatingCurve!V202</f>
        <v>42036</v>
      </c>
      <c r="K177" s="285" t="n">
        <f aca="false">OperatingCurve!Z202</f>
        <v>0</v>
      </c>
      <c r="L177" s="285" t="n">
        <f aca="false">OperatingCurve!Y202</f>
        <v>0</v>
      </c>
      <c r="M177" s="285" t="n">
        <f aca="false">OperatingCurve!AA202</f>
        <v>0</v>
      </c>
      <c r="O177" s="285" t="n">
        <f aca="false">OperatingCurve!AE202</f>
        <v>0</v>
      </c>
      <c r="P177" s="285" t="n">
        <f aca="false">OperatingCurve!AD202</f>
        <v>0</v>
      </c>
      <c r="Q177" s="285" t="n">
        <f aca="false">OperatingCurve!AF202</f>
        <v>0</v>
      </c>
      <c r="S177" s="285" t="n">
        <f aca="false">OperatingCurve!AJ202</f>
        <v>0</v>
      </c>
      <c r="T177" s="285" t="n">
        <f aca="false">OperatingCurve!AI202</f>
        <v>0</v>
      </c>
      <c r="U177" s="285" t="n">
        <f aca="false">OperatingCurve!AK202</f>
        <v>0</v>
      </c>
      <c r="W177" s="285" t="n">
        <f aca="false">OperatingCurve!AO202</f>
        <v>0.153</v>
      </c>
      <c r="X177" s="285" t="n">
        <f aca="false">OperatingCurve!AN202</f>
        <v>0.34</v>
      </c>
      <c r="Y177" s="285" t="n">
        <f aca="false">OperatingCurve!AP202</f>
        <v>0.425</v>
      </c>
      <c r="AA177" s="285" t="n">
        <f aca="false">OperatingCurve!AR202</f>
        <v>0.136</v>
      </c>
      <c r="AB177" s="285" t="n">
        <f aca="false">OperatingCurve!AQ202</f>
        <v>0.34</v>
      </c>
      <c r="AC177" s="285" t="n">
        <f aca="false">OperatingCurve!AS202</f>
        <v>0.255</v>
      </c>
      <c r="AE177" s="285" t="n">
        <f aca="false">OperatingCurve!AU202</f>
        <v>-0.402107379613998</v>
      </c>
      <c r="AF177" s="285" t="n">
        <f aca="false">OperatingCurve!AT202</f>
        <v>6.43371807382396</v>
      </c>
      <c r="AG177" s="285" t="n">
        <f aca="false">OperatingCurve!AV202</f>
        <v>8.04214759227995</v>
      </c>
      <c r="AI177" s="285" t="n">
        <f aca="false">OperatingCurve!AX202</f>
        <v>-0.6616875</v>
      </c>
      <c r="AJ177" s="285" t="n">
        <f aca="false">OperatingCurve!AW202</f>
        <v>10.587</v>
      </c>
      <c r="AK177" s="285" t="n">
        <f aca="false">OperatingCurve!AY202</f>
        <v>13.23375</v>
      </c>
      <c r="AM177" s="286" t="n">
        <f aca="false">OperatingCurve!AL202</f>
        <v>57</v>
      </c>
      <c r="AN177" s="287" t="n">
        <f aca="false">OperatingCurve!AM202</f>
        <v>0.4</v>
      </c>
      <c r="BE177" s="284" t="n">
        <f aca="false">OperatingCurve!V202</f>
        <v>42036</v>
      </c>
      <c r="BF177" s="289" t="n">
        <f aca="false">OperatingCurve!AZ202</f>
        <v>0</v>
      </c>
    </row>
    <row r="178" customFormat="false" ht="12.75" hidden="false" customHeight="false" outlineLevel="0" collapsed="false">
      <c r="A178" s="282" t="n">
        <f aca="false">OperatingCurve!D174</f>
        <v>41183</v>
      </c>
      <c r="B178" s="283" t="n">
        <f aca="false">OperatingCurve!H174</f>
        <v>33.024</v>
      </c>
      <c r="C178" s="283" t="n">
        <f aca="false">OperatingCurve!G174</f>
        <v>38.369</v>
      </c>
      <c r="D178" s="283" t="n">
        <f aca="false">OperatingCurve!I174</f>
        <v>66.969</v>
      </c>
      <c r="E178" s="278"/>
      <c r="F178" s="283" t="n">
        <f aca="false">OperatingCurve!M174</f>
        <v>0</v>
      </c>
      <c r="G178" s="283" t="n">
        <f aca="false">OperatingCurve!L174</f>
        <v>0</v>
      </c>
      <c r="H178" s="283" t="n">
        <f aca="false">OperatingCurve!N174</f>
        <v>0</v>
      </c>
      <c r="I178" s="273"/>
      <c r="J178" s="284" t="n">
        <f aca="false">OperatingCurve!V203</f>
        <v>42064</v>
      </c>
      <c r="K178" s="285" t="n">
        <f aca="false">OperatingCurve!Z203</f>
        <v>0</v>
      </c>
      <c r="L178" s="285" t="n">
        <f aca="false">OperatingCurve!Y203</f>
        <v>0</v>
      </c>
      <c r="M178" s="285" t="n">
        <f aca="false">OperatingCurve!AA203</f>
        <v>0</v>
      </c>
      <c r="O178" s="285" t="n">
        <f aca="false">OperatingCurve!AE203</f>
        <v>0</v>
      </c>
      <c r="P178" s="285" t="n">
        <f aca="false">OperatingCurve!AD203</f>
        <v>0</v>
      </c>
      <c r="Q178" s="285" t="n">
        <f aca="false">OperatingCurve!AF203</f>
        <v>0</v>
      </c>
      <c r="S178" s="285" t="n">
        <f aca="false">OperatingCurve!AJ203</f>
        <v>0</v>
      </c>
      <c r="T178" s="285" t="n">
        <f aca="false">OperatingCurve!AI203</f>
        <v>0</v>
      </c>
      <c r="U178" s="285" t="n">
        <f aca="false">OperatingCurve!AK203</f>
        <v>0</v>
      </c>
      <c r="W178" s="285" t="n">
        <f aca="false">OperatingCurve!AO203</f>
        <v>0.153</v>
      </c>
      <c r="X178" s="285" t="n">
        <f aca="false">OperatingCurve!AN203</f>
        <v>0.34</v>
      </c>
      <c r="Y178" s="285" t="n">
        <f aca="false">OperatingCurve!AP203</f>
        <v>0.425</v>
      </c>
      <c r="AA178" s="285" t="n">
        <f aca="false">OperatingCurve!AR203</f>
        <v>0.136</v>
      </c>
      <c r="AB178" s="285" t="n">
        <f aca="false">OperatingCurve!AQ203</f>
        <v>0.34</v>
      </c>
      <c r="AC178" s="285" t="n">
        <f aca="false">OperatingCurve!AS203</f>
        <v>0.255</v>
      </c>
      <c r="AE178" s="285" t="n">
        <f aca="false">OperatingCurve!AU203</f>
        <v>-0.395696014851329</v>
      </c>
      <c r="AF178" s="285" t="n">
        <f aca="false">OperatingCurve!AT203</f>
        <v>6.33113623762127</v>
      </c>
      <c r="AG178" s="285" t="n">
        <f aca="false">OperatingCurve!AV203</f>
        <v>7.91392029702658</v>
      </c>
      <c r="AI178" s="285" t="n">
        <f aca="false">OperatingCurve!AX203</f>
        <v>-0.667575</v>
      </c>
      <c r="AJ178" s="285" t="n">
        <f aca="false">OperatingCurve!AW203</f>
        <v>10.6812</v>
      </c>
      <c r="AK178" s="285" t="n">
        <f aca="false">OperatingCurve!AY203</f>
        <v>13.3515</v>
      </c>
      <c r="AM178" s="286" t="n">
        <f aca="false">OperatingCurve!AL203</f>
        <v>57</v>
      </c>
      <c r="AN178" s="287" t="n">
        <f aca="false">OperatingCurve!AM203</f>
        <v>0.4</v>
      </c>
      <c r="BE178" s="284" t="n">
        <f aca="false">OperatingCurve!V203</f>
        <v>42064</v>
      </c>
      <c r="BF178" s="289" t="n">
        <f aca="false">OperatingCurve!AZ203</f>
        <v>0</v>
      </c>
    </row>
    <row r="179" customFormat="false" ht="12.75" hidden="false" customHeight="false" outlineLevel="0" collapsed="false">
      <c r="A179" s="282" t="n">
        <f aca="false">OperatingCurve!D175</f>
        <v>41214</v>
      </c>
      <c r="B179" s="283" t="n">
        <f aca="false">OperatingCurve!H175</f>
        <v>26.676</v>
      </c>
      <c r="C179" s="283" t="n">
        <f aca="false">OperatingCurve!G175</f>
        <v>31.961</v>
      </c>
      <c r="D179" s="283" t="n">
        <f aca="false">OperatingCurve!I175</f>
        <v>60.249</v>
      </c>
      <c r="E179" s="278"/>
      <c r="F179" s="283" t="n">
        <f aca="false">OperatingCurve!M175</f>
        <v>0</v>
      </c>
      <c r="G179" s="283" t="n">
        <f aca="false">OperatingCurve!L175</f>
        <v>0</v>
      </c>
      <c r="H179" s="283" t="n">
        <f aca="false">OperatingCurve!N175</f>
        <v>0</v>
      </c>
      <c r="I179" s="273"/>
      <c r="J179" s="284" t="n">
        <f aca="false">OperatingCurve!V204</f>
        <v>42095</v>
      </c>
      <c r="K179" s="285" t="n">
        <f aca="false">OperatingCurve!Z204</f>
        <v>0</v>
      </c>
      <c r="L179" s="285" t="n">
        <f aca="false">OperatingCurve!Y204</f>
        <v>0</v>
      </c>
      <c r="M179" s="285" t="n">
        <f aca="false">OperatingCurve!AA204</f>
        <v>0</v>
      </c>
      <c r="O179" s="285" t="n">
        <f aca="false">OperatingCurve!AE204</f>
        <v>0</v>
      </c>
      <c r="P179" s="285" t="n">
        <f aca="false">OperatingCurve!AD204</f>
        <v>0</v>
      </c>
      <c r="Q179" s="285" t="n">
        <f aca="false">OperatingCurve!AF204</f>
        <v>0</v>
      </c>
      <c r="S179" s="285" t="n">
        <f aca="false">OperatingCurve!AJ204</f>
        <v>0</v>
      </c>
      <c r="T179" s="285" t="n">
        <f aca="false">OperatingCurve!AI204</f>
        <v>0</v>
      </c>
      <c r="U179" s="285" t="n">
        <f aca="false">OperatingCurve!AK204</f>
        <v>0</v>
      </c>
      <c r="W179" s="285" t="n">
        <f aca="false">OperatingCurve!AO204</f>
        <v>0.153</v>
      </c>
      <c r="X179" s="285" t="n">
        <f aca="false">OperatingCurve!AN204</f>
        <v>0.34</v>
      </c>
      <c r="Y179" s="285" t="n">
        <f aca="false">OperatingCurve!AP204</f>
        <v>0.425</v>
      </c>
      <c r="AA179" s="285" t="n">
        <f aca="false">OperatingCurve!AR204</f>
        <v>0.136</v>
      </c>
      <c r="AB179" s="285" t="n">
        <f aca="false">OperatingCurve!AQ204</f>
        <v>0.34</v>
      </c>
      <c r="AC179" s="285" t="n">
        <f aca="false">OperatingCurve!AS204</f>
        <v>0.255</v>
      </c>
      <c r="AE179" s="285" t="n">
        <f aca="false">OperatingCurve!AU204</f>
        <v>-0.395696014851329</v>
      </c>
      <c r="AF179" s="285" t="n">
        <f aca="false">OperatingCurve!AT204</f>
        <v>6.33113623762127</v>
      </c>
      <c r="AG179" s="285" t="n">
        <f aca="false">OperatingCurve!AV204</f>
        <v>7.91392029702658</v>
      </c>
      <c r="AI179" s="285" t="n">
        <f aca="false">OperatingCurve!AX204</f>
        <v>-0.667575</v>
      </c>
      <c r="AJ179" s="285" t="n">
        <f aca="false">OperatingCurve!AW204</f>
        <v>10.6812</v>
      </c>
      <c r="AK179" s="285" t="n">
        <f aca="false">OperatingCurve!AY204</f>
        <v>13.3515</v>
      </c>
      <c r="AM179" s="286" t="n">
        <f aca="false">OperatingCurve!AL204</f>
        <v>58</v>
      </c>
      <c r="AN179" s="287" t="n">
        <f aca="false">OperatingCurve!AM204</f>
        <v>0.4</v>
      </c>
      <c r="BE179" s="284" t="n">
        <f aca="false">OperatingCurve!V204</f>
        <v>42095</v>
      </c>
      <c r="BF179" s="289" t="n">
        <f aca="false">OperatingCurve!AZ204</f>
        <v>0</v>
      </c>
    </row>
    <row r="180" customFormat="false" ht="12.75" hidden="false" customHeight="false" outlineLevel="0" collapsed="false">
      <c r="A180" s="282" t="n">
        <f aca="false">OperatingCurve!D176</f>
        <v>41244</v>
      </c>
      <c r="B180" s="283" t="n">
        <f aca="false">OperatingCurve!H176</f>
        <v>27.729</v>
      </c>
      <c r="C180" s="283" t="n">
        <f aca="false">OperatingCurve!G176</f>
        <v>33.024</v>
      </c>
      <c r="D180" s="283" t="n">
        <f aca="false">OperatingCurve!I176</f>
        <v>61.364</v>
      </c>
      <c r="E180" s="278"/>
      <c r="F180" s="283" t="n">
        <f aca="false">OperatingCurve!M176</f>
        <v>0</v>
      </c>
      <c r="G180" s="283" t="n">
        <f aca="false">OperatingCurve!L176</f>
        <v>0</v>
      </c>
      <c r="H180" s="283" t="n">
        <f aca="false">OperatingCurve!N176</f>
        <v>0</v>
      </c>
      <c r="I180" s="273"/>
      <c r="J180" s="284" t="n">
        <f aca="false">OperatingCurve!V205</f>
        <v>42125</v>
      </c>
      <c r="K180" s="285" t="n">
        <f aca="false">OperatingCurve!Z205</f>
        <v>0</v>
      </c>
      <c r="L180" s="285" t="n">
        <f aca="false">OperatingCurve!Y205</f>
        <v>0</v>
      </c>
      <c r="M180" s="285" t="n">
        <f aca="false">OperatingCurve!AA205</f>
        <v>0</v>
      </c>
      <c r="O180" s="285" t="n">
        <f aca="false">OperatingCurve!AE205</f>
        <v>0</v>
      </c>
      <c r="P180" s="285" t="n">
        <f aca="false">OperatingCurve!AD205</f>
        <v>0</v>
      </c>
      <c r="Q180" s="285" t="n">
        <f aca="false">OperatingCurve!AF205</f>
        <v>0</v>
      </c>
      <c r="S180" s="285" t="n">
        <f aca="false">OperatingCurve!AJ205</f>
        <v>0</v>
      </c>
      <c r="T180" s="285" t="n">
        <f aca="false">OperatingCurve!AI205</f>
        <v>0</v>
      </c>
      <c r="U180" s="285" t="n">
        <f aca="false">OperatingCurve!AK205</f>
        <v>0</v>
      </c>
      <c r="W180" s="285" t="n">
        <f aca="false">OperatingCurve!AO205</f>
        <v>0.153</v>
      </c>
      <c r="X180" s="285" t="n">
        <f aca="false">OperatingCurve!AN205</f>
        <v>0.34</v>
      </c>
      <c r="Y180" s="285" t="n">
        <f aca="false">OperatingCurve!AP205</f>
        <v>0.425</v>
      </c>
      <c r="AA180" s="285" t="n">
        <f aca="false">OperatingCurve!AR205</f>
        <v>0.136</v>
      </c>
      <c r="AB180" s="285" t="n">
        <f aca="false">OperatingCurve!AQ205</f>
        <v>0.34</v>
      </c>
      <c r="AC180" s="285" t="n">
        <f aca="false">OperatingCurve!AS205</f>
        <v>0.255</v>
      </c>
      <c r="AE180" s="285" t="n">
        <f aca="false">OperatingCurve!AU205</f>
        <v>-0.419655399211954</v>
      </c>
      <c r="AF180" s="285" t="n">
        <f aca="false">OperatingCurve!AT205</f>
        <v>6.71448638739126</v>
      </c>
      <c r="AG180" s="285" t="n">
        <f aca="false">OperatingCurve!AV205</f>
        <v>8.39310798423907</v>
      </c>
      <c r="AI180" s="285" t="n">
        <f aca="false">OperatingCurve!AX205</f>
        <v>-0.6499125</v>
      </c>
      <c r="AJ180" s="285" t="n">
        <f aca="false">OperatingCurve!AW205</f>
        <v>10.3986</v>
      </c>
      <c r="AK180" s="285" t="n">
        <f aca="false">OperatingCurve!AY205</f>
        <v>12.99825</v>
      </c>
      <c r="AM180" s="286" t="n">
        <f aca="false">OperatingCurve!AL205</f>
        <v>58</v>
      </c>
      <c r="AN180" s="287" t="n">
        <f aca="false">OperatingCurve!AM205</f>
        <v>0.4</v>
      </c>
      <c r="BE180" s="284" t="n">
        <f aca="false">OperatingCurve!V205</f>
        <v>42125</v>
      </c>
      <c r="BF180" s="289" t="n">
        <f aca="false">OperatingCurve!AZ205</f>
        <v>0</v>
      </c>
    </row>
    <row r="181" customFormat="false" ht="12.75" hidden="false" customHeight="false" outlineLevel="0" collapsed="false">
      <c r="A181" s="282" t="n">
        <f aca="false">OperatingCurve!D177</f>
        <v>41275</v>
      </c>
      <c r="B181" s="283" t="n">
        <f aca="false">OperatingCurve!H177</f>
        <v>28.784</v>
      </c>
      <c r="C181" s="283" t="n">
        <f aca="false">OperatingCurve!G177</f>
        <v>34.089</v>
      </c>
      <c r="D181" s="283" t="n">
        <f aca="false">OperatingCurve!I177</f>
        <v>63.6</v>
      </c>
      <c r="E181" s="278"/>
      <c r="F181" s="283" t="n">
        <f aca="false">OperatingCurve!M177</f>
        <v>0</v>
      </c>
      <c r="G181" s="283" t="n">
        <f aca="false">OperatingCurve!L177</f>
        <v>0</v>
      </c>
      <c r="H181" s="283" t="n">
        <f aca="false">OperatingCurve!N177</f>
        <v>0</v>
      </c>
      <c r="I181" s="273"/>
      <c r="J181" s="284" t="n">
        <f aca="false">OperatingCurve!V206</f>
        <v>42156</v>
      </c>
      <c r="K181" s="285" t="n">
        <f aca="false">OperatingCurve!Z206</f>
        <v>0</v>
      </c>
      <c r="L181" s="285" t="n">
        <f aca="false">OperatingCurve!Y206</f>
        <v>0</v>
      </c>
      <c r="M181" s="285" t="n">
        <f aca="false">OperatingCurve!AA206</f>
        <v>0</v>
      </c>
      <c r="O181" s="285" t="n">
        <f aca="false">OperatingCurve!AE206</f>
        <v>0</v>
      </c>
      <c r="P181" s="285" t="n">
        <f aca="false">OperatingCurve!AD206</f>
        <v>0</v>
      </c>
      <c r="Q181" s="285" t="n">
        <f aca="false">OperatingCurve!AF206</f>
        <v>0</v>
      </c>
      <c r="S181" s="285" t="n">
        <f aca="false">OperatingCurve!AJ206</f>
        <v>0</v>
      </c>
      <c r="T181" s="285" t="n">
        <f aca="false">OperatingCurve!AI206</f>
        <v>0</v>
      </c>
      <c r="U181" s="285" t="n">
        <f aca="false">OperatingCurve!AK206</f>
        <v>0</v>
      </c>
      <c r="W181" s="285" t="n">
        <f aca="false">OperatingCurve!AO206</f>
        <v>0.153</v>
      </c>
      <c r="X181" s="285" t="n">
        <f aca="false">OperatingCurve!AN206</f>
        <v>0.34</v>
      </c>
      <c r="Y181" s="285" t="n">
        <f aca="false">OperatingCurve!AP206</f>
        <v>0.425</v>
      </c>
      <c r="AA181" s="285" t="n">
        <f aca="false">OperatingCurve!AR206</f>
        <v>0.136</v>
      </c>
      <c r="AB181" s="285" t="n">
        <f aca="false">OperatingCurve!AQ206</f>
        <v>0.34</v>
      </c>
      <c r="AC181" s="285" t="n">
        <f aca="false">OperatingCurve!AS206</f>
        <v>0.255</v>
      </c>
      <c r="AE181" s="285" t="n">
        <f aca="false">OperatingCurve!AU206</f>
        <v>-0.517091326059428</v>
      </c>
      <c r="AF181" s="285" t="n">
        <f aca="false">OperatingCurve!AT206</f>
        <v>8.27346121695085</v>
      </c>
      <c r="AG181" s="285" t="n">
        <f aca="false">OperatingCurve!AV206</f>
        <v>10.3418265211886</v>
      </c>
      <c r="AI181" s="285" t="n">
        <f aca="false">OperatingCurve!AX206</f>
        <v>-0.6087</v>
      </c>
      <c r="AJ181" s="285" t="n">
        <f aca="false">OperatingCurve!AW206</f>
        <v>9.7392</v>
      </c>
      <c r="AK181" s="285" t="n">
        <f aca="false">OperatingCurve!AY206</f>
        <v>12.174</v>
      </c>
      <c r="AM181" s="286" t="n">
        <f aca="false">OperatingCurve!AL206</f>
        <v>58</v>
      </c>
      <c r="AN181" s="287" t="n">
        <f aca="false">OperatingCurve!AM206</f>
        <v>0.4</v>
      </c>
      <c r="BE181" s="284" t="n">
        <f aca="false">OperatingCurve!V206</f>
        <v>42156</v>
      </c>
      <c r="BF181" s="289" t="n">
        <f aca="false">OperatingCurve!AZ206</f>
        <v>0</v>
      </c>
    </row>
    <row r="182" customFormat="false" ht="12.75" hidden="false" customHeight="false" outlineLevel="0" collapsed="false">
      <c r="A182" s="282" t="n">
        <f aca="false">OperatingCurve!D178</f>
        <v>41306</v>
      </c>
      <c r="B182" s="283" t="n">
        <f aca="false">OperatingCurve!H178</f>
        <v>25.625</v>
      </c>
      <c r="C182" s="283" t="n">
        <f aca="false">OperatingCurve!G178</f>
        <v>30.9</v>
      </c>
      <c r="D182" s="283" t="n">
        <f aca="false">OperatingCurve!I178</f>
        <v>60.249</v>
      </c>
      <c r="E182" s="278"/>
      <c r="F182" s="283" t="n">
        <f aca="false">OperatingCurve!M178</f>
        <v>0</v>
      </c>
      <c r="G182" s="283" t="n">
        <f aca="false">OperatingCurve!L178</f>
        <v>0</v>
      </c>
      <c r="H182" s="283" t="n">
        <f aca="false">OperatingCurve!N178</f>
        <v>0</v>
      </c>
      <c r="I182" s="273"/>
      <c r="J182" s="284" t="n">
        <f aca="false">OperatingCurve!V207</f>
        <v>42186</v>
      </c>
      <c r="K182" s="285" t="n">
        <f aca="false">OperatingCurve!Z207</f>
        <v>0</v>
      </c>
      <c r="L182" s="285" t="n">
        <f aca="false">OperatingCurve!Y207</f>
        <v>0</v>
      </c>
      <c r="M182" s="285" t="n">
        <f aca="false">OperatingCurve!AA207</f>
        <v>0</v>
      </c>
      <c r="O182" s="285" t="n">
        <f aca="false">OperatingCurve!AE207</f>
        <v>0</v>
      </c>
      <c r="P182" s="285" t="n">
        <f aca="false">OperatingCurve!AD207</f>
        <v>0</v>
      </c>
      <c r="Q182" s="285" t="n">
        <f aca="false">OperatingCurve!AF207</f>
        <v>0</v>
      </c>
      <c r="S182" s="285" t="n">
        <f aca="false">OperatingCurve!AJ207</f>
        <v>0</v>
      </c>
      <c r="T182" s="285" t="n">
        <f aca="false">OperatingCurve!AI207</f>
        <v>0</v>
      </c>
      <c r="U182" s="285" t="n">
        <f aca="false">OperatingCurve!AK207</f>
        <v>0</v>
      </c>
      <c r="W182" s="285" t="n">
        <f aca="false">OperatingCurve!AO207</f>
        <v>0.153</v>
      </c>
      <c r="X182" s="285" t="n">
        <f aca="false">OperatingCurve!AN207</f>
        <v>0.34</v>
      </c>
      <c r="Y182" s="285" t="n">
        <f aca="false">OperatingCurve!AP207</f>
        <v>0.425</v>
      </c>
      <c r="AA182" s="285" t="n">
        <f aca="false">OperatingCurve!AR207</f>
        <v>0.136</v>
      </c>
      <c r="AB182" s="285" t="n">
        <f aca="false">OperatingCurve!AQ207</f>
        <v>0.34</v>
      </c>
      <c r="AC182" s="285" t="n">
        <f aca="false">OperatingCurve!AS207</f>
        <v>0.255</v>
      </c>
      <c r="AE182" s="285" t="n">
        <f aca="false">OperatingCurve!AU207</f>
        <v>-0.517091326059428</v>
      </c>
      <c r="AF182" s="285" t="n">
        <f aca="false">OperatingCurve!AT207</f>
        <v>8.27346121695085</v>
      </c>
      <c r="AG182" s="285" t="n">
        <f aca="false">OperatingCurve!AV207</f>
        <v>10.3418265211886</v>
      </c>
      <c r="AI182" s="285" t="n">
        <f aca="false">OperatingCurve!AX207</f>
        <v>-0.6087</v>
      </c>
      <c r="AJ182" s="285" t="n">
        <f aca="false">OperatingCurve!AW207</f>
        <v>9.7392</v>
      </c>
      <c r="AK182" s="285" t="n">
        <f aca="false">OperatingCurve!AY207</f>
        <v>12.174</v>
      </c>
      <c r="AM182" s="286" t="n">
        <f aca="false">OperatingCurve!AL207</f>
        <v>59</v>
      </c>
      <c r="AN182" s="287" t="n">
        <f aca="false">OperatingCurve!AM207</f>
        <v>0.4</v>
      </c>
      <c r="BE182" s="284" t="n">
        <f aca="false">OperatingCurve!V207</f>
        <v>42186</v>
      </c>
      <c r="BF182" s="289" t="n">
        <f aca="false">OperatingCurve!AZ207</f>
        <v>0</v>
      </c>
    </row>
    <row r="183" customFormat="false" ht="12.75" hidden="false" customHeight="false" outlineLevel="0" collapsed="false">
      <c r="A183" s="282" t="n">
        <f aca="false">OperatingCurve!D179</f>
        <v>41334</v>
      </c>
      <c r="B183" s="283" t="n">
        <f aca="false">OperatingCurve!H179</f>
        <v>24.576</v>
      </c>
      <c r="C183" s="283" t="n">
        <f aca="false">OperatingCurve!G179</f>
        <v>29.841</v>
      </c>
      <c r="D183" s="283" t="n">
        <f aca="false">OperatingCurve!I179</f>
        <v>59.136</v>
      </c>
      <c r="E183" s="278"/>
      <c r="F183" s="283" t="n">
        <f aca="false">OperatingCurve!M179</f>
        <v>0</v>
      </c>
      <c r="G183" s="283" t="n">
        <f aca="false">OperatingCurve!L179</f>
        <v>0</v>
      </c>
      <c r="H183" s="283" t="n">
        <f aca="false">OperatingCurve!N179</f>
        <v>0</v>
      </c>
      <c r="I183" s="273"/>
      <c r="J183" s="284" t="n">
        <f aca="false">OperatingCurve!V208</f>
        <v>42217</v>
      </c>
      <c r="K183" s="285" t="n">
        <f aca="false">OperatingCurve!Z208</f>
        <v>0</v>
      </c>
      <c r="L183" s="285" t="n">
        <f aca="false">OperatingCurve!Y208</f>
        <v>0</v>
      </c>
      <c r="M183" s="285" t="n">
        <f aca="false">OperatingCurve!AA208</f>
        <v>0</v>
      </c>
      <c r="O183" s="285" t="n">
        <f aca="false">OperatingCurve!AE208</f>
        <v>0</v>
      </c>
      <c r="P183" s="285" t="n">
        <f aca="false">OperatingCurve!AD208</f>
        <v>0</v>
      </c>
      <c r="Q183" s="285" t="n">
        <f aca="false">OperatingCurve!AF208</f>
        <v>0</v>
      </c>
      <c r="S183" s="285" t="n">
        <f aca="false">OperatingCurve!AJ208</f>
        <v>0</v>
      </c>
      <c r="T183" s="285" t="n">
        <f aca="false">OperatingCurve!AI208</f>
        <v>0</v>
      </c>
      <c r="U183" s="285" t="n">
        <f aca="false">OperatingCurve!AK208</f>
        <v>0</v>
      </c>
      <c r="W183" s="285" t="n">
        <f aca="false">OperatingCurve!AO208</f>
        <v>0.153</v>
      </c>
      <c r="X183" s="285" t="n">
        <f aca="false">OperatingCurve!AN208</f>
        <v>0.34</v>
      </c>
      <c r="Y183" s="285" t="n">
        <f aca="false">OperatingCurve!AP208</f>
        <v>0.425</v>
      </c>
      <c r="AA183" s="285" t="n">
        <f aca="false">OperatingCurve!AR208</f>
        <v>0.136</v>
      </c>
      <c r="AB183" s="285" t="n">
        <f aca="false">OperatingCurve!AQ208</f>
        <v>0.34</v>
      </c>
      <c r="AC183" s="285" t="n">
        <f aca="false">OperatingCurve!AS208</f>
        <v>0.255</v>
      </c>
      <c r="AE183" s="285" t="n">
        <f aca="false">OperatingCurve!AU208</f>
        <v>-0.552146177512111</v>
      </c>
      <c r="AF183" s="285" t="n">
        <f aca="false">OperatingCurve!AT208</f>
        <v>8.83433884019377</v>
      </c>
      <c r="AG183" s="285" t="n">
        <f aca="false">OperatingCurve!AV208</f>
        <v>11.0429235502422</v>
      </c>
      <c r="AI183" s="285" t="n">
        <f aca="false">OperatingCurve!AX208</f>
        <v>-0.596925</v>
      </c>
      <c r="AJ183" s="285" t="n">
        <f aca="false">OperatingCurve!AW208</f>
        <v>9.5508</v>
      </c>
      <c r="AK183" s="285" t="n">
        <f aca="false">OperatingCurve!AY208</f>
        <v>11.9385</v>
      </c>
      <c r="AM183" s="286" t="n">
        <f aca="false">OperatingCurve!AL208</f>
        <v>59</v>
      </c>
      <c r="AN183" s="287" t="n">
        <f aca="false">OperatingCurve!AM208</f>
        <v>0.4</v>
      </c>
      <c r="BE183" s="284" t="n">
        <f aca="false">OperatingCurve!V208</f>
        <v>42217</v>
      </c>
      <c r="BF183" s="289" t="n">
        <f aca="false">OperatingCurve!AZ208</f>
        <v>0</v>
      </c>
    </row>
    <row r="184" customFormat="false" ht="12.75" hidden="false" customHeight="false" outlineLevel="0" collapsed="false">
      <c r="A184" s="282" t="n">
        <f aca="false">OperatingCurve!D180</f>
        <v>41365</v>
      </c>
      <c r="B184" s="283" t="n">
        <f aca="false">OperatingCurve!H180</f>
        <v>24.576</v>
      </c>
      <c r="C184" s="283" t="n">
        <f aca="false">OperatingCurve!G180</f>
        <v>29.841</v>
      </c>
      <c r="D184" s="283" t="n">
        <f aca="false">OperatingCurve!I180</f>
        <v>59.136</v>
      </c>
      <c r="E184" s="278"/>
      <c r="F184" s="283" t="n">
        <f aca="false">OperatingCurve!M180</f>
        <v>0</v>
      </c>
      <c r="G184" s="283" t="n">
        <f aca="false">OperatingCurve!L180</f>
        <v>0</v>
      </c>
      <c r="H184" s="283" t="n">
        <f aca="false">OperatingCurve!N180</f>
        <v>0</v>
      </c>
      <c r="I184" s="273"/>
      <c r="J184" s="284" t="n">
        <f aca="false">OperatingCurve!V209</f>
        <v>42248</v>
      </c>
      <c r="K184" s="285" t="n">
        <f aca="false">OperatingCurve!Z209</f>
        <v>0</v>
      </c>
      <c r="L184" s="285" t="n">
        <f aca="false">OperatingCurve!Y209</f>
        <v>0</v>
      </c>
      <c r="M184" s="285" t="n">
        <f aca="false">OperatingCurve!AA209</f>
        <v>0</v>
      </c>
      <c r="O184" s="285" t="n">
        <f aca="false">OperatingCurve!AE209</f>
        <v>0</v>
      </c>
      <c r="P184" s="285" t="n">
        <f aca="false">OperatingCurve!AD209</f>
        <v>0</v>
      </c>
      <c r="Q184" s="285" t="n">
        <f aca="false">OperatingCurve!AF209</f>
        <v>0</v>
      </c>
      <c r="S184" s="285" t="n">
        <f aca="false">OperatingCurve!AJ209</f>
        <v>0</v>
      </c>
      <c r="T184" s="285" t="n">
        <f aca="false">OperatingCurve!AI209</f>
        <v>0</v>
      </c>
      <c r="U184" s="285" t="n">
        <f aca="false">OperatingCurve!AK209</f>
        <v>0</v>
      </c>
      <c r="W184" s="285" t="n">
        <f aca="false">OperatingCurve!AO209</f>
        <v>0.153</v>
      </c>
      <c r="X184" s="285" t="n">
        <f aca="false">OperatingCurve!AN209</f>
        <v>0.34</v>
      </c>
      <c r="Y184" s="285" t="n">
        <f aca="false">OperatingCurve!AP209</f>
        <v>0.425</v>
      </c>
      <c r="AA184" s="285" t="n">
        <f aca="false">OperatingCurve!AR209</f>
        <v>0.136</v>
      </c>
      <c r="AB184" s="285" t="n">
        <f aca="false">OperatingCurve!AQ209</f>
        <v>0.34</v>
      </c>
      <c r="AC184" s="285" t="n">
        <f aca="false">OperatingCurve!AS209</f>
        <v>0.255</v>
      </c>
      <c r="AE184" s="285" t="n">
        <f aca="false">OperatingCurve!AU209</f>
        <v>-0.455637578174882</v>
      </c>
      <c r="AF184" s="285" t="n">
        <f aca="false">OperatingCurve!AT209</f>
        <v>7.29020125079811</v>
      </c>
      <c r="AG184" s="285" t="n">
        <f aca="false">OperatingCurve!AV209</f>
        <v>9.11275156349763</v>
      </c>
      <c r="AI184" s="285" t="n">
        <f aca="false">OperatingCurve!AX209</f>
        <v>-0.63225</v>
      </c>
      <c r="AJ184" s="285" t="n">
        <f aca="false">OperatingCurve!AW209</f>
        <v>10.116</v>
      </c>
      <c r="AK184" s="285" t="n">
        <f aca="false">OperatingCurve!AY209</f>
        <v>12.645</v>
      </c>
      <c r="AM184" s="286" t="n">
        <f aca="false">OperatingCurve!AL209</f>
        <v>59</v>
      </c>
      <c r="AN184" s="287" t="n">
        <f aca="false">OperatingCurve!AM209</f>
        <v>0.4</v>
      </c>
      <c r="BE184" s="284" t="n">
        <f aca="false">OperatingCurve!V209</f>
        <v>42248</v>
      </c>
      <c r="BF184" s="289" t="n">
        <f aca="false">OperatingCurve!AZ209</f>
        <v>0</v>
      </c>
    </row>
    <row r="185" customFormat="false" ht="12.75" hidden="false" customHeight="false" outlineLevel="0" collapsed="false">
      <c r="A185" s="282" t="n">
        <f aca="false">OperatingCurve!D181</f>
        <v>41395</v>
      </c>
      <c r="B185" s="283" t="n">
        <f aca="false">OperatingCurve!H181</f>
        <v>27.729</v>
      </c>
      <c r="C185" s="283" t="n">
        <f aca="false">OperatingCurve!G181</f>
        <v>33.024</v>
      </c>
      <c r="D185" s="283" t="n">
        <f aca="false">OperatingCurve!I181</f>
        <v>62.481</v>
      </c>
      <c r="E185" s="278"/>
      <c r="F185" s="283" t="n">
        <f aca="false">OperatingCurve!M181</f>
        <v>0</v>
      </c>
      <c r="G185" s="283" t="n">
        <f aca="false">OperatingCurve!L181</f>
        <v>0</v>
      </c>
      <c r="H185" s="283" t="n">
        <f aca="false">OperatingCurve!N181</f>
        <v>0</v>
      </c>
      <c r="I185" s="273"/>
      <c r="J185" s="284" t="n">
        <f aca="false">OperatingCurve!V210</f>
        <v>42278</v>
      </c>
      <c r="K185" s="285" t="n">
        <f aca="false">OperatingCurve!Z210</f>
        <v>0</v>
      </c>
      <c r="L185" s="285" t="n">
        <f aca="false">OperatingCurve!Y210</f>
        <v>0</v>
      </c>
      <c r="M185" s="285" t="n">
        <f aca="false">OperatingCurve!AA210</f>
        <v>0</v>
      </c>
      <c r="O185" s="285" t="n">
        <f aca="false">OperatingCurve!AE210</f>
        <v>0</v>
      </c>
      <c r="P185" s="285" t="n">
        <f aca="false">OperatingCurve!AD210</f>
        <v>0</v>
      </c>
      <c r="Q185" s="285" t="n">
        <f aca="false">OperatingCurve!AF210</f>
        <v>0</v>
      </c>
      <c r="S185" s="285" t="n">
        <f aca="false">OperatingCurve!AJ210</f>
        <v>0</v>
      </c>
      <c r="T185" s="285" t="n">
        <f aca="false">OperatingCurve!AI210</f>
        <v>0</v>
      </c>
      <c r="U185" s="285" t="n">
        <f aca="false">OperatingCurve!AK210</f>
        <v>0</v>
      </c>
      <c r="W185" s="285" t="n">
        <f aca="false">OperatingCurve!AO210</f>
        <v>0.153</v>
      </c>
      <c r="X185" s="285" t="n">
        <f aca="false">OperatingCurve!AN210</f>
        <v>0.34</v>
      </c>
      <c r="Y185" s="285" t="n">
        <f aca="false">OperatingCurve!AP210</f>
        <v>0.425</v>
      </c>
      <c r="AA185" s="285" t="n">
        <f aca="false">OperatingCurve!AR210</f>
        <v>0.136</v>
      </c>
      <c r="AB185" s="285" t="n">
        <f aca="false">OperatingCurve!AQ210</f>
        <v>0.34</v>
      </c>
      <c r="AC185" s="285" t="n">
        <f aca="false">OperatingCurve!AS210</f>
        <v>0.255</v>
      </c>
      <c r="AE185" s="285" t="n">
        <f aca="false">OperatingCurve!AU210</f>
        <v>-0.484735205974953</v>
      </c>
      <c r="AF185" s="285" t="n">
        <f aca="false">OperatingCurve!AT210</f>
        <v>7.75576329559925</v>
      </c>
      <c r="AG185" s="285" t="n">
        <f aca="false">OperatingCurve!AV210</f>
        <v>9.69470411949907</v>
      </c>
      <c r="AI185" s="285" t="n">
        <f aca="false">OperatingCurve!AX210</f>
        <v>-0.620475</v>
      </c>
      <c r="AJ185" s="285" t="n">
        <f aca="false">OperatingCurve!AW210</f>
        <v>9.9276</v>
      </c>
      <c r="AK185" s="285" t="n">
        <f aca="false">OperatingCurve!AY210</f>
        <v>12.4095</v>
      </c>
      <c r="AM185" s="286" t="n">
        <f aca="false">OperatingCurve!AL210</f>
        <v>60</v>
      </c>
      <c r="AN185" s="287" t="n">
        <f aca="false">OperatingCurve!AM210</f>
        <v>0.4</v>
      </c>
      <c r="BE185" s="284" t="n">
        <f aca="false">OperatingCurve!V210</f>
        <v>42278</v>
      </c>
      <c r="BF185" s="289" t="n">
        <f aca="false">OperatingCurve!AZ210</f>
        <v>0</v>
      </c>
    </row>
    <row r="186" customFormat="false" ht="12.75" hidden="false" customHeight="false" outlineLevel="0" collapsed="false">
      <c r="A186" s="282" t="n">
        <f aca="false">OperatingCurve!D182</f>
        <v>41426</v>
      </c>
      <c r="B186" s="283" t="n">
        <f aca="false">OperatingCurve!H182</f>
        <v>35.156</v>
      </c>
      <c r="C186" s="283" t="n">
        <f aca="false">OperatingCurve!G182</f>
        <v>40.521</v>
      </c>
      <c r="D186" s="283" t="n">
        <f aca="false">OperatingCurve!I182</f>
        <v>70.356</v>
      </c>
      <c r="E186" s="278"/>
      <c r="F186" s="283" t="n">
        <f aca="false">OperatingCurve!M182</f>
        <v>0</v>
      </c>
      <c r="G186" s="283" t="n">
        <f aca="false">OperatingCurve!L182</f>
        <v>0</v>
      </c>
      <c r="H186" s="283" t="n">
        <f aca="false">OperatingCurve!N182</f>
        <v>0</v>
      </c>
      <c r="I186" s="273"/>
      <c r="J186" s="284" t="n">
        <f aca="false">OperatingCurve!V211</f>
        <v>42309</v>
      </c>
      <c r="K186" s="285" t="n">
        <f aca="false">OperatingCurve!Z211</f>
        <v>0</v>
      </c>
      <c r="L186" s="285" t="n">
        <f aca="false">OperatingCurve!Y211</f>
        <v>0</v>
      </c>
      <c r="M186" s="285" t="n">
        <f aca="false">OperatingCurve!AA211</f>
        <v>0</v>
      </c>
      <c r="O186" s="285" t="n">
        <f aca="false">OperatingCurve!AE211</f>
        <v>0</v>
      </c>
      <c r="P186" s="285" t="n">
        <f aca="false">OperatingCurve!AD211</f>
        <v>0</v>
      </c>
      <c r="Q186" s="285" t="n">
        <f aca="false">OperatingCurve!AF211</f>
        <v>0</v>
      </c>
      <c r="S186" s="285" t="n">
        <f aca="false">OperatingCurve!AJ211</f>
        <v>0</v>
      </c>
      <c r="T186" s="285" t="n">
        <f aca="false">OperatingCurve!AI211</f>
        <v>0</v>
      </c>
      <c r="U186" s="285" t="n">
        <f aca="false">OperatingCurve!AK211</f>
        <v>0</v>
      </c>
      <c r="W186" s="285" t="n">
        <f aca="false">OperatingCurve!AO211</f>
        <v>0.153</v>
      </c>
      <c r="X186" s="285" t="n">
        <f aca="false">OperatingCurve!AN211</f>
        <v>0.34</v>
      </c>
      <c r="Y186" s="285" t="n">
        <f aca="false">OperatingCurve!AP211</f>
        <v>0.425</v>
      </c>
      <c r="AA186" s="285" t="n">
        <f aca="false">OperatingCurve!AR211</f>
        <v>0.136</v>
      </c>
      <c r="AB186" s="285" t="n">
        <f aca="false">OperatingCurve!AQ211</f>
        <v>0.34</v>
      </c>
      <c r="AC186" s="285" t="n">
        <f aca="false">OperatingCurve!AS211</f>
        <v>0.255</v>
      </c>
      <c r="AE186" s="285" t="n">
        <f aca="false">OperatingCurve!AU211</f>
        <v>-0.410147476715089</v>
      </c>
      <c r="AF186" s="285" t="n">
        <f aca="false">OperatingCurve!AT211</f>
        <v>6.56235962744143</v>
      </c>
      <c r="AG186" s="285" t="n">
        <f aca="false">OperatingCurve!AV211</f>
        <v>8.20294953430178</v>
      </c>
      <c r="AI186" s="285" t="n">
        <f aca="false">OperatingCurve!AX211</f>
        <v>-0.6558</v>
      </c>
      <c r="AJ186" s="285" t="n">
        <f aca="false">OperatingCurve!AW211</f>
        <v>10.4928</v>
      </c>
      <c r="AK186" s="285" t="n">
        <f aca="false">OperatingCurve!AY211</f>
        <v>13.116</v>
      </c>
      <c r="AM186" s="286" t="n">
        <f aca="false">OperatingCurve!AL211</f>
        <v>60</v>
      </c>
      <c r="AN186" s="287" t="n">
        <f aca="false">OperatingCurve!AM211</f>
        <v>0.4</v>
      </c>
      <c r="BE186" s="284" t="n">
        <f aca="false">OperatingCurve!V211</f>
        <v>42309</v>
      </c>
      <c r="BF186" s="289" t="n">
        <f aca="false">OperatingCurve!AZ211</f>
        <v>0</v>
      </c>
    </row>
    <row r="187" customFormat="false" ht="12.75" hidden="false" customHeight="false" outlineLevel="0" collapsed="false">
      <c r="A187" s="282" t="n">
        <f aca="false">OperatingCurve!D183</f>
        <v>41456</v>
      </c>
      <c r="B187" s="283" t="n">
        <f aca="false">OperatingCurve!H183</f>
        <v>35.156</v>
      </c>
      <c r="C187" s="283" t="n">
        <f aca="false">OperatingCurve!G183</f>
        <v>40.521</v>
      </c>
      <c r="D187" s="283" t="n">
        <f aca="false">OperatingCurve!I183</f>
        <v>70.356</v>
      </c>
      <c r="E187" s="278"/>
      <c r="F187" s="283" t="n">
        <f aca="false">OperatingCurve!M183</f>
        <v>0</v>
      </c>
      <c r="G187" s="283" t="n">
        <f aca="false">OperatingCurve!L183</f>
        <v>0</v>
      </c>
      <c r="H187" s="283" t="n">
        <f aca="false">OperatingCurve!N183</f>
        <v>0</v>
      </c>
      <c r="I187" s="273"/>
      <c r="J187" s="284" t="n">
        <f aca="false">OperatingCurve!V212</f>
        <v>42339</v>
      </c>
      <c r="K187" s="285" t="n">
        <f aca="false">OperatingCurve!Z212</f>
        <v>0</v>
      </c>
      <c r="L187" s="285" t="n">
        <f aca="false">OperatingCurve!Y212</f>
        <v>0</v>
      </c>
      <c r="M187" s="285" t="n">
        <f aca="false">OperatingCurve!AA212</f>
        <v>0</v>
      </c>
      <c r="O187" s="285" t="n">
        <f aca="false">OperatingCurve!AE212</f>
        <v>0</v>
      </c>
      <c r="P187" s="285" t="n">
        <f aca="false">OperatingCurve!AD212</f>
        <v>0</v>
      </c>
      <c r="Q187" s="285" t="n">
        <f aca="false">OperatingCurve!AF212</f>
        <v>0</v>
      </c>
      <c r="S187" s="285" t="n">
        <f aca="false">OperatingCurve!AJ212</f>
        <v>0</v>
      </c>
      <c r="T187" s="285" t="n">
        <f aca="false">OperatingCurve!AI212</f>
        <v>0</v>
      </c>
      <c r="U187" s="285" t="n">
        <f aca="false">OperatingCurve!AK212</f>
        <v>0</v>
      </c>
      <c r="W187" s="285" t="n">
        <f aca="false">OperatingCurve!AO212</f>
        <v>0.153</v>
      </c>
      <c r="X187" s="285" t="n">
        <f aca="false">OperatingCurve!AN212</f>
        <v>0.34</v>
      </c>
      <c r="Y187" s="285" t="n">
        <f aca="false">OperatingCurve!AP212</f>
        <v>0.425</v>
      </c>
      <c r="AA187" s="285" t="n">
        <f aca="false">OperatingCurve!AR212</f>
        <v>0.136</v>
      </c>
      <c r="AB187" s="285" t="n">
        <f aca="false">OperatingCurve!AQ212</f>
        <v>0.34</v>
      </c>
      <c r="AC187" s="285" t="n">
        <f aca="false">OperatingCurve!AS212</f>
        <v>0.255</v>
      </c>
      <c r="AE187" s="285" t="n">
        <f aca="false">OperatingCurve!AU212</f>
        <v>-0.419655399211954</v>
      </c>
      <c r="AF187" s="285" t="n">
        <f aca="false">OperatingCurve!AT212</f>
        <v>6.71448638739126</v>
      </c>
      <c r="AG187" s="285" t="n">
        <f aca="false">OperatingCurve!AV212</f>
        <v>8.39310798423907</v>
      </c>
      <c r="AI187" s="285" t="n">
        <f aca="false">OperatingCurve!AX212</f>
        <v>-0.667575</v>
      </c>
      <c r="AJ187" s="285" t="n">
        <f aca="false">OperatingCurve!AW212</f>
        <v>10.6812</v>
      </c>
      <c r="AK187" s="285" t="n">
        <f aca="false">OperatingCurve!AY212</f>
        <v>13.3515</v>
      </c>
      <c r="AM187" s="286" t="n">
        <f aca="false">OperatingCurve!AL212</f>
        <v>60</v>
      </c>
      <c r="AN187" s="287" t="n">
        <f aca="false">OperatingCurve!AM212</f>
        <v>0.4</v>
      </c>
      <c r="BE187" s="284" t="n">
        <f aca="false">OperatingCurve!V212</f>
        <v>42339</v>
      </c>
      <c r="BF187" s="289" t="n">
        <f aca="false">OperatingCurve!AZ212</f>
        <v>0</v>
      </c>
    </row>
    <row r="188" customFormat="false" ht="12.75" hidden="false" customHeight="false" outlineLevel="0" collapsed="false">
      <c r="A188" s="282" t="n">
        <f aca="false">OperatingCurve!D184</f>
        <v>41487</v>
      </c>
      <c r="B188" s="283" t="n">
        <f aca="false">OperatingCurve!H184</f>
        <v>37.296</v>
      </c>
      <c r="C188" s="283" t="n">
        <f aca="false">OperatingCurve!G184</f>
        <v>42.681</v>
      </c>
      <c r="D188" s="283" t="n">
        <f aca="false">OperatingCurve!I184</f>
        <v>72.624</v>
      </c>
      <c r="E188" s="278"/>
      <c r="F188" s="283" t="n">
        <f aca="false">OperatingCurve!M184</f>
        <v>0</v>
      </c>
      <c r="G188" s="283" t="n">
        <f aca="false">OperatingCurve!L184</f>
        <v>0</v>
      </c>
      <c r="H188" s="283" t="n">
        <f aca="false">OperatingCurve!N184</f>
        <v>0</v>
      </c>
      <c r="I188" s="273"/>
      <c r="J188" s="284" t="n">
        <f aca="false">OperatingCurve!V213</f>
        <v>42370</v>
      </c>
      <c r="K188" s="285" t="n">
        <f aca="false">OperatingCurve!Z213</f>
        <v>0</v>
      </c>
      <c r="L188" s="285" t="n">
        <f aca="false">OperatingCurve!Y213</f>
        <v>0</v>
      </c>
      <c r="M188" s="285" t="n">
        <f aca="false">OperatingCurve!AA213</f>
        <v>0</v>
      </c>
      <c r="O188" s="285" t="n">
        <f aca="false">OperatingCurve!AE213</f>
        <v>0</v>
      </c>
      <c r="P188" s="285" t="n">
        <f aca="false">OperatingCurve!AD213</f>
        <v>0</v>
      </c>
      <c r="Q188" s="285" t="n">
        <f aca="false">OperatingCurve!AF213</f>
        <v>0</v>
      </c>
      <c r="S188" s="285" t="n">
        <f aca="false">OperatingCurve!AJ213</f>
        <v>0</v>
      </c>
      <c r="T188" s="285" t="n">
        <f aca="false">OperatingCurve!AI213</f>
        <v>0</v>
      </c>
      <c r="U188" s="285" t="n">
        <f aca="false">OperatingCurve!AK213</f>
        <v>0</v>
      </c>
      <c r="W188" s="285" t="n">
        <f aca="false">OperatingCurve!AO213</f>
        <v>0.153</v>
      </c>
      <c r="X188" s="285" t="n">
        <f aca="false">OperatingCurve!AN213</f>
        <v>0.34</v>
      </c>
      <c r="Y188" s="285" t="n">
        <f aca="false">OperatingCurve!AP213</f>
        <v>0.425</v>
      </c>
      <c r="AA188" s="285" t="n">
        <f aca="false">OperatingCurve!AR213</f>
        <v>0.136</v>
      </c>
      <c r="AB188" s="285" t="n">
        <f aca="false">OperatingCurve!AQ213</f>
        <v>0.34</v>
      </c>
      <c r="AC188" s="285" t="n">
        <f aca="false">OperatingCurve!AS213</f>
        <v>0.255</v>
      </c>
      <c r="AE188" s="285" t="n">
        <f aca="false">OperatingCurve!AU213</f>
        <v>-0.43048858158097</v>
      </c>
      <c r="AF188" s="285" t="n">
        <f aca="false">OperatingCurve!AT213</f>
        <v>6.88781730529552</v>
      </c>
      <c r="AG188" s="285" t="n">
        <f aca="false">OperatingCurve!AV213</f>
        <v>8.60977163161941</v>
      </c>
      <c r="AI188" s="285" t="n">
        <f aca="false">OperatingCurve!AX213</f>
        <v>-0.6558</v>
      </c>
      <c r="AJ188" s="285" t="n">
        <f aca="false">OperatingCurve!AW213</f>
        <v>10.4928</v>
      </c>
      <c r="AK188" s="285" t="n">
        <f aca="false">OperatingCurve!AY213</f>
        <v>13.116</v>
      </c>
      <c r="AM188" s="286" t="n">
        <f aca="false">OperatingCurve!AL213</f>
        <v>61</v>
      </c>
      <c r="AN188" s="287" t="n">
        <f aca="false">OperatingCurve!AM213</f>
        <v>0.4</v>
      </c>
      <c r="BE188" s="284" t="n">
        <f aca="false">OperatingCurve!V213</f>
        <v>42370</v>
      </c>
      <c r="BF188" s="289" t="n">
        <f aca="false">OperatingCurve!AZ213</f>
        <v>0</v>
      </c>
    </row>
    <row r="189" customFormat="false" ht="12.75" hidden="false" customHeight="false" outlineLevel="0" collapsed="false">
      <c r="A189" s="282" t="n">
        <f aca="false">OperatingCurve!D185</f>
        <v>41518</v>
      </c>
      <c r="B189" s="283" t="n">
        <f aca="false">OperatingCurve!H185</f>
        <v>30.9</v>
      </c>
      <c r="C189" s="283" t="n">
        <f aca="false">OperatingCurve!G185</f>
        <v>36.225</v>
      </c>
      <c r="D189" s="283" t="n">
        <f aca="false">OperatingCurve!I185</f>
        <v>65.844</v>
      </c>
      <c r="E189" s="278"/>
      <c r="F189" s="283" t="n">
        <f aca="false">OperatingCurve!M185</f>
        <v>0</v>
      </c>
      <c r="G189" s="283" t="n">
        <f aca="false">OperatingCurve!L185</f>
        <v>0</v>
      </c>
      <c r="H189" s="283" t="n">
        <f aca="false">OperatingCurve!N185</f>
        <v>0</v>
      </c>
      <c r="I189" s="273"/>
      <c r="J189" s="284" t="n">
        <f aca="false">OperatingCurve!V214</f>
        <v>42401</v>
      </c>
      <c r="K189" s="285" t="n">
        <f aca="false">OperatingCurve!Z214</f>
        <v>0</v>
      </c>
      <c r="L189" s="285" t="n">
        <f aca="false">OperatingCurve!Y214</f>
        <v>0</v>
      </c>
      <c r="M189" s="285" t="n">
        <f aca="false">OperatingCurve!AA214</f>
        <v>0</v>
      </c>
      <c r="O189" s="285" t="n">
        <f aca="false">OperatingCurve!AE214</f>
        <v>0</v>
      </c>
      <c r="P189" s="285" t="n">
        <f aca="false">OperatingCurve!AD214</f>
        <v>0</v>
      </c>
      <c r="Q189" s="285" t="n">
        <f aca="false">OperatingCurve!AF214</f>
        <v>0</v>
      </c>
      <c r="S189" s="285" t="n">
        <f aca="false">OperatingCurve!AJ214</f>
        <v>0</v>
      </c>
      <c r="T189" s="285" t="n">
        <f aca="false">OperatingCurve!AI214</f>
        <v>0</v>
      </c>
      <c r="U189" s="285" t="n">
        <f aca="false">OperatingCurve!AK214</f>
        <v>0</v>
      </c>
      <c r="W189" s="285" t="n">
        <f aca="false">OperatingCurve!AO214</f>
        <v>0.153</v>
      </c>
      <c r="X189" s="285" t="n">
        <f aca="false">OperatingCurve!AN214</f>
        <v>0.34</v>
      </c>
      <c r="Y189" s="285" t="n">
        <f aca="false">OperatingCurve!AP214</f>
        <v>0.425</v>
      </c>
      <c r="AA189" s="285" t="n">
        <f aca="false">OperatingCurve!AR214</f>
        <v>0.136</v>
      </c>
      <c r="AB189" s="285" t="n">
        <f aca="false">OperatingCurve!AQ214</f>
        <v>0.34</v>
      </c>
      <c r="AC189" s="285" t="n">
        <f aca="false">OperatingCurve!AS214</f>
        <v>0.255</v>
      </c>
      <c r="AE189" s="285" t="n">
        <f aca="false">OperatingCurve!AU214</f>
        <v>-0.402107379613998</v>
      </c>
      <c r="AF189" s="285" t="n">
        <f aca="false">OperatingCurve!AT214</f>
        <v>6.43371807382396</v>
      </c>
      <c r="AG189" s="285" t="n">
        <f aca="false">OperatingCurve!AV214</f>
        <v>8.04214759227995</v>
      </c>
      <c r="AI189" s="285" t="n">
        <f aca="false">OperatingCurve!AX214</f>
        <v>-0.6616875</v>
      </c>
      <c r="AJ189" s="285" t="n">
        <f aca="false">OperatingCurve!AW214</f>
        <v>10.587</v>
      </c>
      <c r="AK189" s="285" t="n">
        <f aca="false">OperatingCurve!AY214</f>
        <v>13.23375</v>
      </c>
      <c r="AM189" s="286" t="n">
        <f aca="false">OperatingCurve!AL214</f>
        <v>61</v>
      </c>
      <c r="AN189" s="287" t="n">
        <f aca="false">OperatingCurve!AM214</f>
        <v>0.4</v>
      </c>
      <c r="BE189" s="284" t="n">
        <f aca="false">OperatingCurve!V214</f>
        <v>42401</v>
      </c>
      <c r="BF189" s="289" t="n">
        <f aca="false">OperatingCurve!AZ214</f>
        <v>0</v>
      </c>
    </row>
    <row r="190" customFormat="false" ht="12.75" hidden="false" customHeight="false" outlineLevel="0" collapsed="false">
      <c r="A190" s="282" t="n">
        <f aca="false">OperatingCurve!D186</f>
        <v>41548</v>
      </c>
      <c r="B190" s="283" t="n">
        <f aca="false">OperatingCurve!H186</f>
        <v>33.024</v>
      </c>
      <c r="C190" s="283" t="n">
        <f aca="false">OperatingCurve!G186</f>
        <v>38.369</v>
      </c>
      <c r="D190" s="283" t="n">
        <f aca="false">OperatingCurve!I186</f>
        <v>68.096</v>
      </c>
      <c r="E190" s="278"/>
      <c r="F190" s="283" t="n">
        <f aca="false">OperatingCurve!M186</f>
        <v>0</v>
      </c>
      <c r="G190" s="283" t="n">
        <f aca="false">OperatingCurve!L186</f>
        <v>0</v>
      </c>
      <c r="H190" s="283" t="n">
        <f aca="false">OperatingCurve!N186</f>
        <v>0</v>
      </c>
      <c r="I190" s="273"/>
      <c r="J190" s="284" t="n">
        <f aca="false">OperatingCurve!V215</f>
        <v>42430</v>
      </c>
      <c r="K190" s="285" t="n">
        <f aca="false">OperatingCurve!Z215</f>
        <v>0</v>
      </c>
      <c r="L190" s="285" t="n">
        <f aca="false">OperatingCurve!Y215</f>
        <v>0</v>
      </c>
      <c r="M190" s="285" t="n">
        <f aca="false">OperatingCurve!AA215</f>
        <v>0</v>
      </c>
      <c r="O190" s="285" t="n">
        <f aca="false">OperatingCurve!AE215</f>
        <v>0</v>
      </c>
      <c r="P190" s="285" t="n">
        <f aca="false">OperatingCurve!AD215</f>
        <v>0</v>
      </c>
      <c r="Q190" s="285" t="n">
        <f aca="false">OperatingCurve!AF215</f>
        <v>0</v>
      </c>
      <c r="S190" s="285" t="n">
        <f aca="false">OperatingCurve!AJ215</f>
        <v>0</v>
      </c>
      <c r="T190" s="285" t="n">
        <f aca="false">OperatingCurve!AI215</f>
        <v>0</v>
      </c>
      <c r="U190" s="285" t="n">
        <f aca="false">OperatingCurve!AK215</f>
        <v>0</v>
      </c>
      <c r="W190" s="285" t="n">
        <f aca="false">OperatingCurve!AO215</f>
        <v>0.153</v>
      </c>
      <c r="X190" s="285" t="n">
        <f aca="false">OperatingCurve!AN215</f>
        <v>0.34</v>
      </c>
      <c r="Y190" s="285" t="n">
        <f aca="false">OperatingCurve!AP215</f>
        <v>0.425</v>
      </c>
      <c r="AA190" s="285" t="n">
        <f aca="false">OperatingCurve!AR215</f>
        <v>0.136</v>
      </c>
      <c r="AB190" s="285" t="n">
        <f aca="false">OperatingCurve!AQ215</f>
        <v>0.34</v>
      </c>
      <c r="AC190" s="285" t="n">
        <f aca="false">OperatingCurve!AS215</f>
        <v>0.255</v>
      </c>
      <c r="AE190" s="285" t="n">
        <f aca="false">OperatingCurve!AU215</f>
        <v>-0.395696014851329</v>
      </c>
      <c r="AF190" s="285" t="n">
        <f aca="false">OperatingCurve!AT215</f>
        <v>6.33113623762127</v>
      </c>
      <c r="AG190" s="285" t="n">
        <f aca="false">OperatingCurve!AV215</f>
        <v>7.91392029702658</v>
      </c>
      <c r="AI190" s="285" t="n">
        <f aca="false">OperatingCurve!AX215</f>
        <v>-0.667575</v>
      </c>
      <c r="AJ190" s="285" t="n">
        <f aca="false">OperatingCurve!AW215</f>
        <v>10.6812</v>
      </c>
      <c r="AK190" s="285" t="n">
        <f aca="false">OperatingCurve!AY215</f>
        <v>13.3515</v>
      </c>
      <c r="AM190" s="286" t="n">
        <f aca="false">OperatingCurve!AL215</f>
        <v>61</v>
      </c>
      <c r="AN190" s="287" t="n">
        <f aca="false">OperatingCurve!AM215</f>
        <v>0.4</v>
      </c>
      <c r="BE190" s="284" t="n">
        <f aca="false">OperatingCurve!V215</f>
        <v>42430</v>
      </c>
      <c r="BF190" s="289" t="n">
        <f aca="false">OperatingCurve!AZ215</f>
        <v>0</v>
      </c>
    </row>
    <row r="191" customFormat="false" ht="12.75" hidden="false" customHeight="false" outlineLevel="0" collapsed="false">
      <c r="A191" s="282" t="n">
        <f aca="false">OperatingCurve!D187</f>
        <v>41579</v>
      </c>
      <c r="B191" s="283" t="n">
        <f aca="false">OperatingCurve!H187</f>
        <v>26.676</v>
      </c>
      <c r="C191" s="283" t="n">
        <f aca="false">OperatingCurve!G187</f>
        <v>31.961</v>
      </c>
      <c r="D191" s="283" t="n">
        <f aca="false">OperatingCurve!I187</f>
        <v>61.364</v>
      </c>
      <c r="E191" s="278"/>
      <c r="F191" s="283" t="n">
        <f aca="false">OperatingCurve!M187</f>
        <v>0</v>
      </c>
      <c r="G191" s="283" t="n">
        <f aca="false">OperatingCurve!L187</f>
        <v>0</v>
      </c>
      <c r="H191" s="283" t="n">
        <f aca="false">OperatingCurve!N187</f>
        <v>0</v>
      </c>
      <c r="I191" s="273"/>
      <c r="J191" s="284" t="n">
        <f aca="false">OperatingCurve!V216</f>
        <v>42461</v>
      </c>
      <c r="K191" s="285" t="n">
        <f aca="false">OperatingCurve!Z216</f>
        <v>0</v>
      </c>
      <c r="L191" s="285" t="n">
        <f aca="false">OperatingCurve!Y216</f>
        <v>0</v>
      </c>
      <c r="M191" s="285" t="n">
        <f aca="false">OperatingCurve!AA216</f>
        <v>0</v>
      </c>
      <c r="O191" s="285" t="n">
        <f aca="false">OperatingCurve!AE216</f>
        <v>0</v>
      </c>
      <c r="P191" s="285" t="n">
        <f aca="false">OperatingCurve!AD216</f>
        <v>0</v>
      </c>
      <c r="Q191" s="285" t="n">
        <f aca="false">OperatingCurve!AF216</f>
        <v>0</v>
      </c>
      <c r="S191" s="285" t="n">
        <f aca="false">OperatingCurve!AJ216</f>
        <v>0</v>
      </c>
      <c r="T191" s="285" t="n">
        <f aca="false">OperatingCurve!AI216</f>
        <v>0</v>
      </c>
      <c r="U191" s="285" t="n">
        <f aca="false">OperatingCurve!AK216</f>
        <v>0</v>
      </c>
      <c r="W191" s="285" t="n">
        <f aca="false">OperatingCurve!AO216</f>
        <v>0.153</v>
      </c>
      <c r="X191" s="285" t="n">
        <f aca="false">OperatingCurve!AN216</f>
        <v>0.34</v>
      </c>
      <c r="Y191" s="285" t="n">
        <f aca="false">OperatingCurve!AP216</f>
        <v>0.425</v>
      </c>
      <c r="AA191" s="285" t="n">
        <f aca="false">OperatingCurve!AR216</f>
        <v>0.136</v>
      </c>
      <c r="AB191" s="285" t="n">
        <f aca="false">OperatingCurve!AQ216</f>
        <v>0.34</v>
      </c>
      <c r="AC191" s="285" t="n">
        <f aca="false">OperatingCurve!AS216</f>
        <v>0.255</v>
      </c>
      <c r="AE191" s="285" t="n">
        <f aca="false">OperatingCurve!AU216</f>
        <v>-0.395696014851329</v>
      </c>
      <c r="AF191" s="285" t="n">
        <f aca="false">OperatingCurve!AT216</f>
        <v>6.33113623762127</v>
      </c>
      <c r="AG191" s="285" t="n">
        <f aca="false">OperatingCurve!AV216</f>
        <v>7.91392029702658</v>
      </c>
      <c r="AI191" s="285" t="n">
        <f aca="false">OperatingCurve!AX216</f>
        <v>-0.667575</v>
      </c>
      <c r="AJ191" s="285" t="n">
        <f aca="false">OperatingCurve!AW216</f>
        <v>10.6812</v>
      </c>
      <c r="AK191" s="285" t="n">
        <f aca="false">OperatingCurve!AY216</f>
        <v>13.3515</v>
      </c>
      <c r="AM191" s="286" t="n">
        <f aca="false">OperatingCurve!AL216</f>
        <v>62</v>
      </c>
      <c r="AN191" s="287" t="n">
        <f aca="false">OperatingCurve!AM216</f>
        <v>0.4</v>
      </c>
      <c r="BE191" s="284" t="n">
        <f aca="false">OperatingCurve!V216</f>
        <v>42461</v>
      </c>
      <c r="BF191" s="289" t="n">
        <f aca="false">OperatingCurve!AZ216</f>
        <v>0</v>
      </c>
    </row>
    <row r="192" customFormat="false" ht="12.75" hidden="false" customHeight="false" outlineLevel="0" collapsed="false">
      <c r="A192" s="282" t="n">
        <f aca="false">OperatingCurve!D188</f>
        <v>41609</v>
      </c>
      <c r="B192" s="283" t="n">
        <f aca="false">OperatingCurve!H188</f>
        <v>27.729</v>
      </c>
      <c r="C192" s="283" t="n">
        <f aca="false">OperatingCurve!G188</f>
        <v>33.024</v>
      </c>
      <c r="D192" s="283" t="n">
        <f aca="false">OperatingCurve!I188</f>
        <v>62.481</v>
      </c>
      <c r="E192" s="278"/>
      <c r="F192" s="283" t="n">
        <f aca="false">OperatingCurve!M188</f>
        <v>0</v>
      </c>
      <c r="G192" s="283" t="n">
        <f aca="false">OperatingCurve!L188</f>
        <v>0</v>
      </c>
      <c r="H192" s="283" t="n">
        <f aca="false">OperatingCurve!N188</f>
        <v>0</v>
      </c>
      <c r="I192" s="273"/>
      <c r="J192" s="284" t="n">
        <f aca="false">OperatingCurve!V217</f>
        <v>42491</v>
      </c>
      <c r="K192" s="285" t="n">
        <f aca="false">OperatingCurve!Z217</f>
        <v>0</v>
      </c>
      <c r="L192" s="285" t="n">
        <f aca="false">OperatingCurve!Y217</f>
        <v>0</v>
      </c>
      <c r="M192" s="285" t="n">
        <f aca="false">OperatingCurve!AA217</f>
        <v>0</v>
      </c>
      <c r="O192" s="285" t="n">
        <f aca="false">OperatingCurve!AE217</f>
        <v>0</v>
      </c>
      <c r="P192" s="285" t="n">
        <f aca="false">OperatingCurve!AD217</f>
        <v>0</v>
      </c>
      <c r="Q192" s="285" t="n">
        <f aca="false">OperatingCurve!AF217</f>
        <v>0</v>
      </c>
      <c r="S192" s="285" t="n">
        <f aca="false">OperatingCurve!AJ217</f>
        <v>0</v>
      </c>
      <c r="T192" s="285" t="n">
        <f aca="false">OperatingCurve!AI217</f>
        <v>0</v>
      </c>
      <c r="U192" s="285" t="n">
        <f aca="false">OperatingCurve!AK217</f>
        <v>0</v>
      </c>
      <c r="W192" s="285" t="n">
        <f aca="false">OperatingCurve!AO217</f>
        <v>0.153</v>
      </c>
      <c r="X192" s="285" t="n">
        <f aca="false">OperatingCurve!AN217</f>
        <v>0.34</v>
      </c>
      <c r="Y192" s="285" t="n">
        <f aca="false">OperatingCurve!AP217</f>
        <v>0.425</v>
      </c>
      <c r="AA192" s="285" t="n">
        <f aca="false">OperatingCurve!AR217</f>
        <v>0.136</v>
      </c>
      <c r="AB192" s="285" t="n">
        <f aca="false">OperatingCurve!AQ217</f>
        <v>0.34</v>
      </c>
      <c r="AC192" s="285" t="n">
        <f aca="false">OperatingCurve!AS217</f>
        <v>0.255</v>
      </c>
      <c r="AE192" s="285" t="n">
        <f aca="false">OperatingCurve!AU217</f>
        <v>-0.419655399211954</v>
      </c>
      <c r="AF192" s="285" t="n">
        <f aca="false">OperatingCurve!AT217</f>
        <v>6.71448638739126</v>
      </c>
      <c r="AG192" s="285" t="n">
        <f aca="false">OperatingCurve!AV217</f>
        <v>8.39310798423907</v>
      </c>
      <c r="AI192" s="285" t="n">
        <f aca="false">OperatingCurve!AX217</f>
        <v>-0.6499125</v>
      </c>
      <c r="AJ192" s="285" t="n">
        <f aca="false">OperatingCurve!AW217</f>
        <v>10.3986</v>
      </c>
      <c r="AK192" s="285" t="n">
        <f aca="false">OperatingCurve!AY217</f>
        <v>12.99825</v>
      </c>
      <c r="AM192" s="286" t="n">
        <f aca="false">OperatingCurve!AL217</f>
        <v>62</v>
      </c>
      <c r="AN192" s="287" t="n">
        <f aca="false">OperatingCurve!AM217</f>
        <v>0.4</v>
      </c>
      <c r="BE192" s="284" t="n">
        <f aca="false">OperatingCurve!V217</f>
        <v>42491</v>
      </c>
      <c r="BF192" s="289" t="n">
        <f aca="false">OperatingCurve!AZ217</f>
        <v>0</v>
      </c>
    </row>
    <row r="193" customFormat="false" ht="12.75" hidden="false" customHeight="false" outlineLevel="0" collapsed="false">
      <c r="A193" s="282" t="n">
        <f aca="false">OperatingCurve!D189</f>
        <v>41640</v>
      </c>
      <c r="B193" s="283" t="n">
        <f aca="false">OperatingCurve!H189</f>
        <v>28.784</v>
      </c>
      <c r="C193" s="283" t="n">
        <f aca="false">OperatingCurve!G189</f>
        <v>34.089</v>
      </c>
      <c r="D193" s="283" t="n">
        <f aca="false">OperatingCurve!I189</f>
        <v>64.721</v>
      </c>
      <c r="E193" s="278"/>
      <c r="F193" s="283" t="n">
        <f aca="false">OperatingCurve!M189</f>
        <v>0</v>
      </c>
      <c r="G193" s="283" t="n">
        <f aca="false">OperatingCurve!L189</f>
        <v>0</v>
      </c>
      <c r="H193" s="283" t="n">
        <f aca="false">OperatingCurve!N189</f>
        <v>0</v>
      </c>
      <c r="I193" s="273"/>
      <c r="J193" s="284" t="n">
        <f aca="false">OperatingCurve!V218</f>
        <v>42522</v>
      </c>
      <c r="K193" s="285" t="n">
        <f aca="false">OperatingCurve!Z218</f>
        <v>0</v>
      </c>
      <c r="L193" s="285" t="n">
        <f aca="false">OperatingCurve!Y218</f>
        <v>0</v>
      </c>
      <c r="M193" s="285" t="n">
        <f aca="false">OperatingCurve!AA218</f>
        <v>0</v>
      </c>
      <c r="O193" s="285" t="n">
        <f aca="false">OperatingCurve!AE218</f>
        <v>0</v>
      </c>
      <c r="P193" s="285" t="n">
        <f aca="false">OperatingCurve!AD218</f>
        <v>0</v>
      </c>
      <c r="Q193" s="285" t="n">
        <f aca="false">OperatingCurve!AF218</f>
        <v>0</v>
      </c>
      <c r="S193" s="285" t="n">
        <f aca="false">OperatingCurve!AJ218</f>
        <v>0</v>
      </c>
      <c r="T193" s="285" t="n">
        <f aca="false">OperatingCurve!AI218</f>
        <v>0</v>
      </c>
      <c r="U193" s="285" t="n">
        <f aca="false">OperatingCurve!AK218</f>
        <v>0</v>
      </c>
      <c r="W193" s="285" t="n">
        <f aca="false">OperatingCurve!AO218</f>
        <v>0.153</v>
      </c>
      <c r="X193" s="285" t="n">
        <f aca="false">OperatingCurve!AN218</f>
        <v>0.34</v>
      </c>
      <c r="Y193" s="285" t="n">
        <f aca="false">OperatingCurve!AP218</f>
        <v>0.425</v>
      </c>
      <c r="AA193" s="285" t="n">
        <f aca="false">OperatingCurve!AR218</f>
        <v>0.136</v>
      </c>
      <c r="AB193" s="285" t="n">
        <f aca="false">OperatingCurve!AQ218</f>
        <v>0.34</v>
      </c>
      <c r="AC193" s="285" t="n">
        <f aca="false">OperatingCurve!AS218</f>
        <v>0.255</v>
      </c>
      <c r="AE193" s="285" t="n">
        <f aca="false">OperatingCurve!AU218</f>
        <v>-0.517091326059428</v>
      </c>
      <c r="AF193" s="285" t="n">
        <f aca="false">OperatingCurve!AT218</f>
        <v>8.27346121695085</v>
      </c>
      <c r="AG193" s="285" t="n">
        <f aca="false">OperatingCurve!AV218</f>
        <v>10.3418265211886</v>
      </c>
      <c r="AI193" s="285" t="n">
        <f aca="false">OperatingCurve!AX218</f>
        <v>-0.6087</v>
      </c>
      <c r="AJ193" s="285" t="n">
        <f aca="false">OperatingCurve!AW218</f>
        <v>9.7392</v>
      </c>
      <c r="AK193" s="285" t="n">
        <f aca="false">OperatingCurve!AY218</f>
        <v>12.174</v>
      </c>
      <c r="AM193" s="286" t="n">
        <f aca="false">OperatingCurve!AL218</f>
        <v>62</v>
      </c>
      <c r="AN193" s="287" t="n">
        <f aca="false">OperatingCurve!AM218</f>
        <v>0.4</v>
      </c>
      <c r="BE193" s="284" t="n">
        <f aca="false">OperatingCurve!V218</f>
        <v>42522</v>
      </c>
      <c r="BF193" s="289" t="n">
        <f aca="false">OperatingCurve!AZ218</f>
        <v>0</v>
      </c>
    </row>
    <row r="194" customFormat="false" ht="12.75" hidden="false" customHeight="false" outlineLevel="0" collapsed="false">
      <c r="A194" s="282" t="n">
        <f aca="false">OperatingCurve!D190</f>
        <v>41671</v>
      </c>
      <c r="B194" s="283" t="n">
        <f aca="false">OperatingCurve!H190</f>
        <v>25.625</v>
      </c>
      <c r="C194" s="283" t="n">
        <f aca="false">OperatingCurve!G190</f>
        <v>30.9</v>
      </c>
      <c r="D194" s="283" t="n">
        <f aca="false">OperatingCurve!I190</f>
        <v>61.364</v>
      </c>
      <c r="E194" s="278"/>
      <c r="F194" s="283" t="n">
        <f aca="false">OperatingCurve!M190</f>
        <v>0</v>
      </c>
      <c r="G194" s="283" t="n">
        <f aca="false">OperatingCurve!L190</f>
        <v>0</v>
      </c>
      <c r="H194" s="283" t="n">
        <f aca="false">OperatingCurve!N190</f>
        <v>0</v>
      </c>
      <c r="I194" s="273"/>
      <c r="J194" s="284" t="n">
        <f aca="false">OperatingCurve!V219</f>
        <v>42552</v>
      </c>
      <c r="K194" s="285" t="n">
        <f aca="false">OperatingCurve!Z219</f>
        <v>0</v>
      </c>
      <c r="L194" s="285" t="n">
        <f aca="false">OperatingCurve!Y219</f>
        <v>0</v>
      </c>
      <c r="M194" s="285" t="n">
        <f aca="false">OperatingCurve!AA219</f>
        <v>0</v>
      </c>
      <c r="O194" s="285" t="n">
        <f aca="false">OperatingCurve!AE219</f>
        <v>0</v>
      </c>
      <c r="P194" s="285" t="n">
        <f aca="false">OperatingCurve!AD219</f>
        <v>0</v>
      </c>
      <c r="Q194" s="285" t="n">
        <f aca="false">OperatingCurve!AF219</f>
        <v>0</v>
      </c>
      <c r="S194" s="285" t="n">
        <f aca="false">OperatingCurve!AJ219</f>
        <v>0</v>
      </c>
      <c r="T194" s="285" t="n">
        <f aca="false">OperatingCurve!AI219</f>
        <v>0</v>
      </c>
      <c r="U194" s="285" t="n">
        <f aca="false">OperatingCurve!AK219</f>
        <v>0</v>
      </c>
      <c r="W194" s="285" t="n">
        <f aca="false">OperatingCurve!AO219</f>
        <v>0.153</v>
      </c>
      <c r="X194" s="285" t="n">
        <f aca="false">OperatingCurve!AN219</f>
        <v>0.34</v>
      </c>
      <c r="Y194" s="285" t="n">
        <f aca="false">OperatingCurve!AP219</f>
        <v>0.425</v>
      </c>
      <c r="AA194" s="285" t="n">
        <f aca="false">OperatingCurve!AR219</f>
        <v>0.136</v>
      </c>
      <c r="AB194" s="285" t="n">
        <f aca="false">OperatingCurve!AQ219</f>
        <v>0.34</v>
      </c>
      <c r="AC194" s="285" t="n">
        <f aca="false">OperatingCurve!AS219</f>
        <v>0.255</v>
      </c>
      <c r="AE194" s="285" t="n">
        <f aca="false">OperatingCurve!AU219</f>
        <v>-0.517091326059428</v>
      </c>
      <c r="AF194" s="285" t="n">
        <f aca="false">OperatingCurve!AT219</f>
        <v>8.27346121695085</v>
      </c>
      <c r="AG194" s="285" t="n">
        <f aca="false">OperatingCurve!AV219</f>
        <v>10.3418265211886</v>
      </c>
      <c r="AI194" s="285" t="n">
        <f aca="false">OperatingCurve!AX219</f>
        <v>-0.6087</v>
      </c>
      <c r="AJ194" s="285" t="n">
        <f aca="false">OperatingCurve!AW219</f>
        <v>9.7392</v>
      </c>
      <c r="AK194" s="285" t="n">
        <f aca="false">OperatingCurve!AY219</f>
        <v>12.174</v>
      </c>
      <c r="AM194" s="286" t="n">
        <f aca="false">OperatingCurve!AL219</f>
        <v>63</v>
      </c>
      <c r="AN194" s="287" t="n">
        <f aca="false">OperatingCurve!AM219</f>
        <v>0.4</v>
      </c>
      <c r="BE194" s="284" t="n">
        <f aca="false">OperatingCurve!V219</f>
        <v>42552</v>
      </c>
      <c r="BF194" s="289" t="n">
        <f aca="false">OperatingCurve!AZ219</f>
        <v>0</v>
      </c>
    </row>
    <row r="195" customFormat="false" ht="12.75" hidden="false" customHeight="false" outlineLevel="0" collapsed="false">
      <c r="A195" s="282" t="n">
        <f aca="false">OperatingCurve!D191</f>
        <v>41699</v>
      </c>
      <c r="B195" s="283" t="n">
        <f aca="false">OperatingCurve!H191</f>
        <v>24.576</v>
      </c>
      <c r="C195" s="283" t="n">
        <f aca="false">OperatingCurve!G191</f>
        <v>29.841</v>
      </c>
      <c r="D195" s="283" t="n">
        <f aca="false">OperatingCurve!I191</f>
        <v>60.249</v>
      </c>
      <c r="E195" s="278"/>
      <c r="F195" s="283" t="n">
        <f aca="false">OperatingCurve!M191</f>
        <v>0</v>
      </c>
      <c r="G195" s="283" t="n">
        <f aca="false">OperatingCurve!L191</f>
        <v>0</v>
      </c>
      <c r="H195" s="283" t="n">
        <f aca="false">OperatingCurve!N191</f>
        <v>0</v>
      </c>
      <c r="I195" s="273"/>
      <c r="J195" s="284" t="n">
        <f aca="false">OperatingCurve!V220</f>
        <v>42583</v>
      </c>
      <c r="K195" s="285" t="n">
        <f aca="false">OperatingCurve!Z220</f>
        <v>0</v>
      </c>
      <c r="L195" s="285" t="n">
        <f aca="false">OperatingCurve!Y220</f>
        <v>0</v>
      </c>
      <c r="M195" s="285" t="n">
        <f aca="false">OperatingCurve!AA220</f>
        <v>0</v>
      </c>
      <c r="O195" s="285" t="n">
        <f aca="false">OperatingCurve!AE220</f>
        <v>0</v>
      </c>
      <c r="P195" s="285" t="n">
        <f aca="false">OperatingCurve!AD220</f>
        <v>0</v>
      </c>
      <c r="Q195" s="285" t="n">
        <f aca="false">OperatingCurve!AF220</f>
        <v>0</v>
      </c>
      <c r="S195" s="285" t="n">
        <f aca="false">OperatingCurve!AJ220</f>
        <v>0</v>
      </c>
      <c r="T195" s="285" t="n">
        <f aca="false">OperatingCurve!AI220</f>
        <v>0</v>
      </c>
      <c r="U195" s="285" t="n">
        <f aca="false">OperatingCurve!AK220</f>
        <v>0</v>
      </c>
      <c r="W195" s="285" t="n">
        <f aca="false">OperatingCurve!AO220</f>
        <v>0.153</v>
      </c>
      <c r="X195" s="285" t="n">
        <f aca="false">OperatingCurve!AN220</f>
        <v>0.34</v>
      </c>
      <c r="Y195" s="285" t="n">
        <f aca="false">OperatingCurve!AP220</f>
        <v>0.425</v>
      </c>
      <c r="AA195" s="285" t="n">
        <f aca="false">OperatingCurve!AR220</f>
        <v>0.136</v>
      </c>
      <c r="AB195" s="285" t="n">
        <f aca="false">OperatingCurve!AQ220</f>
        <v>0.34</v>
      </c>
      <c r="AC195" s="285" t="n">
        <f aca="false">OperatingCurve!AS220</f>
        <v>0.255</v>
      </c>
      <c r="AE195" s="285" t="n">
        <f aca="false">OperatingCurve!AU220</f>
        <v>-0.552146177512111</v>
      </c>
      <c r="AF195" s="285" t="n">
        <f aca="false">OperatingCurve!AT220</f>
        <v>8.83433884019377</v>
      </c>
      <c r="AG195" s="285" t="n">
        <f aca="false">OperatingCurve!AV220</f>
        <v>11.0429235502422</v>
      </c>
      <c r="AI195" s="285" t="n">
        <f aca="false">OperatingCurve!AX220</f>
        <v>-0.596925</v>
      </c>
      <c r="AJ195" s="285" t="n">
        <f aca="false">OperatingCurve!AW220</f>
        <v>9.5508</v>
      </c>
      <c r="AK195" s="285" t="n">
        <f aca="false">OperatingCurve!AY220</f>
        <v>11.9385</v>
      </c>
      <c r="AM195" s="286" t="n">
        <f aca="false">OperatingCurve!AL220</f>
        <v>63</v>
      </c>
      <c r="AN195" s="287" t="n">
        <f aca="false">OperatingCurve!AM220</f>
        <v>0.4</v>
      </c>
      <c r="BE195" s="284" t="n">
        <f aca="false">OperatingCurve!V220</f>
        <v>42583</v>
      </c>
      <c r="BF195" s="289" t="n">
        <f aca="false">OperatingCurve!AZ220</f>
        <v>0</v>
      </c>
    </row>
    <row r="196" customFormat="false" ht="12.75" hidden="false" customHeight="false" outlineLevel="0" collapsed="false">
      <c r="A196" s="282" t="n">
        <f aca="false">OperatingCurve!D192</f>
        <v>41730</v>
      </c>
      <c r="B196" s="283" t="n">
        <f aca="false">OperatingCurve!H192</f>
        <v>24.576</v>
      </c>
      <c r="C196" s="283" t="n">
        <f aca="false">OperatingCurve!G192</f>
        <v>29.841</v>
      </c>
      <c r="D196" s="283" t="n">
        <f aca="false">OperatingCurve!I192</f>
        <v>60.249</v>
      </c>
      <c r="E196" s="278"/>
      <c r="F196" s="283" t="n">
        <f aca="false">OperatingCurve!M192</f>
        <v>0</v>
      </c>
      <c r="G196" s="283" t="n">
        <f aca="false">OperatingCurve!L192</f>
        <v>0</v>
      </c>
      <c r="H196" s="283" t="n">
        <f aca="false">OperatingCurve!N192</f>
        <v>0</v>
      </c>
      <c r="I196" s="273"/>
      <c r="J196" s="284" t="n">
        <f aca="false">OperatingCurve!V221</f>
        <v>42614</v>
      </c>
      <c r="K196" s="285" t="n">
        <f aca="false">OperatingCurve!Z221</f>
        <v>0</v>
      </c>
      <c r="L196" s="285" t="n">
        <f aca="false">OperatingCurve!Y221</f>
        <v>0</v>
      </c>
      <c r="M196" s="285" t="n">
        <f aca="false">OperatingCurve!AA221</f>
        <v>0</v>
      </c>
      <c r="O196" s="285" t="n">
        <f aca="false">OperatingCurve!AE221</f>
        <v>0</v>
      </c>
      <c r="P196" s="285" t="n">
        <f aca="false">OperatingCurve!AD221</f>
        <v>0</v>
      </c>
      <c r="Q196" s="285" t="n">
        <f aca="false">OperatingCurve!AF221</f>
        <v>0</v>
      </c>
      <c r="S196" s="285" t="n">
        <f aca="false">OperatingCurve!AJ221</f>
        <v>0</v>
      </c>
      <c r="T196" s="285" t="n">
        <f aca="false">OperatingCurve!AI221</f>
        <v>0</v>
      </c>
      <c r="U196" s="285" t="n">
        <f aca="false">OperatingCurve!AK221</f>
        <v>0</v>
      </c>
      <c r="W196" s="285" t="n">
        <f aca="false">OperatingCurve!AO221</f>
        <v>0.153</v>
      </c>
      <c r="X196" s="285" t="n">
        <f aca="false">OperatingCurve!AN221</f>
        <v>0.34</v>
      </c>
      <c r="Y196" s="285" t="n">
        <f aca="false">OperatingCurve!AP221</f>
        <v>0.425</v>
      </c>
      <c r="AA196" s="285" t="n">
        <f aca="false">OperatingCurve!AR221</f>
        <v>0.136</v>
      </c>
      <c r="AB196" s="285" t="n">
        <f aca="false">OperatingCurve!AQ221</f>
        <v>0.34</v>
      </c>
      <c r="AC196" s="285" t="n">
        <f aca="false">OperatingCurve!AS221</f>
        <v>0.255</v>
      </c>
      <c r="AE196" s="285" t="n">
        <f aca="false">OperatingCurve!AU221</f>
        <v>-0.455637578174882</v>
      </c>
      <c r="AF196" s="285" t="n">
        <f aca="false">OperatingCurve!AT221</f>
        <v>7.29020125079811</v>
      </c>
      <c r="AG196" s="285" t="n">
        <f aca="false">OperatingCurve!AV221</f>
        <v>9.11275156349763</v>
      </c>
      <c r="AI196" s="285" t="n">
        <f aca="false">OperatingCurve!AX221</f>
        <v>-0.63225</v>
      </c>
      <c r="AJ196" s="285" t="n">
        <f aca="false">OperatingCurve!AW221</f>
        <v>10.116</v>
      </c>
      <c r="AK196" s="285" t="n">
        <f aca="false">OperatingCurve!AY221</f>
        <v>12.645</v>
      </c>
      <c r="AM196" s="286" t="n">
        <f aca="false">OperatingCurve!AL221</f>
        <v>63</v>
      </c>
      <c r="AN196" s="287" t="n">
        <f aca="false">OperatingCurve!AM221</f>
        <v>0.4</v>
      </c>
      <c r="BE196" s="284" t="n">
        <f aca="false">OperatingCurve!V221</f>
        <v>42614</v>
      </c>
      <c r="BF196" s="289" t="n">
        <f aca="false">OperatingCurve!AZ221</f>
        <v>0</v>
      </c>
    </row>
    <row r="197" customFormat="false" ht="12.75" hidden="false" customHeight="false" outlineLevel="0" collapsed="false">
      <c r="A197" s="282" t="n">
        <f aca="false">OperatingCurve!D193</f>
        <v>41760</v>
      </c>
      <c r="B197" s="283" t="n">
        <f aca="false">OperatingCurve!H193</f>
        <v>27.729</v>
      </c>
      <c r="C197" s="283" t="n">
        <f aca="false">OperatingCurve!G193</f>
        <v>33.024</v>
      </c>
      <c r="D197" s="283" t="n">
        <f aca="false">OperatingCurve!I193</f>
        <v>63.6</v>
      </c>
      <c r="E197" s="278"/>
      <c r="F197" s="283" t="n">
        <f aca="false">OperatingCurve!M193</f>
        <v>0</v>
      </c>
      <c r="G197" s="283" t="n">
        <f aca="false">OperatingCurve!L193</f>
        <v>0</v>
      </c>
      <c r="H197" s="283" t="n">
        <f aca="false">OperatingCurve!N193</f>
        <v>0</v>
      </c>
      <c r="I197" s="273"/>
      <c r="J197" s="284" t="n">
        <f aca="false">OperatingCurve!V222</f>
        <v>42644</v>
      </c>
      <c r="K197" s="285" t="n">
        <f aca="false">OperatingCurve!Z222</f>
        <v>0</v>
      </c>
      <c r="L197" s="285" t="n">
        <f aca="false">OperatingCurve!Y222</f>
        <v>0</v>
      </c>
      <c r="M197" s="285" t="n">
        <f aca="false">OperatingCurve!AA222</f>
        <v>0</v>
      </c>
      <c r="O197" s="285" t="n">
        <f aca="false">OperatingCurve!AE222</f>
        <v>0</v>
      </c>
      <c r="P197" s="285" t="n">
        <f aca="false">OperatingCurve!AD222</f>
        <v>0</v>
      </c>
      <c r="Q197" s="285" t="n">
        <f aca="false">OperatingCurve!AF222</f>
        <v>0</v>
      </c>
      <c r="S197" s="285" t="n">
        <f aca="false">OperatingCurve!AJ222</f>
        <v>0</v>
      </c>
      <c r="T197" s="285" t="n">
        <f aca="false">OperatingCurve!AI222</f>
        <v>0</v>
      </c>
      <c r="U197" s="285" t="n">
        <f aca="false">OperatingCurve!AK222</f>
        <v>0</v>
      </c>
      <c r="W197" s="285" t="n">
        <f aca="false">OperatingCurve!AO222</f>
        <v>0.153</v>
      </c>
      <c r="X197" s="285" t="n">
        <f aca="false">OperatingCurve!AN222</f>
        <v>0.34</v>
      </c>
      <c r="Y197" s="285" t="n">
        <f aca="false">OperatingCurve!AP222</f>
        <v>0.425</v>
      </c>
      <c r="AA197" s="285" t="n">
        <f aca="false">OperatingCurve!AR222</f>
        <v>0.136</v>
      </c>
      <c r="AB197" s="285" t="n">
        <f aca="false">OperatingCurve!AQ222</f>
        <v>0.34</v>
      </c>
      <c r="AC197" s="285" t="n">
        <f aca="false">OperatingCurve!AS222</f>
        <v>0.255</v>
      </c>
      <c r="AE197" s="285" t="n">
        <f aca="false">OperatingCurve!AU222</f>
        <v>-0.484735205974953</v>
      </c>
      <c r="AF197" s="285" t="n">
        <f aca="false">OperatingCurve!AT222</f>
        <v>7.75576329559925</v>
      </c>
      <c r="AG197" s="285" t="n">
        <f aca="false">OperatingCurve!AV222</f>
        <v>9.69470411949907</v>
      </c>
      <c r="AI197" s="285" t="n">
        <f aca="false">OperatingCurve!AX222</f>
        <v>-0.620475</v>
      </c>
      <c r="AJ197" s="285" t="n">
        <f aca="false">OperatingCurve!AW222</f>
        <v>9.9276</v>
      </c>
      <c r="AK197" s="285" t="n">
        <f aca="false">OperatingCurve!AY222</f>
        <v>12.4095</v>
      </c>
      <c r="AM197" s="286" t="n">
        <f aca="false">OperatingCurve!AL222</f>
        <v>64</v>
      </c>
      <c r="AN197" s="287" t="n">
        <f aca="false">OperatingCurve!AM222</f>
        <v>0.4</v>
      </c>
      <c r="BE197" s="284" t="n">
        <f aca="false">OperatingCurve!V222</f>
        <v>42644</v>
      </c>
      <c r="BF197" s="289" t="n">
        <f aca="false">OperatingCurve!AZ222</f>
        <v>0</v>
      </c>
    </row>
    <row r="198" customFormat="false" ht="12.75" hidden="false" customHeight="false" outlineLevel="0" collapsed="false">
      <c r="A198" s="282" t="n">
        <f aca="false">OperatingCurve!D194</f>
        <v>41791</v>
      </c>
      <c r="B198" s="283" t="n">
        <f aca="false">OperatingCurve!H194</f>
        <v>35.156</v>
      </c>
      <c r="C198" s="283" t="n">
        <f aca="false">OperatingCurve!G194</f>
        <v>40.521</v>
      </c>
      <c r="D198" s="283" t="n">
        <f aca="false">OperatingCurve!I194</f>
        <v>71.489</v>
      </c>
      <c r="E198" s="278"/>
      <c r="F198" s="283" t="n">
        <f aca="false">OperatingCurve!M194</f>
        <v>0</v>
      </c>
      <c r="G198" s="283" t="n">
        <f aca="false">OperatingCurve!L194</f>
        <v>0</v>
      </c>
      <c r="H198" s="283" t="n">
        <f aca="false">OperatingCurve!N194</f>
        <v>0</v>
      </c>
      <c r="I198" s="273"/>
      <c r="J198" s="284" t="n">
        <f aca="false">OperatingCurve!V223</f>
        <v>42675</v>
      </c>
      <c r="K198" s="285" t="n">
        <f aca="false">OperatingCurve!Z223</f>
        <v>0</v>
      </c>
      <c r="L198" s="285" t="n">
        <f aca="false">OperatingCurve!Y223</f>
        <v>0</v>
      </c>
      <c r="M198" s="285" t="n">
        <f aca="false">OperatingCurve!AA223</f>
        <v>0</v>
      </c>
      <c r="O198" s="285" t="n">
        <f aca="false">OperatingCurve!AE223</f>
        <v>0</v>
      </c>
      <c r="P198" s="285" t="n">
        <f aca="false">OperatingCurve!AD223</f>
        <v>0</v>
      </c>
      <c r="Q198" s="285" t="n">
        <f aca="false">OperatingCurve!AF223</f>
        <v>0</v>
      </c>
      <c r="S198" s="285" t="n">
        <f aca="false">OperatingCurve!AJ223</f>
        <v>0</v>
      </c>
      <c r="T198" s="285" t="n">
        <f aca="false">OperatingCurve!AI223</f>
        <v>0</v>
      </c>
      <c r="U198" s="285" t="n">
        <f aca="false">OperatingCurve!AK223</f>
        <v>0</v>
      </c>
      <c r="W198" s="285" t="n">
        <f aca="false">OperatingCurve!AO223</f>
        <v>0.153</v>
      </c>
      <c r="X198" s="285" t="n">
        <f aca="false">OperatingCurve!AN223</f>
        <v>0.34</v>
      </c>
      <c r="Y198" s="285" t="n">
        <f aca="false">OperatingCurve!AP223</f>
        <v>0.425</v>
      </c>
      <c r="AA198" s="285" t="n">
        <f aca="false">OperatingCurve!AR223</f>
        <v>0.136</v>
      </c>
      <c r="AB198" s="285" t="n">
        <f aca="false">OperatingCurve!AQ223</f>
        <v>0.34</v>
      </c>
      <c r="AC198" s="285" t="n">
        <f aca="false">OperatingCurve!AS223</f>
        <v>0.255</v>
      </c>
      <c r="AE198" s="285" t="n">
        <f aca="false">OperatingCurve!AU223</f>
        <v>-0.410147476715089</v>
      </c>
      <c r="AF198" s="285" t="n">
        <f aca="false">OperatingCurve!AT223</f>
        <v>6.56235962744143</v>
      </c>
      <c r="AG198" s="285" t="n">
        <f aca="false">OperatingCurve!AV223</f>
        <v>8.20294953430178</v>
      </c>
      <c r="AI198" s="285" t="n">
        <f aca="false">OperatingCurve!AX223</f>
        <v>-0.6558</v>
      </c>
      <c r="AJ198" s="285" t="n">
        <f aca="false">OperatingCurve!AW223</f>
        <v>10.4928</v>
      </c>
      <c r="AK198" s="285" t="n">
        <f aca="false">OperatingCurve!AY223</f>
        <v>13.116</v>
      </c>
      <c r="AM198" s="286" t="n">
        <f aca="false">OperatingCurve!AL223</f>
        <v>64</v>
      </c>
      <c r="AN198" s="287" t="n">
        <f aca="false">OperatingCurve!AM223</f>
        <v>0.4</v>
      </c>
      <c r="BE198" s="284" t="n">
        <f aca="false">OperatingCurve!V223</f>
        <v>42675</v>
      </c>
      <c r="BF198" s="289" t="n">
        <f aca="false">OperatingCurve!AZ223</f>
        <v>0</v>
      </c>
    </row>
    <row r="199" customFormat="false" ht="12.75" hidden="false" customHeight="false" outlineLevel="0" collapsed="false">
      <c r="A199" s="282" t="n">
        <f aca="false">OperatingCurve!D195</f>
        <v>41821</v>
      </c>
      <c r="B199" s="283" t="n">
        <f aca="false">OperatingCurve!H195</f>
        <v>35.156</v>
      </c>
      <c r="C199" s="283" t="n">
        <f aca="false">OperatingCurve!G195</f>
        <v>40.521</v>
      </c>
      <c r="D199" s="283" t="n">
        <f aca="false">OperatingCurve!I195</f>
        <v>71.489</v>
      </c>
      <c r="E199" s="278"/>
      <c r="F199" s="283" t="n">
        <f aca="false">OperatingCurve!M195</f>
        <v>0</v>
      </c>
      <c r="G199" s="283" t="n">
        <f aca="false">OperatingCurve!L195</f>
        <v>0</v>
      </c>
      <c r="H199" s="283" t="n">
        <f aca="false">OperatingCurve!N195</f>
        <v>0</v>
      </c>
      <c r="I199" s="273"/>
      <c r="J199" s="284" t="n">
        <f aca="false">OperatingCurve!V224</f>
        <v>42705</v>
      </c>
      <c r="K199" s="285" t="n">
        <f aca="false">OperatingCurve!Z224</f>
        <v>0</v>
      </c>
      <c r="L199" s="285" t="n">
        <f aca="false">OperatingCurve!Y224</f>
        <v>0</v>
      </c>
      <c r="M199" s="285" t="n">
        <f aca="false">OperatingCurve!AA224</f>
        <v>0</v>
      </c>
      <c r="O199" s="285" t="n">
        <f aca="false">OperatingCurve!AE224</f>
        <v>0</v>
      </c>
      <c r="P199" s="285" t="n">
        <f aca="false">OperatingCurve!AD224</f>
        <v>0</v>
      </c>
      <c r="Q199" s="285" t="n">
        <f aca="false">OperatingCurve!AF224</f>
        <v>0</v>
      </c>
      <c r="S199" s="285" t="n">
        <f aca="false">OperatingCurve!AJ224</f>
        <v>0</v>
      </c>
      <c r="T199" s="285" t="n">
        <f aca="false">OperatingCurve!AI224</f>
        <v>0</v>
      </c>
      <c r="U199" s="285" t="n">
        <f aca="false">OperatingCurve!AK224</f>
        <v>0</v>
      </c>
      <c r="W199" s="285" t="n">
        <f aca="false">OperatingCurve!AO224</f>
        <v>0.153</v>
      </c>
      <c r="X199" s="285" t="n">
        <f aca="false">OperatingCurve!AN224</f>
        <v>0.34</v>
      </c>
      <c r="Y199" s="285" t="n">
        <f aca="false">OperatingCurve!AP224</f>
        <v>0.425</v>
      </c>
      <c r="AA199" s="285" t="n">
        <f aca="false">OperatingCurve!AR224</f>
        <v>0.136</v>
      </c>
      <c r="AB199" s="285" t="n">
        <f aca="false">OperatingCurve!AQ224</f>
        <v>0.34</v>
      </c>
      <c r="AC199" s="285" t="n">
        <f aca="false">OperatingCurve!AS224</f>
        <v>0.255</v>
      </c>
      <c r="AE199" s="285" t="n">
        <f aca="false">OperatingCurve!AU224</f>
        <v>-0.419655399211954</v>
      </c>
      <c r="AF199" s="285" t="n">
        <f aca="false">OperatingCurve!AT224</f>
        <v>6.71448638739126</v>
      </c>
      <c r="AG199" s="285" t="n">
        <f aca="false">OperatingCurve!AV224</f>
        <v>8.39310798423907</v>
      </c>
      <c r="AI199" s="285" t="n">
        <f aca="false">OperatingCurve!AX224</f>
        <v>-0.667575</v>
      </c>
      <c r="AJ199" s="285" t="n">
        <f aca="false">OperatingCurve!AW224</f>
        <v>10.6812</v>
      </c>
      <c r="AK199" s="285" t="n">
        <f aca="false">OperatingCurve!AY224</f>
        <v>13.3515</v>
      </c>
      <c r="AM199" s="286" t="n">
        <f aca="false">OperatingCurve!AL224</f>
        <v>64</v>
      </c>
      <c r="AN199" s="287" t="n">
        <f aca="false">OperatingCurve!AM224</f>
        <v>0.4</v>
      </c>
      <c r="BE199" s="284" t="n">
        <f aca="false">OperatingCurve!V224</f>
        <v>42705</v>
      </c>
      <c r="BF199" s="289" t="n">
        <f aca="false">OperatingCurve!AZ224</f>
        <v>0</v>
      </c>
    </row>
    <row r="200" customFormat="false" ht="12.75" hidden="false" customHeight="false" outlineLevel="0" collapsed="false">
      <c r="A200" s="282" t="n">
        <f aca="false">OperatingCurve!D196</f>
        <v>41852</v>
      </c>
      <c r="B200" s="283" t="n">
        <f aca="false">OperatingCurve!H196</f>
        <v>37.296</v>
      </c>
      <c r="C200" s="283" t="n">
        <f aca="false">OperatingCurve!G196</f>
        <v>42.681</v>
      </c>
      <c r="D200" s="283" t="n">
        <f aca="false">OperatingCurve!I196</f>
        <v>73.761</v>
      </c>
      <c r="E200" s="278"/>
      <c r="F200" s="283" t="n">
        <f aca="false">OperatingCurve!M196</f>
        <v>0</v>
      </c>
      <c r="G200" s="283" t="n">
        <f aca="false">OperatingCurve!L196</f>
        <v>0</v>
      </c>
      <c r="H200" s="283" t="n">
        <f aca="false">OperatingCurve!N196</f>
        <v>0</v>
      </c>
      <c r="I200" s="273"/>
      <c r="J200" s="284" t="n">
        <f aca="false">OperatingCurve!V225</f>
        <v>42736</v>
      </c>
      <c r="K200" s="285" t="n">
        <f aca="false">OperatingCurve!Z225</f>
        <v>0</v>
      </c>
      <c r="L200" s="285" t="n">
        <f aca="false">OperatingCurve!Y225</f>
        <v>0</v>
      </c>
      <c r="M200" s="285" t="n">
        <f aca="false">OperatingCurve!AA225</f>
        <v>0</v>
      </c>
      <c r="O200" s="285" t="n">
        <f aca="false">OperatingCurve!AE225</f>
        <v>0</v>
      </c>
      <c r="P200" s="285" t="n">
        <f aca="false">OperatingCurve!AD225</f>
        <v>0</v>
      </c>
      <c r="Q200" s="285" t="n">
        <f aca="false">OperatingCurve!AF225</f>
        <v>0</v>
      </c>
      <c r="S200" s="285" t="n">
        <f aca="false">OperatingCurve!AJ225</f>
        <v>0</v>
      </c>
      <c r="T200" s="285" t="n">
        <f aca="false">OperatingCurve!AI225</f>
        <v>0</v>
      </c>
      <c r="U200" s="285" t="n">
        <f aca="false">OperatingCurve!AK225</f>
        <v>0</v>
      </c>
      <c r="W200" s="285" t="n">
        <f aca="false">OperatingCurve!AO225</f>
        <v>0.153</v>
      </c>
      <c r="X200" s="285" t="n">
        <f aca="false">OperatingCurve!AN225</f>
        <v>0.34</v>
      </c>
      <c r="Y200" s="285" t="n">
        <f aca="false">OperatingCurve!AP225</f>
        <v>0.425</v>
      </c>
      <c r="AA200" s="285" t="n">
        <f aca="false">OperatingCurve!AR225</f>
        <v>0.136</v>
      </c>
      <c r="AB200" s="285" t="n">
        <f aca="false">OperatingCurve!AQ225</f>
        <v>0.34</v>
      </c>
      <c r="AC200" s="285" t="n">
        <f aca="false">OperatingCurve!AS225</f>
        <v>0.255</v>
      </c>
      <c r="AE200" s="285" t="n">
        <f aca="false">OperatingCurve!AU225</f>
        <v>-0.43048858158097</v>
      </c>
      <c r="AF200" s="285" t="n">
        <f aca="false">OperatingCurve!AT225</f>
        <v>6.88781730529552</v>
      </c>
      <c r="AG200" s="285" t="n">
        <f aca="false">OperatingCurve!AV225</f>
        <v>8.60977163161941</v>
      </c>
      <c r="AI200" s="285" t="n">
        <f aca="false">OperatingCurve!AX225</f>
        <v>-0.6558</v>
      </c>
      <c r="AJ200" s="285" t="n">
        <f aca="false">OperatingCurve!AW225</f>
        <v>10.4928</v>
      </c>
      <c r="AK200" s="285" t="n">
        <f aca="false">OperatingCurve!AY225</f>
        <v>13.116</v>
      </c>
      <c r="AM200" s="286" t="n">
        <f aca="false">OperatingCurve!AL225</f>
        <v>65</v>
      </c>
      <c r="AN200" s="287" t="n">
        <f aca="false">OperatingCurve!AM225</f>
        <v>0.4</v>
      </c>
      <c r="BE200" s="284" t="n">
        <f aca="false">OperatingCurve!V225</f>
        <v>42736</v>
      </c>
      <c r="BF200" s="289" t="n">
        <f aca="false">OperatingCurve!AZ225</f>
        <v>0</v>
      </c>
    </row>
    <row r="201" customFormat="false" ht="12.75" hidden="false" customHeight="false" outlineLevel="0" collapsed="false">
      <c r="A201" s="282" t="n">
        <f aca="false">OperatingCurve!D197</f>
        <v>41883</v>
      </c>
      <c r="B201" s="283" t="n">
        <f aca="false">OperatingCurve!H197</f>
        <v>30.9</v>
      </c>
      <c r="C201" s="283" t="n">
        <f aca="false">OperatingCurve!G197</f>
        <v>36.225</v>
      </c>
      <c r="D201" s="283" t="n">
        <f aca="false">OperatingCurve!I197</f>
        <v>66.969</v>
      </c>
      <c r="E201" s="278"/>
      <c r="F201" s="283" t="n">
        <f aca="false">OperatingCurve!M197</f>
        <v>0</v>
      </c>
      <c r="G201" s="283" t="n">
        <f aca="false">OperatingCurve!L197</f>
        <v>0</v>
      </c>
      <c r="H201" s="283" t="n">
        <f aca="false">OperatingCurve!N197</f>
        <v>0</v>
      </c>
      <c r="I201" s="273"/>
      <c r="J201" s="284" t="n">
        <f aca="false">OperatingCurve!V226</f>
        <v>42767</v>
      </c>
      <c r="K201" s="285" t="n">
        <f aca="false">OperatingCurve!Z226</f>
        <v>0</v>
      </c>
      <c r="L201" s="285" t="n">
        <f aca="false">OperatingCurve!Y226</f>
        <v>0</v>
      </c>
      <c r="M201" s="285" t="n">
        <f aca="false">OperatingCurve!AA226</f>
        <v>0</v>
      </c>
      <c r="O201" s="285" t="n">
        <f aca="false">OperatingCurve!AE226</f>
        <v>0</v>
      </c>
      <c r="P201" s="285" t="n">
        <f aca="false">OperatingCurve!AD226</f>
        <v>0</v>
      </c>
      <c r="Q201" s="285" t="n">
        <f aca="false">OperatingCurve!AF226</f>
        <v>0</v>
      </c>
      <c r="S201" s="285" t="n">
        <f aca="false">OperatingCurve!AJ226</f>
        <v>0</v>
      </c>
      <c r="T201" s="285" t="n">
        <f aca="false">OperatingCurve!AI226</f>
        <v>0</v>
      </c>
      <c r="U201" s="285" t="n">
        <f aca="false">OperatingCurve!AK226</f>
        <v>0</v>
      </c>
      <c r="W201" s="285" t="n">
        <f aca="false">OperatingCurve!AO226</f>
        <v>0.153</v>
      </c>
      <c r="X201" s="285" t="n">
        <f aca="false">OperatingCurve!AN226</f>
        <v>0.34</v>
      </c>
      <c r="Y201" s="285" t="n">
        <f aca="false">OperatingCurve!AP226</f>
        <v>0.425</v>
      </c>
      <c r="AA201" s="285" t="n">
        <f aca="false">OperatingCurve!AR226</f>
        <v>0.136</v>
      </c>
      <c r="AB201" s="285" t="n">
        <f aca="false">OperatingCurve!AQ226</f>
        <v>0.34</v>
      </c>
      <c r="AC201" s="285" t="n">
        <f aca="false">OperatingCurve!AS226</f>
        <v>0.255</v>
      </c>
      <c r="AE201" s="285" t="n">
        <f aca="false">OperatingCurve!AU226</f>
        <v>-0.402107379613998</v>
      </c>
      <c r="AF201" s="285" t="n">
        <f aca="false">OperatingCurve!AT226</f>
        <v>6.43371807382396</v>
      </c>
      <c r="AG201" s="285" t="n">
        <f aca="false">OperatingCurve!AV226</f>
        <v>8.04214759227995</v>
      </c>
      <c r="AI201" s="285" t="n">
        <f aca="false">OperatingCurve!AX226</f>
        <v>-0.6616875</v>
      </c>
      <c r="AJ201" s="285" t="n">
        <f aca="false">OperatingCurve!AW226</f>
        <v>10.587</v>
      </c>
      <c r="AK201" s="285" t="n">
        <f aca="false">OperatingCurve!AY226</f>
        <v>13.23375</v>
      </c>
      <c r="AM201" s="286" t="n">
        <f aca="false">OperatingCurve!AL226</f>
        <v>65</v>
      </c>
      <c r="AN201" s="287" t="n">
        <f aca="false">OperatingCurve!AM226</f>
        <v>0.4</v>
      </c>
      <c r="BE201" s="284" t="n">
        <f aca="false">OperatingCurve!V226</f>
        <v>42767</v>
      </c>
      <c r="BF201" s="289" t="n">
        <f aca="false">OperatingCurve!AZ226</f>
        <v>0</v>
      </c>
    </row>
    <row r="202" customFormat="false" ht="12.75" hidden="false" customHeight="false" outlineLevel="0" collapsed="false">
      <c r="A202" s="282" t="n">
        <f aca="false">OperatingCurve!D198</f>
        <v>41913</v>
      </c>
      <c r="B202" s="283" t="n">
        <f aca="false">OperatingCurve!H198</f>
        <v>33.024</v>
      </c>
      <c r="C202" s="283" t="n">
        <f aca="false">OperatingCurve!G198</f>
        <v>38.369</v>
      </c>
      <c r="D202" s="283" t="n">
        <f aca="false">OperatingCurve!I198</f>
        <v>69.225</v>
      </c>
      <c r="E202" s="278"/>
      <c r="F202" s="283" t="n">
        <f aca="false">OperatingCurve!M198</f>
        <v>0</v>
      </c>
      <c r="G202" s="283" t="n">
        <f aca="false">OperatingCurve!L198</f>
        <v>0</v>
      </c>
      <c r="H202" s="283" t="n">
        <f aca="false">OperatingCurve!N198</f>
        <v>0</v>
      </c>
      <c r="I202" s="273"/>
      <c r="J202" s="284" t="n">
        <f aca="false">OperatingCurve!V227</f>
        <v>42795</v>
      </c>
      <c r="K202" s="285" t="n">
        <f aca="false">OperatingCurve!Z227</f>
        <v>0</v>
      </c>
      <c r="L202" s="285" t="n">
        <f aca="false">OperatingCurve!Y227</f>
        <v>0</v>
      </c>
      <c r="M202" s="285" t="n">
        <f aca="false">OperatingCurve!AA227</f>
        <v>0</v>
      </c>
      <c r="O202" s="285" t="n">
        <f aca="false">OperatingCurve!AE227</f>
        <v>0</v>
      </c>
      <c r="P202" s="285" t="n">
        <f aca="false">OperatingCurve!AD227</f>
        <v>0</v>
      </c>
      <c r="Q202" s="285" t="n">
        <f aca="false">OperatingCurve!AF227</f>
        <v>0</v>
      </c>
      <c r="S202" s="285" t="n">
        <f aca="false">OperatingCurve!AJ227</f>
        <v>0</v>
      </c>
      <c r="T202" s="285" t="n">
        <f aca="false">OperatingCurve!AI227</f>
        <v>0</v>
      </c>
      <c r="U202" s="285" t="n">
        <f aca="false">OperatingCurve!AK227</f>
        <v>0</v>
      </c>
      <c r="W202" s="285" t="n">
        <f aca="false">OperatingCurve!AO227</f>
        <v>0.153</v>
      </c>
      <c r="X202" s="285" t="n">
        <f aca="false">OperatingCurve!AN227</f>
        <v>0.34</v>
      </c>
      <c r="Y202" s="285" t="n">
        <f aca="false">OperatingCurve!AP227</f>
        <v>0.425</v>
      </c>
      <c r="AA202" s="285" t="n">
        <f aca="false">OperatingCurve!AR227</f>
        <v>0.136</v>
      </c>
      <c r="AB202" s="285" t="n">
        <f aca="false">OperatingCurve!AQ227</f>
        <v>0.34</v>
      </c>
      <c r="AC202" s="285" t="n">
        <f aca="false">OperatingCurve!AS227</f>
        <v>0.255</v>
      </c>
      <c r="AE202" s="285" t="n">
        <f aca="false">OperatingCurve!AU227</f>
        <v>-0.395696014851329</v>
      </c>
      <c r="AF202" s="285" t="n">
        <f aca="false">OperatingCurve!AT227</f>
        <v>6.33113623762127</v>
      </c>
      <c r="AG202" s="285" t="n">
        <f aca="false">OperatingCurve!AV227</f>
        <v>7.91392029702658</v>
      </c>
      <c r="AI202" s="285" t="n">
        <f aca="false">OperatingCurve!AX227</f>
        <v>-0.667575</v>
      </c>
      <c r="AJ202" s="285" t="n">
        <f aca="false">OperatingCurve!AW227</f>
        <v>10.6812</v>
      </c>
      <c r="AK202" s="285" t="n">
        <f aca="false">OperatingCurve!AY227</f>
        <v>13.3515</v>
      </c>
      <c r="AM202" s="286" t="n">
        <f aca="false">OperatingCurve!AL227</f>
        <v>65</v>
      </c>
      <c r="AN202" s="287" t="n">
        <f aca="false">OperatingCurve!AM227</f>
        <v>0.4</v>
      </c>
      <c r="BE202" s="284" t="n">
        <f aca="false">OperatingCurve!V227</f>
        <v>42795</v>
      </c>
      <c r="BF202" s="289" t="n">
        <f aca="false">OperatingCurve!AZ227</f>
        <v>0</v>
      </c>
    </row>
    <row r="203" customFormat="false" ht="12.75" hidden="false" customHeight="false" outlineLevel="0" collapsed="false">
      <c r="A203" s="282" t="n">
        <f aca="false">OperatingCurve!D199</f>
        <v>41944</v>
      </c>
      <c r="B203" s="283" t="n">
        <f aca="false">OperatingCurve!H199</f>
        <v>26.676</v>
      </c>
      <c r="C203" s="283" t="n">
        <f aca="false">OperatingCurve!G199</f>
        <v>31.961</v>
      </c>
      <c r="D203" s="283" t="n">
        <f aca="false">OperatingCurve!I199</f>
        <v>62.481</v>
      </c>
      <c r="E203" s="278"/>
      <c r="F203" s="283" t="n">
        <f aca="false">OperatingCurve!M199</f>
        <v>0</v>
      </c>
      <c r="G203" s="283" t="n">
        <f aca="false">OperatingCurve!L199</f>
        <v>0</v>
      </c>
      <c r="H203" s="283" t="n">
        <f aca="false">OperatingCurve!N199</f>
        <v>0</v>
      </c>
      <c r="I203" s="273"/>
      <c r="J203" s="284" t="n">
        <f aca="false">OperatingCurve!V228</f>
        <v>42826</v>
      </c>
      <c r="K203" s="285" t="n">
        <f aca="false">OperatingCurve!Z228</f>
        <v>0</v>
      </c>
      <c r="L203" s="285" t="n">
        <f aca="false">OperatingCurve!Y228</f>
        <v>0</v>
      </c>
      <c r="M203" s="285" t="n">
        <f aca="false">OperatingCurve!AA228</f>
        <v>0</v>
      </c>
      <c r="O203" s="285" t="n">
        <f aca="false">OperatingCurve!AE228</f>
        <v>0</v>
      </c>
      <c r="P203" s="285" t="n">
        <f aca="false">OperatingCurve!AD228</f>
        <v>0</v>
      </c>
      <c r="Q203" s="285" t="n">
        <f aca="false">OperatingCurve!AF228</f>
        <v>0</v>
      </c>
      <c r="S203" s="285" t="n">
        <f aca="false">OperatingCurve!AJ228</f>
        <v>0</v>
      </c>
      <c r="T203" s="285" t="n">
        <f aca="false">OperatingCurve!AI228</f>
        <v>0</v>
      </c>
      <c r="U203" s="285" t="n">
        <f aca="false">OperatingCurve!AK228</f>
        <v>0</v>
      </c>
      <c r="W203" s="285" t="n">
        <f aca="false">OperatingCurve!AO228</f>
        <v>0.153</v>
      </c>
      <c r="X203" s="285" t="n">
        <f aca="false">OperatingCurve!AN228</f>
        <v>0.34</v>
      </c>
      <c r="Y203" s="285" t="n">
        <f aca="false">OperatingCurve!AP228</f>
        <v>0.425</v>
      </c>
      <c r="AA203" s="285" t="n">
        <f aca="false">OperatingCurve!AR228</f>
        <v>0.136</v>
      </c>
      <c r="AB203" s="285" t="n">
        <f aca="false">OperatingCurve!AQ228</f>
        <v>0.34</v>
      </c>
      <c r="AC203" s="285" t="n">
        <f aca="false">OperatingCurve!AS228</f>
        <v>0.255</v>
      </c>
      <c r="AE203" s="285" t="n">
        <f aca="false">OperatingCurve!AU228</f>
        <v>-0.395696014851329</v>
      </c>
      <c r="AF203" s="285" t="n">
        <f aca="false">OperatingCurve!AT228</f>
        <v>6.33113623762127</v>
      </c>
      <c r="AG203" s="285" t="n">
        <f aca="false">OperatingCurve!AV228</f>
        <v>7.91392029702658</v>
      </c>
      <c r="AI203" s="285" t="n">
        <f aca="false">OperatingCurve!AX228</f>
        <v>-0.667575</v>
      </c>
      <c r="AJ203" s="285" t="n">
        <f aca="false">OperatingCurve!AW228</f>
        <v>10.6812</v>
      </c>
      <c r="AK203" s="285" t="n">
        <f aca="false">OperatingCurve!AY228</f>
        <v>13.3515</v>
      </c>
      <c r="AM203" s="286" t="n">
        <f aca="false">OperatingCurve!AL228</f>
        <v>66</v>
      </c>
      <c r="AN203" s="287" t="n">
        <f aca="false">OperatingCurve!AM228</f>
        <v>0.4</v>
      </c>
      <c r="BE203" s="284" t="n">
        <f aca="false">OperatingCurve!V228</f>
        <v>42826</v>
      </c>
      <c r="BF203" s="289" t="n">
        <f aca="false">OperatingCurve!AZ228</f>
        <v>0</v>
      </c>
    </row>
    <row r="204" customFormat="false" ht="12.75" hidden="false" customHeight="false" outlineLevel="0" collapsed="false">
      <c r="A204" s="282" t="n">
        <f aca="false">OperatingCurve!D200</f>
        <v>41974</v>
      </c>
      <c r="B204" s="283" t="n">
        <f aca="false">OperatingCurve!H200</f>
        <v>27.729</v>
      </c>
      <c r="C204" s="283" t="n">
        <f aca="false">OperatingCurve!G200</f>
        <v>33.024</v>
      </c>
      <c r="D204" s="283" t="n">
        <f aca="false">OperatingCurve!I200</f>
        <v>63.6</v>
      </c>
      <c r="E204" s="278"/>
      <c r="F204" s="283" t="n">
        <f aca="false">OperatingCurve!M200</f>
        <v>0</v>
      </c>
      <c r="G204" s="283" t="n">
        <f aca="false">OperatingCurve!L200</f>
        <v>0</v>
      </c>
      <c r="H204" s="283" t="n">
        <f aca="false">OperatingCurve!N200</f>
        <v>0</v>
      </c>
      <c r="I204" s="273"/>
      <c r="J204" s="284" t="n">
        <f aca="false">OperatingCurve!V229</f>
        <v>42856</v>
      </c>
      <c r="K204" s="285" t="n">
        <f aca="false">OperatingCurve!Z229</f>
        <v>0</v>
      </c>
      <c r="L204" s="285" t="n">
        <f aca="false">OperatingCurve!Y229</f>
        <v>0</v>
      </c>
      <c r="M204" s="285" t="n">
        <f aca="false">OperatingCurve!AA229</f>
        <v>0</v>
      </c>
      <c r="O204" s="285" t="n">
        <f aca="false">OperatingCurve!AE229</f>
        <v>0</v>
      </c>
      <c r="P204" s="285" t="n">
        <f aca="false">OperatingCurve!AD229</f>
        <v>0</v>
      </c>
      <c r="Q204" s="285" t="n">
        <f aca="false">OperatingCurve!AF229</f>
        <v>0</v>
      </c>
      <c r="S204" s="285" t="n">
        <f aca="false">OperatingCurve!AJ229</f>
        <v>0</v>
      </c>
      <c r="T204" s="285" t="n">
        <f aca="false">OperatingCurve!AI229</f>
        <v>0</v>
      </c>
      <c r="U204" s="285" t="n">
        <f aca="false">OperatingCurve!AK229</f>
        <v>0</v>
      </c>
      <c r="W204" s="285" t="n">
        <f aca="false">OperatingCurve!AO229</f>
        <v>0.153</v>
      </c>
      <c r="X204" s="285" t="n">
        <f aca="false">OperatingCurve!AN229</f>
        <v>0.34</v>
      </c>
      <c r="Y204" s="285" t="n">
        <f aca="false">OperatingCurve!AP229</f>
        <v>0.425</v>
      </c>
      <c r="AA204" s="285" t="n">
        <f aca="false">OperatingCurve!AR229</f>
        <v>0.136</v>
      </c>
      <c r="AB204" s="285" t="n">
        <f aca="false">OperatingCurve!AQ229</f>
        <v>0.34</v>
      </c>
      <c r="AC204" s="285" t="n">
        <f aca="false">OperatingCurve!AS229</f>
        <v>0.255</v>
      </c>
      <c r="AE204" s="285" t="n">
        <f aca="false">OperatingCurve!AU229</f>
        <v>-0.419655399211954</v>
      </c>
      <c r="AF204" s="285" t="n">
        <f aca="false">OperatingCurve!AT229</f>
        <v>6.71448638739126</v>
      </c>
      <c r="AG204" s="285" t="n">
        <f aca="false">OperatingCurve!AV229</f>
        <v>8.39310798423907</v>
      </c>
      <c r="AI204" s="285" t="n">
        <f aca="false">OperatingCurve!AX229</f>
        <v>-0.6499125</v>
      </c>
      <c r="AJ204" s="285" t="n">
        <f aca="false">OperatingCurve!AW229</f>
        <v>10.3986</v>
      </c>
      <c r="AK204" s="285" t="n">
        <f aca="false">OperatingCurve!AY229</f>
        <v>12.99825</v>
      </c>
      <c r="AM204" s="286" t="n">
        <f aca="false">OperatingCurve!AL229</f>
        <v>66</v>
      </c>
      <c r="AN204" s="287" t="n">
        <f aca="false">OperatingCurve!AM229</f>
        <v>0.4</v>
      </c>
      <c r="BE204" s="284" t="n">
        <f aca="false">OperatingCurve!V229</f>
        <v>42856</v>
      </c>
      <c r="BF204" s="289" t="n">
        <f aca="false">OperatingCurve!AZ229</f>
        <v>0</v>
      </c>
    </row>
    <row r="205" customFormat="false" ht="12.75" hidden="false" customHeight="false" outlineLevel="0" collapsed="false">
      <c r="A205" s="282" t="n">
        <f aca="false">OperatingCurve!D201</f>
        <v>42005</v>
      </c>
      <c r="B205" s="283" t="n">
        <f aca="false">OperatingCurve!H201</f>
        <v>28.784</v>
      </c>
      <c r="C205" s="283" t="n">
        <f aca="false">OperatingCurve!G201</f>
        <v>34.089</v>
      </c>
      <c r="D205" s="283" t="n">
        <f aca="false">OperatingCurve!I201</f>
        <v>65.844</v>
      </c>
      <c r="E205" s="278"/>
      <c r="F205" s="283" t="n">
        <f aca="false">OperatingCurve!M201</f>
        <v>0</v>
      </c>
      <c r="G205" s="283" t="n">
        <f aca="false">OperatingCurve!L201</f>
        <v>0</v>
      </c>
      <c r="H205" s="283" t="n">
        <f aca="false">OperatingCurve!N201</f>
        <v>0</v>
      </c>
      <c r="I205" s="273"/>
      <c r="J205" s="284" t="n">
        <f aca="false">OperatingCurve!V230</f>
        <v>42887</v>
      </c>
      <c r="K205" s="285" t="n">
        <f aca="false">OperatingCurve!Z230</f>
        <v>0</v>
      </c>
      <c r="L205" s="285" t="n">
        <f aca="false">OperatingCurve!Y230</f>
        <v>0</v>
      </c>
      <c r="M205" s="285" t="n">
        <f aca="false">OperatingCurve!AA230</f>
        <v>0</v>
      </c>
      <c r="O205" s="285" t="n">
        <f aca="false">OperatingCurve!AE230</f>
        <v>0</v>
      </c>
      <c r="P205" s="285" t="n">
        <f aca="false">OperatingCurve!AD230</f>
        <v>0</v>
      </c>
      <c r="Q205" s="285" t="n">
        <f aca="false">OperatingCurve!AF230</f>
        <v>0</v>
      </c>
      <c r="S205" s="285" t="n">
        <f aca="false">OperatingCurve!AJ230</f>
        <v>0</v>
      </c>
      <c r="T205" s="285" t="n">
        <f aca="false">OperatingCurve!AI230</f>
        <v>0</v>
      </c>
      <c r="U205" s="285" t="n">
        <f aca="false">OperatingCurve!AK230</f>
        <v>0</v>
      </c>
      <c r="W205" s="285" t="n">
        <f aca="false">OperatingCurve!AO230</f>
        <v>0.153</v>
      </c>
      <c r="X205" s="285" t="n">
        <f aca="false">OperatingCurve!AN230</f>
        <v>0.34</v>
      </c>
      <c r="Y205" s="285" t="n">
        <f aca="false">OperatingCurve!AP230</f>
        <v>0.425</v>
      </c>
      <c r="AA205" s="285" t="n">
        <f aca="false">OperatingCurve!AR230</f>
        <v>0.136</v>
      </c>
      <c r="AB205" s="285" t="n">
        <f aca="false">OperatingCurve!AQ230</f>
        <v>0.34</v>
      </c>
      <c r="AC205" s="285" t="n">
        <f aca="false">OperatingCurve!AS230</f>
        <v>0.255</v>
      </c>
      <c r="AE205" s="285" t="n">
        <f aca="false">OperatingCurve!AU230</f>
        <v>-0.517091326059428</v>
      </c>
      <c r="AF205" s="285" t="n">
        <f aca="false">OperatingCurve!AT230</f>
        <v>8.27346121695085</v>
      </c>
      <c r="AG205" s="285" t="n">
        <f aca="false">OperatingCurve!AV230</f>
        <v>10.3418265211886</v>
      </c>
      <c r="AI205" s="285" t="n">
        <f aca="false">OperatingCurve!AX230</f>
        <v>-0.6087</v>
      </c>
      <c r="AJ205" s="285" t="n">
        <f aca="false">OperatingCurve!AW230</f>
        <v>9.7392</v>
      </c>
      <c r="AK205" s="285" t="n">
        <f aca="false">OperatingCurve!AY230</f>
        <v>12.174</v>
      </c>
      <c r="AM205" s="286" t="n">
        <f aca="false">OperatingCurve!AL230</f>
        <v>66</v>
      </c>
      <c r="AN205" s="287" t="n">
        <f aca="false">OperatingCurve!AM230</f>
        <v>0.4</v>
      </c>
      <c r="BE205" s="284" t="n">
        <f aca="false">OperatingCurve!V230</f>
        <v>42887</v>
      </c>
      <c r="BF205" s="289" t="n">
        <f aca="false">OperatingCurve!AZ230</f>
        <v>0</v>
      </c>
    </row>
    <row r="206" customFormat="false" ht="12.75" hidden="false" customHeight="false" outlineLevel="0" collapsed="false">
      <c r="A206" s="282" t="n">
        <f aca="false">OperatingCurve!D202</f>
        <v>42036</v>
      </c>
      <c r="B206" s="283" t="n">
        <f aca="false">OperatingCurve!H202</f>
        <v>25.625</v>
      </c>
      <c r="C206" s="283" t="n">
        <f aca="false">OperatingCurve!G202</f>
        <v>30.9</v>
      </c>
      <c r="D206" s="283" t="n">
        <f aca="false">OperatingCurve!I202</f>
        <v>62.481</v>
      </c>
      <c r="E206" s="278"/>
      <c r="F206" s="283" t="n">
        <f aca="false">OperatingCurve!M202</f>
        <v>0</v>
      </c>
      <c r="G206" s="283" t="n">
        <f aca="false">OperatingCurve!L202</f>
        <v>0</v>
      </c>
      <c r="H206" s="283" t="n">
        <f aca="false">OperatingCurve!N202</f>
        <v>0</v>
      </c>
      <c r="I206" s="273"/>
      <c r="J206" s="284" t="n">
        <f aca="false">OperatingCurve!V231</f>
        <v>42917</v>
      </c>
      <c r="K206" s="285" t="n">
        <f aca="false">OperatingCurve!Z231</f>
        <v>0</v>
      </c>
      <c r="L206" s="285" t="n">
        <f aca="false">OperatingCurve!Y231</f>
        <v>0</v>
      </c>
      <c r="M206" s="285" t="n">
        <f aca="false">OperatingCurve!AA231</f>
        <v>0</v>
      </c>
      <c r="O206" s="285" t="n">
        <f aca="false">OperatingCurve!AE231</f>
        <v>0</v>
      </c>
      <c r="P206" s="285" t="n">
        <f aca="false">OperatingCurve!AD231</f>
        <v>0</v>
      </c>
      <c r="Q206" s="285" t="n">
        <f aca="false">OperatingCurve!AF231</f>
        <v>0</v>
      </c>
      <c r="S206" s="285" t="n">
        <f aca="false">OperatingCurve!AJ231</f>
        <v>0</v>
      </c>
      <c r="T206" s="285" t="n">
        <f aca="false">OperatingCurve!AI231</f>
        <v>0</v>
      </c>
      <c r="U206" s="285" t="n">
        <f aca="false">OperatingCurve!AK231</f>
        <v>0</v>
      </c>
      <c r="W206" s="285" t="n">
        <f aca="false">OperatingCurve!AO231</f>
        <v>0.153</v>
      </c>
      <c r="X206" s="285" t="n">
        <f aca="false">OperatingCurve!AN231</f>
        <v>0.34</v>
      </c>
      <c r="Y206" s="285" t="n">
        <f aca="false">OperatingCurve!AP231</f>
        <v>0.425</v>
      </c>
      <c r="AA206" s="285" t="n">
        <f aca="false">OperatingCurve!AR231</f>
        <v>0.136</v>
      </c>
      <c r="AB206" s="285" t="n">
        <f aca="false">OperatingCurve!AQ231</f>
        <v>0.34</v>
      </c>
      <c r="AC206" s="285" t="n">
        <f aca="false">OperatingCurve!AS231</f>
        <v>0.255</v>
      </c>
      <c r="AE206" s="285" t="n">
        <f aca="false">OperatingCurve!AU231</f>
        <v>-0.517091326059428</v>
      </c>
      <c r="AF206" s="285" t="n">
        <f aca="false">OperatingCurve!AT231</f>
        <v>8.27346121695085</v>
      </c>
      <c r="AG206" s="285" t="n">
        <f aca="false">OperatingCurve!AV231</f>
        <v>10.3418265211886</v>
      </c>
      <c r="AI206" s="285" t="n">
        <f aca="false">OperatingCurve!AX231</f>
        <v>-0.6087</v>
      </c>
      <c r="AJ206" s="285" t="n">
        <f aca="false">OperatingCurve!AW231</f>
        <v>9.7392</v>
      </c>
      <c r="AK206" s="285" t="n">
        <f aca="false">OperatingCurve!AY231</f>
        <v>12.174</v>
      </c>
      <c r="AM206" s="286" t="n">
        <f aca="false">OperatingCurve!AL231</f>
        <v>67</v>
      </c>
      <c r="AN206" s="287" t="n">
        <f aca="false">OperatingCurve!AM231</f>
        <v>0.4</v>
      </c>
      <c r="BE206" s="284" t="n">
        <f aca="false">OperatingCurve!V231</f>
        <v>42917</v>
      </c>
      <c r="BF206" s="289" t="n">
        <f aca="false">OperatingCurve!AZ231</f>
        <v>0</v>
      </c>
    </row>
    <row r="207" customFormat="false" ht="12.75" hidden="false" customHeight="false" outlineLevel="0" collapsed="false">
      <c r="A207" s="282" t="n">
        <f aca="false">OperatingCurve!D203</f>
        <v>42064</v>
      </c>
      <c r="B207" s="283" t="n">
        <f aca="false">OperatingCurve!H203</f>
        <v>24.576</v>
      </c>
      <c r="C207" s="283" t="n">
        <f aca="false">OperatingCurve!G203</f>
        <v>29.841</v>
      </c>
      <c r="D207" s="283" t="n">
        <f aca="false">OperatingCurve!I203</f>
        <v>61.364</v>
      </c>
      <c r="E207" s="278"/>
      <c r="F207" s="283" t="n">
        <f aca="false">OperatingCurve!M203</f>
        <v>0</v>
      </c>
      <c r="G207" s="283" t="n">
        <f aca="false">OperatingCurve!L203</f>
        <v>0</v>
      </c>
      <c r="H207" s="283" t="n">
        <f aca="false">OperatingCurve!N203</f>
        <v>0</v>
      </c>
      <c r="I207" s="273"/>
      <c r="J207" s="284" t="n">
        <f aca="false">OperatingCurve!V232</f>
        <v>42948</v>
      </c>
      <c r="K207" s="285" t="n">
        <f aca="false">OperatingCurve!Z232</f>
        <v>0</v>
      </c>
      <c r="L207" s="285" t="n">
        <f aca="false">OperatingCurve!Y232</f>
        <v>0</v>
      </c>
      <c r="M207" s="285" t="n">
        <f aca="false">OperatingCurve!AA232</f>
        <v>0</v>
      </c>
      <c r="O207" s="285" t="n">
        <f aca="false">OperatingCurve!AE232</f>
        <v>0</v>
      </c>
      <c r="P207" s="285" t="n">
        <f aca="false">OperatingCurve!AD232</f>
        <v>0</v>
      </c>
      <c r="Q207" s="285" t="n">
        <f aca="false">OperatingCurve!AF232</f>
        <v>0</v>
      </c>
      <c r="S207" s="285" t="n">
        <f aca="false">OperatingCurve!AJ232</f>
        <v>0</v>
      </c>
      <c r="T207" s="285" t="n">
        <f aca="false">OperatingCurve!AI232</f>
        <v>0</v>
      </c>
      <c r="U207" s="285" t="n">
        <f aca="false">OperatingCurve!AK232</f>
        <v>0</v>
      </c>
      <c r="W207" s="285" t="n">
        <f aca="false">OperatingCurve!AO232</f>
        <v>0.153</v>
      </c>
      <c r="X207" s="285" t="n">
        <f aca="false">OperatingCurve!AN232</f>
        <v>0.34</v>
      </c>
      <c r="Y207" s="285" t="n">
        <f aca="false">OperatingCurve!AP232</f>
        <v>0.425</v>
      </c>
      <c r="AA207" s="285" t="n">
        <f aca="false">OperatingCurve!AR232</f>
        <v>0.136</v>
      </c>
      <c r="AB207" s="285" t="n">
        <f aca="false">OperatingCurve!AQ232</f>
        <v>0.34</v>
      </c>
      <c r="AC207" s="285" t="n">
        <f aca="false">OperatingCurve!AS232</f>
        <v>0.255</v>
      </c>
      <c r="AE207" s="285" t="n">
        <f aca="false">OperatingCurve!AU232</f>
        <v>-0.552146177512111</v>
      </c>
      <c r="AF207" s="285" t="n">
        <f aca="false">OperatingCurve!AT232</f>
        <v>8.83433884019377</v>
      </c>
      <c r="AG207" s="285" t="n">
        <f aca="false">OperatingCurve!AV232</f>
        <v>11.0429235502422</v>
      </c>
      <c r="AI207" s="285" t="n">
        <f aca="false">OperatingCurve!AX232</f>
        <v>-0.596925</v>
      </c>
      <c r="AJ207" s="285" t="n">
        <f aca="false">OperatingCurve!AW232</f>
        <v>9.5508</v>
      </c>
      <c r="AK207" s="285" t="n">
        <f aca="false">OperatingCurve!AY232</f>
        <v>11.9385</v>
      </c>
      <c r="AM207" s="286" t="n">
        <f aca="false">OperatingCurve!AL232</f>
        <v>67</v>
      </c>
      <c r="AN207" s="287" t="n">
        <f aca="false">OperatingCurve!AM232</f>
        <v>0.4</v>
      </c>
      <c r="BE207" s="284" t="n">
        <f aca="false">OperatingCurve!V232</f>
        <v>42948</v>
      </c>
      <c r="BF207" s="289" t="n">
        <f aca="false">OperatingCurve!AZ232</f>
        <v>0</v>
      </c>
    </row>
    <row r="208" customFormat="false" ht="12.75" hidden="false" customHeight="false" outlineLevel="0" collapsed="false">
      <c r="A208" s="282" t="n">
        <f aca="false">OperatingCurve!D204</f>
        <v>42095</v>
      </c>
      <c r="B208" s="283" t="n">
        <f aca="false">OperatingCurve!H204</f>
        <v>24.576</v>
      </c>
      <c r="C208" s="283" t="n">
        <f aca="false">OperatingCurve!G204</f>
        <v>29.841</v>
      </c>
      <c r="D208" s="283" t="n">
        <f aca="false">OperatingCurve!I204</f>
        <v>61.364</v>
      </c>
      <c r="E208" s="278"/>
      <c r="F208" s="283" t="n">
        <f aca="false">OperatingCurve!M204</f>
        <v>0</v>
      </c>
      <c r="G208" s="283" t="n">
        <f aca="false">OperatingCurve!L204</f>
        <v>0</v>
      </c>
      <c r="H208" s="283" t="n">
        <f aca="false">OperatingCurve!N204</f>
        <v>0</v>
      </c>
      <c r="I208" s="273"/>
      <c r="J208" s="284" t="n">
        <f aca="false">OperatingCurve!V233</f>
        <v>42979</v>
      </c>
      <c r="K208" s="285" t="n">
        <f aca="false">OperatingCurve!Z233</f>
        <v>0</v>
      </c>
      <c r="L208" s="285" t="n">
        <f aca="false">OperatingCurve!Y233</f>
        <v>0</v>
      </c>
      <c r="M208" s="285" t="n">
        <f aca="false">OperatingCurve!AA233</f>
        <v>0</v>
      </c>
      <c r="O208" s="285" t="n">
        <f aca="false">OperatingCurve!AE233</f>
        <v>0</v>
      </c>
      <c r="P208" s="285" t="n">
        <f aca="false">OperatingCurve!AD233</f>
        <v>0</v>
      </c>
      <c r="Q208" s="285" t="n">
        <f aca="false">OperatingCurve!AF233</f>
        <v>0</v>
      </c>
      <c r="S208" s="285" t="n">
        <f aca="false">OperatingCurve!AJ233</f>
        <v>0</v>
      </c>
      <c r="T208" s="285" t="n">
        <f aca="false">OperatingCurve!AI233</f>
        <v>0</v>
      </c>
      <c r="U208" s="285" t="n">
        <f aca="false">OperatingCurve!AK233</f>
        <v>0</v>
      </c>
      <c r="W208" s="285" t="n">
        <f aca="false">OperatingCurve!AO233</f>
        <v>0.153</v>
      </c>
      <c r="X208" s="285" t="n">
        <f aca="false">OperatingCurve!AN233</f>
        <v>0.34</v>
      </c>
      <c r="Y208" s="285" t="n">
        <f aca="false">OperatingCurve!AP233</f>
        <v>0.425</v>
      </c>
      <c r="AA208" s="285" t="n">
        <f aca="false">OperatingCurve!AR233</f>
        <v>0.136</v>
      </c>
      <c r="AB208" s="285" t="n">
        <f aca="false">OperatingCurve!AQ233</f>
        <v>0.34</v>
      </c>
      <c r="AC208" s="285" t="n">
        <f aca="false">OperatingCurve!AS233</f>
        <v>0.255</v>
      </c>
      <c r="AE208" s="285" t="n">
        <f aca="false">OperatingCurve!AU233</f>
        <v>-0.455637578174882</v>
      </c>
      <c r="AF208" s="285" t="n">
        <f aca="false">OperatingCurve!AT233</f>
        <v>7.29020125079811</v>
      </c>
      <c r="AG208" s="285" t="n">
        <f aca="false">OperatingCurve!AV233</f>
        <v>9.11275156349763</v>
      </c>
      <c r="AI208" s="285" t="n">
        <f aca="false">OperatingCurve!AX233</f>
        <v>-0.63225</v>
      </c>
      <c r="AJ208" s="285" t="n">
        <f aca="false">OperatingCurve!AW233</f>
        <v>10.116</v>
      </c>
      <c r="AK208" s="285" t="n">
        <f aca="false">OperatingCurve!AY233</f>
        <v>12.645</v>
      </c>
      <c r="AM208" s="286" t="n">
        <f aca="false">OperatingCurve!AL233</f>
        <v>67</v>
      </c>
      <c r="AN208" s="287" t="n">
        <f aca="false">OperatingCurve!AM233</f>
        <v>0.4</v>
      </c>
      <c r="BE208" s="284" t="n">
        <f aca="false">OperatingCurve!V233</f>
        <v>42979</v>
      </c>
      <c r="BF208" s="289" t="n">
        <f aca="false">OperatingCurve!AZ233</f>
        <v>0</v>
      </c>
    </row>
    <row r="209" customFormat="false" ht="12.75" hidden="false" customHeight="false" outlineLevel="0" collapsed="false">
      <c r="A209" s="282" t="n">
        <f aca="false">OperatingCurve!D205</f>
        <v>42125</v>
      </c>
      <c r="B209" s="283" t="n">
        <f aca="false">OperatingCurve!H205</f>
        <v>27.729</v>
      </c>
      <c r="C209" s="283" t="n">
        <f aca="false">OperatingCurve!G205</f>
        <v>33.024</v>
      </c>
      <c r="D209" s="283" t="n">
        <f aca="false">OperatingCurve!I205</f>
        <v>64.721</v>
      </c>
      <c r="E209" s="278"/>
      <c r="F209" s="283" t="n">
        <f aca="false">OperatingCurve!M205</f>
        <v>0</v>
      </c>
      <c r="G209" s="283" t="n">
        <f aca="false">OperatingCurve!L205</f>
        <v>0</v>
      </c>
      <c r="H209" s="283" t="n">
        <f aca="false">OperatingCurve!N205</f>
        <v>0</v>
      </c>
      <c r="I209" s="273"/>
      <c r="J209" s="284" t="n">
        <f aca="false">OperatingCurve!V234</f>
        <v>43009</v>
      </c>
      <c r="K209" s="285" t="n">
        <f aca="false">OperatingCurve!Z234</f>
        <v>0</v>
      </c>
      <c r="L209" s="285" t="n">
        <f aca="false">OperatingCurve!Y234</f>
        <v>0</v>
      </c>
      <c r="M209" s="285" t="n">
        <f aca="false">OperatingCurve!AA234</f>
        <v>0</v>
      </c>
      <c r="O209" s="285" t="n">
        <f aca="false">OperatingCurve!AE234</f>
        <v>0</v>
      </c>
      <c r="P209" s="285" t="n">
        <f aca="false">OperatingCurve!AD234</f>
        <v>0</v>
      </c>
      <c r="Q209" s="285" t="n">
        <f aca="false">OperatingCurve!AF234</f>
        <v>0</v>
      </c>
      <c r="S209" s="285" t="n">
        <f aca="false">OperatingCurve!AJ234</f>
        <v>0</v>
      </c>
      <c r="T209" s="285" t="n">
        <f aca="false">OperatingCurve!AI234</f>
        <v>0</v>
      </c>
      <c r="U209" s="285" t="n">
        <f aca="false">OperatingCurve!AK234</f>
        <v>0</v>
      </c>
      <c r="W209" s="285" t="n">
        <f aca="false">OperatingCurve!AO234</f>
        <v>0.153</v>
      </c>
      <c r="X209" s="285" t="n">
        <f aca="false">OperatingCurve!AN234</f>
        <v>0.34</v>
      </c>
      <c r="Y209" s="285" t="n">
        <f aca="false">OperatingCurve!AP234</f>
        <v>0.425</v>
      </c>
      <c r="AA209" s="285" t="n">
        <f aca="false">OperatingCurve!AR234</f>
        <v>0.136</v>
      </c>
      <c r="AB209" s="285" t="n">
        <f aca="false">OperatingCurve!AQ234</f>
        <v>0.34</v>
      </c>
      <c r="AC209" s="285" t="n">
        <f aca="false">OperatingCurve!AS234</f>
        <v>0.255</v>
      </c>
      <c r="AE209" s="285" t="n">
        <f aca="false">OperatingCurve!AU234</f>
        <v>-0.484735205974953</v>
      </c>
      <c r="AF209" s="285" t="n">
        <f aca="false">OperatingCurve!AT234</f>
        <v>7.75576329559925</v>
      </c>
      <c r="AG209" s="285" t="n">
        <f aca="false">OperatingCurve!AV234</f>
        <v>9.69470411949907</v>
      </c>
      <c r="AI209" s="285" t="n">
        <f aca="false">OperatingCurve!AX234</f>
        <v>-0.620475</v>
      </c>
      <c r="AJ209" s="285" t="n">
        <f aca="false">OperatingCurve!AW234</f>
        <v>9.9276</v>
      </c>
      <c r="AK209" s="285" t="n">
        <f aca="false">OperatingCurve!AY234</f>
        <v>12.4095</v>
      </c>
      <c r="AM209" s="286" t="n">
        <f aca="false">OperatingCurve!AL234</f>
        <v>68</v>
      </c>
      <c r="AN209" s="287" t="n">
        <f aca="false">OperatingCurve!AM234</f>
        <v>0.4</v>
      </c>
      <c r="BE209" s="284" t="n">
        <f aca="false">OperatingCurve!V234</f>
        <v>43009</v>
      </c>
      <c r="BF209" s="289" t="n">
        <f aca="false">OperatingCurve!AZ234</f>
        <v>0</v>
      </c>
    </row>
    <row r="210" customFormat="false" ht="12.75" hidden="false" customHeight="false" outlineLevel="0" collapsed="false">
      <c r="A210" s="282" t="n">
        <f aca="false">OperatingCurve!D206</f>
        <v>42156</v>
      </c>
      <c r="B210" s="283" t="n">
        <f aca="false">OperatingCurve!H206</f>
        <v>35.156</v>
      </c>
      <c r="C210" s="283" t="n">
        <f aca="false">OperatingCurve!G206</f>
        <v>40.521</v>
      </c>
      <c r="D210" s="283" t="n">
        <f aca="false">OperatingCurve!I206</f>
        <v>72.624</v>
      </c>
      <c r="E210" s="278"/>
      <c r="F210" s="283" t="n">
        <f aca="false">OperatingCurve!M206</f>
        <v>0</v>
      </c>
      <c r="G210" s="283" t="n">
        <f aca="false">OperatingCurve!L206</f>
        <v>0</v>
      </c>
      <c r="H210" s="283" t="n">
        <f aca="false">OperatingCurve!N206</f>
        <v>0</v>
      </c>
      <c r="I210" s="273"/>
      <c r="J210" s="284" t="n">
        <f aca="false">OperatingCurve!V235</f>
        <v>43040</v>
      </c>
      <c r="K210" s="285" t="n">
        <f aca="false">OperatingCurve!Z235</f>
        <v>0</v>
      </c>
      <c r="L210" s="285" t="n">
        <f aca="false">OperatingCurve!Y235</f>
        <v>0</v>
      </c>
      <c r="M210" s="285" t="n">
        <f aca="false">OperatingCurve!AA235</f>
        <v>0</v>
      </c>
      <c r="O210" s="285" t="n">
        <f aca="false">OperatingCurve!AE235</f>
        <v>0</v>
      </c>
      <c r="P210" s="285" t="n">
        <f aca="false">OperatingCurve!AD235</f>
        <v>0</v>
      </c>
      <c r="Q210" s="285" t="n">
        <f aca="false">OperatingCurve!AF235</f>
        <v>0</v>
      </c>
      <c r="S210" s="285" t="n">
        <f aca="false">OperatingCurve!AJ235</f>
        <v>0</v>
      </c>
      <c r="T210" s="285" t="n">
        <f aca="false">OperatingCurve!AI235</f>
        <v>0</v>
      </c>
      <c r="U210" s="285" t="n">
        <f aca="false">OperatingCurve!AK235</f>
        <v>0</v>
      </c>
      <c r="W210" s="285" t="n">
        <f aca="false">OperatingCurve!AO235</f>
        <v>0.153</v>
      </c>
      <c r="X210" s="285" t="n">
        <f aca="false">OperatingCurve!AN235</f>
        <v>0.34</v>
      </c>
      <c r="Y210" s="285" t="n">
        <f aca="false">OperatingCurve!AP235</f>
        <v>0.425</v>
      </c>
      <c r="AA210" s="285" t="n">
        <f aca="false">OperatingCurve!AR235</f>
        <v>0.136</v>
      </c>
      <c r="AB210" s="285" t="n">
        <f aca="false">OperatingCurve!AQ235</f>
        <v>0.34</v>
      </c>
      <c r="AC210" s="285" t="n">
        <f aca="false">OperatingCurve!AS235</f>
        <v>0.255</v>
      </c>
      <c r="AE210" s="285" t="n">
        <f aca="false">OperatingCurve!AU235</f>
        <v>-0.410147476715089</v>
      </c>
      <c r="AF210" s="285" t="n">
        <f aca="false">OperatingCurve!AT235</f>
        <v>6.56235962744143</v>
      </c>
      <c r="AG210" s="285" t="n">
        <f aca="false">OperatingCurve!AV235</f>
        <v>8.20294953430178</v>
      </c>
      <c r="AI210" s="285" t="n">
        <f aca="false">OperatingCurve!AX235</f>
        <v>-0.6558</v>
      </c>
      <c r="AJ210" s="285" t="n">
        <f aca="false">OperatingCurve!AW235</f>
        <v>10.4928</v>
      </c>
      <c r="AK210" s="285" t="n">
        <f aca="false">OperatingCurve!AY235</f>
        <v>13.116</v>
      </c>
      <c r="AM210" s="286" t="n">
        <f aca="false">OperatingCurve!AL235</f>
        <v>68</v>
      </c>
      <c r="AN210" s="287" t="n">
        <f aca="false">OperatingCurve!AM235</f>
        <v>0.4</v>
      </c>
      <c r="BE210" s="284" t="n">
        <f aca="false">OperatingCurve!V235</f>
        <v>43040</v>
      </c>
      <c r="BF210" s="289" t="n">
        <f aca="false">OperatingCurve!AZ235</f>
        <v>0</v>
      </c>
    </row>
    <row r="211" customFormat="false" ht="12.75" hidden="false" customHeight="false" outlineLevel="0" collapsed="false">
      <c r="A211" s="282" t="n">
        <f aca="false">OperatingCurve!D207</f>
        <v>42186</v>
      </c>
      <c r="B211" s="283" t="n">
        <f aca="false">OperatingCurve!H207</f>
        <v>35.156</v>
      </c>
      <c r="C211" s="283" t="n">
        <f aca="false">OperatingCurve!G207</f>
        <v>40.521</v>
      </c>
      <c r="D211" s="283" t="n">
        <f aca="false">OperatingCurve!I207</f>
        <v>72.624</v>
      </c>
      <c r="E211" s="278"/>
      <c r="F211" s="283" t="n">
        <f aca="false">OperatingCurve!M207</f>
        <v>0</v>
      </c>
      <c r="G211" s="283" t="n">
        <f aca="false">OperatingCurve!L207</f>
        <v>0</v>
      </c>
      <c r="H211" s="283" t="n">
        <f aca="false">OperatingCurve!N207</f>
        <v>0</v>
      </c>
      <c r="I211" s="273"/>
      <c r="J211" s="284" t="n">
        <f aca="false">OperatingCurve!V236</f>
        <v>43070</v>
      </c>
      <c r="K211" s="285" t="n">
        <f aca="false">OperatingCurve!Z236</f>
        <v>0</v>
      </c>
      <c r="L211" s="285" t="n">
        <f aca="false">OperatingCurve!Y236</f>
        <v>0</v>
      </c>
      <c r="M211" s="285" t="n">
        <f aca="false">OperatingCurve!AA236</f>
        <v>0</v>
      </c>
      <c r="O211" s="285" t="n">
        <f aca="false">OperatingCurve!AE236</f>
        <v>0</v>
      </c>
      <c r="P211" s="285" t="n">
        <f aca="false">OperatingCurve!AD236</f>
        <v>0</v>
      </c>
      <c r="Q211" s="285" t="n">
        <f aca="false">OperatingCurve!AF236</f>
        <v>0</v>
      </c>
      <c r="S211" s="285" t="n">
        <f aca="false">OperatingCurve!AJ236</f>
        <v>0</v>
      </c>
      <c r="T211" s="285" t="n">
        <f aca="false">OperatingCurve!AI236</f>
        <v>0</v>
      </c>
      <c r="U211" s="285" t="n">
        <f aca="false">OperatingCurve!AK236</f>
        <v>0</v>
      </c>
      <c r="W211" s="285" t="n">
        <f aca="false">OperatingCurve!AO236</f>
        <v>0.153</v>
      </c>
      <c r="X211" s="285" t="n">
        <f aca="false">OperatingCurve!AN236</f>
        <v>0.34</v>
      </c>
      <c r="Y211" s="285" t="n">
        <f aca="false">OperatingCurve!AP236</f>
        <v>0.425</v>
      </c>
      <c r="AA211" s="285" t="n">
        <f aca="false">OperatingCurve!AR236</f>
        <v>0.136</v>
      </c>
      <c r="AB211" s="285" t="n">
        <f aca="false">OperatingCurve!AQ236</f>
        <v>0.34</v>
      </c>
      <c r="AC211" s="285" t="n">
        <f aca="false">OperatingCurve!AS236</f>
        <v>0.255</v>
      </c>
      <c r="AE211" s="285" t="n">
        <f aca="false">OperatingCurve!AU236</f>
        <v>-0.419655399211954</v>
      </c>
      <c r="AF211" s="285" t="n">
        <f aca="false">OperatingCurve!AT236</f>
        <v>6.71448638739126</v>
      </c>
      <c r="AG211" s="285" t="n">
        <f aca="false">OperatingCurve!AV236</f>
        <v>8.39310798423907</v>
      </c>
      <c r="AI211" s="285" t="n">
        <f aca="false">OperatingCurve!AX236</f>
        <v>-0.667575</v>
      </c>
      <c r="AJ211" s="285" t="n">
        <f aca="false">OperatingCurve!AW236</f>
        <v>10.6812</v>
      </c>
      <c r="AK211" s="285" t="n">
        <f aca="false">OperatingCurve!AY236</f>
        <v>13.3515</v>
      </c>
      <c r="AM211" s="286" t="n">
        <f aca="false">OperatingCurve!AL236</f>
        <v>68</v>
      </c>
      <c r="AN211" s="287" t="n">
        <f aca="false">OperatingCurve!AM236</f>
        <v>0.4</v>
      </c>
      <c r="BE211" s="284" t="n">
        <f aca="false">OperatingCurve!V236</f>
        <v>43070</v>
      </c>
      <c r="BF211" s="289" t="n">
        <f aca="false">OperatingCurve!AZ236</f>
        <v>0</v>
      </c>
    </row>
    <row r="212" customFormat="false" ht="12.75" hidden="false" customHeight="false" outlineLevel="0" collapsed="false">
      <c r="A212" s="282" t="n">
        <f aca="false">OperatingCurve!D208</f>
        <v>42217</v>
      </c>
      <c r="B212" s="283" t="n">
        <f aca="false">OperatingCurve!H208</f>
        <v>37.296</v>
      </c>
      <c r="C212" s="283" t="n">
        <f aca="false">OperatingCurve!G208</f>
        <v>42.681</v>
      </c>
      <c r="D212" s="283" t="n">
        <f aca="false">OperatingCurve!I208</f>
        <v>74.9</v>
      </c>
      <c r="E212" s="278"/>
      <c r="F212" s="283" t="n">
        <f aca="false">OperatingCurve!M208</f>
        <v>0</v>
      </c>
      <c r="G212" s="283" t="n">
        <f aca="false">OperatingCurve!L208</f>
        <v>0</v>
      </c>
      <c r="H212" s="283" t="n">
        <f aca="false">OperatingCurve!N208</f>
        <v>0</v>
      </c>
      <c r="I212" s="273"/>
      <c r="J212" s="284" t="n">
        <f aca="false">OperatingCurve!V237</f>
        <v>43101</v>
      </c>
      <c r="K212" s="285" t="n">
        <f aca="false">OperatingCurve!Z237</f>
        <v>0</v>
      </c>
      <c r="L212" s="285" t="n">
        <f aca="false">OperatingCurve!Y237</f>
        <v>0</v>
      </c>
      <c r="M212" s="285" t="n">
        <f aca="false">OperatingCurve!AA237</f>
        <v>0</v>
      </c>
      <c r="O212" s="285" t="n">
        <f aca="false">OperatingCurve!AE237</f>
        <v>0</v>
      </c>
      <c r="P212" s="285" t="n">
        <f aca="false">OperatingCurve!AD237</f>
        <v>0</v>
      </c>
      <c r="Q212" s="285" t="n">
        <f aca="false">OperatingCurve!AF237</f>
        <v>0</v>
      </c>
      <c r="S212" s="285" t="n">
        <f aca="false">OperatingCurve!AJ237</f>
        <v>0</v>
      </c>
      <c r="T212" s="285" t="n">
        <f aca="false">OperatingCurve!AI237</f>
        <v>0</v>
      </c>
      <c r="U212" s="285" t="n">
        <f aca="false">OperatingCurve!AK237</f>
        <v>0</v>
      </c>
      <c r="W212" s="285" t="n">
        <f aca="false">OperatingCurve!AO237</f>
        <v>0.153</v>
      </c>
      <c r="X212" s="285" t="n">
        <f aca="false">OperatingCurve!AN237</f>
        <v>0.34</v>
      </c>
      <c r="Y212" s="285" t="n">
        <f aca="false">OperatingCurve!AP237</f>
        <v>0.425</v>
      </c>
      <c r="AA212" s="285" t="n">
        <f aca="false">OperatingCurve!AR237</f>
        <v>0.136</v>
      </c>
      <c r="AB212" s="285" t="n">
        <f aca="false">OperatingCurve!AQ237</f>
        <v>0.34</v>
      </c>
      <c r="AC212" s="285" t="n">
        <f aca="false">OperatingCurve!AS237</f>
        <v>0.255</v>
      </c>
      <c r="AE212" s="285" t="n">
        <f aca="false">OperatingCurve!AU237</f>
        <v>-0.43048858158097</v>
      </c>
      <c r="AF212" s="285" t="n">
        <f aca="false">OperatingCurve!AT237</f>
        <v>6.88781730529552</v>
      </c>
      <c r="AG212" s="285" t="n">
        <f aca="false">OperatingCurve!AV237</f>
        <v>8.60977163161941</v>
      </c>
      <c r="AI212" s="285" t="n">
        <f aca="false">OperatingCurve!AX237</f>
        <v>-0.6558</v>
      </c>
      <c r="AJ212" s="285" t="n">
        <f aca="false">OperatingCurve!AW237</f>
        <v>10.4928</v>
      </c>
      <c r="AK212" s="285" t="n">
        <f aca="false">OperatingCurve!AY237</f>
        <v>13.116</v>
      </c>
      <c r="AM212" s="286" t="n">
        <f aca="false">OperatingCurve!AL237</f>
        <v>69</v>
      </c>
      <c r="AN212" s="287" t="n">
        <f aca="false">OperatingCurve!AM237</f>
        <v>0.4</v>
      </c>
      <c r="BE212" s="284" t="n">
        <f aca="false">OperatingCurve!V237</f>
        <v>43101</v>
      </c>
      <c r="BF212" s="289" t="n">
        <f aca="false">OperatingCurve!AZ237</f>
        <v>0</v>
      </c>
    </row>
    <row r="213" customFormat="false" ht="12.75" hidden="false" customHeight="false" outlineLevel="0" collapsed="false">
      <c r="A213" s="282" t="n">
        <f aca="false">OperatingCurve!D209</f>
        <v>42248</v>
      </c>
      <c r="B213" s="283" t="n">
        <f aca="false">OperatingCurve!H209</f>
        <v>30.9</v>
      </c>
      <c r="C213" s="283" t="n">
        <f aca="false">OperatingCurve!G209</f>
        <v>36.225</v>
      </c>
      <c r="D213" s="283" t="n">
        <f aca="false">OperatingCurve!I209</f>
        <v>68.096</v>
      </c>
      <c r="E213" s="278"/>
      <c r="F213" s="283" t="n">
        <f aca="false">OperatingCurve!M209</f>
        <v>0</v>
      </c>
      <c r="G213" s="283" t="n">
        <f aca="false">OperatingCurve!L209</f>
        <v>0</v>
      </c>
      <c r="H213" s="283" t="n">
        <f aca="false">OperatingCurve!N209</f>
        <v>0</v>
      </c>
      <c r="I213" s="273"/>
      <c r="J213" s="284" t="n">
        <f aca="false">OperatingCurve!V238</f>
        <v>43132</v>
      </c>
      <c r="K213" s="285" t="n">
        <f aca="false">OperatingCurve!Z238</f>
        <v>0</v>
      </c>
      <c r="L213" s="285" t="n">
        <f aca="false">OperatingCurve!Y238</f>
        <v>0</v>
      </c>
      <c r="M213" s="285" t="n">
        <f aca="false">OperatingCurve!AA238</f>
        <v>0</v>
      </c>
      <c r="O213" s="285" t="n">
        <f aca="false">OperatingCurve!AE238</f>
        <v>0</v>
      </c>
      <c r="P213" s="285" t="n">
        <f aca="false">OperatingCurve!AD238</f>
        <v>0</v>
      </c>
      <c r="Q213" s="285" t="n">
        <f aca="false">OperatingCurve!AF238</f>
        <v>0</v>
      </c>
      <c r="S213" s="285" t="n">
        <f aca="false">OperatingCurve!AJ238</f>
        <v>0</v>
      </c>
      <c r="T213" s="285" t="n">
        <f aca="false">OperatingCurve!AI238</f>
        <v>0</v>
      </c>
      <c r="U213" s="285" t="n">
        <f aca="false">OperatingCurve!AK238</f>
        <v>0</v>
      </c>
      <c r="W213" s="285" t="n">
        <f aca="false">OperatingCurve!AO238</f>
        <v>0.153</v>
      </c>
      <c r="X213" s="285" t="n">
        <f aca="false">OperatingCurve!AN238</f>
        <v>0.34</v>
      </c>
      <c r="Y213" s="285" t="n">
        <f aca="false">OperatingCurve!AP238</f>
        <v>0.425</v>
      </c>
      <c r="AA213" s="285" t="n">
        <f aca="false">OperatingCurve!AR238</f>
        <v>0.136</v>
      </c>
      <c r="AB213" s="285" t="n">
        <f aca="false">OperatingCurve!AQ238</f>
        <v>0.34</v>
      </c>
      <c r="AC213" s="285" t="n">
        <f aca="false">OperatingCurve!AS238</f>
        <v>0.255</v>
      </c>
      <c r="AE213" s="285" t="n">
        <f aca="false">OperatingCurve!AU238</f>
        <v>-0.402107379613998</v>
      </c>
      <c r="AF213" s="285" t="n">
        <f aca="false">OperatingCurve!AT238</f>
        <v>6.43371807382396</v>
      </c>
      <c r="AG213" s="285" t="n">
        <f aca="false">OperatingCurve!AV238</f>
        <v>8.04214759227995</v>
      </c>
      <c r="AI213" s="285" t="n">
        <f aca="false">OperatingCurve!AX238</f>
        <v>-0.6616875</v>
      </c>
      <c r="AJ213" s="285" t="n">
        <f aca="false">OperatingCurve!AW238</f>
        <v>10.587</v>
      </c>
      <c r="AK213" s="285" t="n">
        <f aca="false">OperatingCurve!AY238</f>
        <v>13.23375</v>
      </c>
      <c r="AM213" s="286" t="n">
        <f aca="false">OperatingCurve!AL238</f>
        <v>69</v>
      </c>
      <c r="AN213" s="287" t="n">
        <f aca="false">OperatingCurve!AM238</f>
        <v>0.4</v>
      </c>
      <c r="BE213" s="284" t="n">
        <f aca="false">OperatingCurve!V238</f>
        <v>43132</v>
      </c>
      <c r="BF213" s="289" t="n">
        <f aca="false">OperatingCurve!AZ238</f>
        <v>0</v>
      </c>
    </row>
    <row r="214" customFormat="false" ht="12.75" hidden="false" customHeight="false" outlineLevel="0" collapsed="false">
      <c r="A214" s="282" t="n">
        <f aca="false">OperatingCurve!D210</f>
        <v>42278</v>
      </c>
      <c r="B214" s="283" t="n">
        <f aca="false">OperatingCurve!H210</f>
        <v>33.024</v>
      </c>
      <c r="C214" s="283" t="n">
        <f aca="false">OperatingCurve!G210</f>
        <v>38.369</v>
      </c>
      <c r="D214" s="283" t="n">
        <f aca="false">OperatingCurve!I210</f>
        <v>70.356</v>
      </c>
      <c r="E214" s="278"/>
      <c r="F214" s="283" t="n">
        <f aca="false">OperatingCurve!M210</f>
        <v>0</v>
      </c>
      <c r="G214" s="283" t="n">
        <f aca="false">OperatingCurve!L210</f>
        <v>0</v>
      </c>
      <c r="H214" s="283" t="n">
        <f aca="false">OperatingCurve!N210</f>
        <v>0</v>
      </c>
      <c r="I214" s="273"/>
      <c r="J214" s="284" t="n">
        <f aca="false">OperatingCurve!V239</f>
        <v>43160</v>
      </c>
      <c r="K214" s="285" t="n">
        <f aca="false">OperatingCurve!Z239</f>
        <v>0</v>
      </c>
      <c r="L214" s="285" t="n">
        <f aca="false">OperatingCurve!Y239</f>
        <v>0</v>
      </c>
      <c r="M214" s="285" t="n">
        <f aca="false">OperatingCurve!AA239</f>
        <v>0</v>
      </c>
      <c r="O214" s="285" t="n">
        <f aca="false">OperatingCurve!AE239</f>
        <v>0</v>
      </c>
      <c r="P214" s="285" t="n">
        <f aca="false">OperatingCurve!AD239</f>
        <v>0</v>
      </c>
      <c r="Q214" s="285" t="n">
        <f aca="false">OperatingCurve!AF239</f>
        <v>0</v>
      </c>
      <c r="S214" s="285" t="n">
        <f aca="false">OperatingCurve!AJ239</f>
        <v>0</v>
      </c>
      <c r="T214" s="285" t="n">
        <f aca="false">OperatingCurve!AI239</f>
        <v>0</v>
      </c>
      <c r="U214" s="285" t="n">
        <f aca="false">OperatingCurve!AK239</f>
        <v>0</v>
      </c>
      <c r="W214" s="285" t="n">
        <f aca="false">OperatingCurve!AO239</f>
        <v>0.153</v>
      </c>
      <c r="X214" s="285" t="n">
        <f aca="false">OperatingCurve!AN239</f>
        <v>0.34</v>
      </c>
      <c r="Y214" s="285" t="n">
        <f aca="false">OperatingCurve!AP239</f>
        <v>0.425</v>
      </c>
      <c r="AA214" s="285" t="n">
        <f aca="false">OperatingCurve!AR239</f>
        <v>0.136</v>
      </c>
      <c r="AB214" s="285" t="n">
        <f aca="false">OperatingCurve!AQ239</f>
        <v>0.34</v>
      </c>
      <c r="AC214" s="285" t="n">
        <f aca="false">OperatingCurve!AS239</f>
        <v>0.255</v>
      </c>
      <c r="AE214" s="285" t="n">
        <f aca="false">OperatingCurve!AU239</f>
        <v>-0.395696014851329</v>
      </c>
      <c r="AF214" s="285" t="n">
        <f aca="false">OperatingCurve!AT239</f>
        <v>6.33113623762127</v>
      </c>
      <c r="AG214" s="285" t="n">
        <f aca="false">OperatingCurve!AV239</f>
        <v>7.91392029702658</v>
      </c>
      <c r="AI214" s="285" t="n">
        <f aca="false">OperatingCurve!AX239</f>
        <v>-0.667575</v>
      </c>
      <c r="AJ214" s="285" t="n">
        <f aca="false">OperatingCurve!AW239</f>
        <v>10.6812</v>
      </c>
      <c r="AK214" s="285" t="n">
        <f aca="false">OperatingCurve!AY239</f>
        <v>13.3515</v>
      </c>
      <c r="AM214" s="286" t="n">
        <f aca="false">OperatingCurve!AL239</f>
        <v>69</v>
      </c>
      <c r="AN214" s="287" t="n">
        <f aca="false">OperatingCurve!AM239</f>
        <v>0.4</v>
      </c>
      <c r="BE214" s="284" t="n">
        <f aca="false">OperatingCurve!V239</f>
        <v>43160</v>
      </c>
      <c r="BF214" s="289" t="n">
        <f aca="false">OperatingCurve!AZ239</f>
        <v>0</v>
      </c>
    </row>
    <row r="215" customFormat="false" ht="12.75" hidden="false" customHeight="false" outlineLevel="0" collapsed="false">
      <c r="A215" s="282" t="n">
        <f aca="false">OperatingCurve!D211</f>
        <v>42309</v>
      </c>
      <c r="B215" s="283" t="n">
        <f aca="false">OperatingCurve!H211</f>
        <v>26.676</v>
      </c>
      <c r="C215" s="283" t="n">
        <f aca="false">OperatingCurve!G211</f>
        <v>31.961</v>
      </c>
      <c r="D215" s="283" t="n">
        <f aca="false">OperatingCurve!I211</f>
        <v>63.6</v>
      </c>
      <c r="E215" s="278"/>
      <c r="F215" s="283" t="n">
        <f aca="false">OperatingCurve!M211</f>
        <v>0</v>
      </c>
      <c r="G215" s="283" t="n">
        <f aca="false">OperatingCurve!L211</f>
        <v>0</v>
      </c>
      <c r="H215" s="283" t="n">
        <f aca="false">OperatingCurve!N211</f>
        <v>0</v>
      </c>
      <c r="I215" s="273"/>
      <c r="J215" s="284" t="n">
        <f aca="false">OperatingCurve!V240</f>
        <v>43191</v>
      </c>
      <c r="K215" s="285" t="n">
        <f aca="false">OperatingCurve!Z240</f>
        <v>0</v>
      </c>
      <c r="L215" s="285" t="n">
        <f aca="false">OperatingCurve!Y240</f>
        <v>0</v>
      </c>
      <c r="M215" s="285" t="n">
        <f aca="false">OperatingCurve!AA240</f>
        <v>0</v>
      </c>
      <c r="O215" s="285" t="n">
        <f aca="false">OperatingCurve!AE240</f>
        <v>0</v>
      </c>
      <c r="P215" s="285" t="n">
        <f aca="false">OperatingCurve!AD240</f>
        <v>0</v>
      </c>
      <c r="Q215" s="285" t="n">
        <f aca="false">OperatingCurve!AF240</f>
        <v>0</v>
      </c>
      <c r="S215" s="285" t="n">
        <f aca="false">OperatingCurve!AJ240</f>
        <v>0</v>
      </c>
      <c r="T215" s="285" t="n">
        <f aca="false">OperatingCurve!AI240</f>
        <v>0</v>
      </c>
      <c r="U215" s="285" t="n">
        <f aca="false">OperatingCurve!AK240</f>
        <v>0</v>
      </c>
      <c r="W215" s="285" t="n">
        <f aca="false">OperatingCurve!AO240</f>
        <v>0.153</v>
      </c>
      <c r="X215" s="285" t="n">
        <f aca="false">OperatingCurve!AN240</f>
        <v>0.34</v>
      </c>
      <c r="Y215" s="285" t="n">
        <f aca="false">OperatingCurve!AP240</f>
        <v>0.425</v>
      </c>
      <c r="AA215" s="285" t="n">
        <f aca="false">OperatingCurve!AR240</f>
        <v>0.136</v>
      </c>
      <c r="AB215" s="285" t="n">
        <f aca="false">OperatingCurve!AQ240</f>
        <v>0.34</v>
      </c>
      <c r="AC215" s="285" t="n">
        <f aca="false">OperatingCurve!AS240</f>
        <v>0.255</v>
      </c>
      <c r="AE215" s="285" t="n">
        <f aca="false">OperatingCurve!AU240</f>
        <v>-0.395696014851329</v>
      </c>
      <c r="AF215" s="285" t="n">
        <f aca="false">OperatingCurve!AT240</f>
        <v>6.33113623762127</v>
      </c>
      <c r="AG215" s="285" t="n">
        <f aca="false">OperatingCurve!AV240</f>
        <v>7.91392029702658</v>
      </c>
      <c r="AI215" s="285" t="n">
        <f aca="false">OperatingCurve!AX240</f>
        <v>-0.667575</v>
      </c>
      <c r="AJ215" s="285" t="n">
        <f aca="false">OperatingCurve!AW240</f>
        <v>10.6812</v>
      </c>
      <c r="AK215" s="285" t="n">
        <f aca="false">OperatingCurve!AY240</f>
        <v>13.3515</v>
      </c>
      <c r="AM215" s="286" t="n">
        <f aca="false">OperatingCurve!AL240</f>
        <v>70</v>
      </c>
      <c r="AN215" s="287" t="n">
        <f aca="false">OperatingCurve!AM240</f>
        <v>0.4</v>
      </c>
      <c r="BE215" s="284" t="n">
        <f aca="false">OperatingCurve!V240</f>
        <v>43191</v>
      </c>
      <c r="BF215" s="289" t="n">
        <f aca="false">OperatingCurve!AZ240</f>
        <v>0</v>
      </c>
    </row>
    <row r="216" customFormat="false" ht="12.75" hidden="false" customHeight="false" outlineLevel="0" collapsed="false">
      <c r="A216" s="282" t="n">
        <f aca="false">OperatingCurve!D212</f>
        <v>42339</v>
      </c>
      <c r="B216" s="283" t="n">
        <f aca="false">OperatingCurve!H212</f>
        <v>27.729</v>
      </c>
      <c r="C216" s="283" t="n">
        <f aca="false">OperatingCurve!G212</f>
        <v>33.024</v>
      </c>
      <c r="D216" s="283" t="n">
        <f aca="false">OperatingCurve!I212</f>
        <v>64.721</v>
      </c>
      <c r="E216" s="278"/>
      <c r="F216" s="283" t="n">
        <f aca="false">OperatingCurve!M212</f>
        <v>0</v>
      </c>
      <c r="G216" s="283" t="n">
        <f aca="false">OperatingCurve!L212</f>
        <v>0</v>
      </c>
      <c r="H216" s="283" t="n">
        <f aca="false">OperatingCurve!N212</f>
        <v>0</v>
      </c>
      <c r="I216" s="273"/>
      <c r="J216" s="284" t="n">
        <f aca="false">OperatingCurve!V241</f>
        <v>43221</v>
      </c>
      <c r="K216" s="285" t="n">
        <f aca="false">OperatingCurve!Z241</f>
        <v>0</v>
      </c>
      <c r="L216" s="285" t="n">
        <f aca="false">OperatingCurve!Y241</f>
        <v>0</v>
      </c>
      <c r="M216" s="285" t="n">
        <f aca="false">OperatingCurve!AA241</f>
        <v>0</v>
      </c>
      <c r="O216" s="285" t="n">
        <f aca="false">OperatingCurve!AE241</f>
        <v>0</v>
      </c>
      <c r="P216" s="285" t="n">
        <f aca="false">OperatingCurve!AD241</f>
        <v>0</v>
      </c>
      <c r="Q216" s="285" t="n">
        <f aca="false">OperatingCurve!AF241</f>
        <v>0</v>
      </c>
      <c r="S216" s="285" t="n">
        <f aca="false">OperatingCurve!AJ241</f>
        <v>0</v>
      </c>
      <c r="T216" s="285" t="n">
        <f aca="false">OperatingCurve!AI241</f>
        <v>0</v>
      </c>
      <c r="U216" s="285" t="n">
        <f aca="false">OperatingCurve!AK241</f>
        <v>0</v>
      </c>
      <c r="W216" s="285" t="n">
        <f aca="false">OperatingCurve!AO241</f>
        <v>0.153</v>
      </c>
      <c r="X216" s="285" t="n">
        <f aca="false">OperatingCurve!AN241</f>
        <v>0.34</v>
      </c>
      <c r="Y216" s="285" t="n">
        <f aca="false">OperatingCurve!AP241</f>
        <v>0.425</v>
      </c>
      <c r="AA216" s="285" t="n">
        <f aca="false">OperatingCurve!AR241</f>
        <v>0.136</v>
      </c>
      <c r="AB216" s="285" t="n">
        <f aca="false">OperatingCurve!AQ241</f>
        <v>0.34</v>
      </c>
      <c r="AC216" s="285" t="n">
        <f aca="false">OperatingCurve!AS241</f>
        <v>0.255</v>
      </c>
      <c r="AE216" s="285" t="n">
        <f aca="false">OperatingCurve!AU241</f>
        <v>-0.419655399211954</v>
      </c>
      <c r="AF216" s="285" t="n">
        <f aca="false">OperatingCurve!AT241</f>
        <v>6.71448638739126</v>
      </c>
      <c r="AG216" s="285" t="n">
        <f aca="false">OperatingCurve!AV241</f>
        <v>8.39310798423907</v>
      </c>
      <c r="AI216" s="285" t="n">
        <f aca="false">OperatingCurve!AX241</f>
        <v>-0.6499125</v>
      </c>
      <c r="AJ216" s="285" t="n">
        <f aca="false">OperatingCurve!AW241</f>
        <v>10.3986</v>
      </c>
      <c r="AK216" s="285" t="n">
        <f aca="false">OperatingCurve!AY241</f>
        <v>12.99825</v>
      </c>
      <c r="AM216" s="286" t="n">
        <f aca="false">OperatingCurve!AL241</f>
        <v>70</v>
      </c>
      <c r="AN216" s="287" t="n">
        <f aca="false">OperatingCurve!AM241</f>
        <v>0.4</v>
      </c>
      <c r="BE216" s="284" t="n">
        <f aca="false">OperatingCurve!V241</f>
        <v>43221</v>
      </c>
      <c r="BF216" s="289" t="n">
        <f aca="false">OperatingCurve!AZ241</f>
        <v>0</v>
      </c>
    </row>
    <row r="217" customFormat="false" ht="12.75" hidden="false" customHeight="false" outlineLevel="0" collapsed="false">
      <c r="A217" s="282" t="n">
        <f aca="false">OperatingCurve!D213</f>
        <v>42370</v>
      </c>
      <c r="B217" s="283" t="n">
        <f aca="false">OperatingCurve!H213</f>
        <v>28.784</v>
      </c>
      <c r="C217" s="283" t="n">
        <f aca="false">OperatingCurve!G213</f>
        <v>34.089</v>
      </c>
      <c r="D217" s="283" t="n">
        <f aca="false">OperatingCurve!I213</f>
        <v>66.969</v>
      </c>
      <c r="E217" s="278"/>
      <c r="F217" s="283" t="n">
        <f aca="false">OperatingCurve!M213</f>
        <v>0</v>
      </c>
      <c r="G217" s="283" t="n">
        <f aca="false">OperatingCurve!L213</f>
        <v>0</v>
      </c>
      <c r="H217" s="283" t="n">
        <f aca="false">OperatingCurve!N213</f>
        <v>0</v>
      </c>
      <c r="I217" s="273"/>
      <c r="J217" s="284" t="n">
        <f aca="false">OperatingCurve!V242</f>
        <v>43252</v>
      </c>
      <c r="K217" s="285" t="n">
        <f aca="false">OperatingCurve!Z242</f>
        <v>0</v>
      </c>
      <c r="L217" s="285" t="n">
        <f aca="false">OperatingCurve!Y242</f>
        <v>0</v>
      </c>
      <c r="M217" s="285" t="n">
        <f aca="false">OperatingCurve!AA242</f>
        <v>0</v>
      </c>
      <c r="O217" s="285" t="n">
        <f aca="false">OperatingCurve!AE242</f>
        <v>0</v>
      </c>
      <c r="P217" s="285" t="n">
        <f aca="false">OperatingCurve!AD242</f>
        <v>0</v>
      </c>
      <c r="Q217" s="285" t="n">
        <f aca="false">OperatingCurve!AF242</f>
        <v>0</v>
      </c>
      <c r="S217" s="285" t="n">
        <f aca="false">OperatingCurve!AJ242</f>
        <v>0</v>
      </c>
      <c r="T217" s="285" t="n">
        <f aca="false">OperatingCurve!AI242</f>
        <v>0</v>
      </c>
      <c r="U217" s="285" t="n">
        <f aca="false">OperatingCurve!AK242</f>
        <v>0</v>
      </c>
      <c r="W217" s="285" t="n">
        <f aca="false">OperatingCurve!AO242</f>
        <v>0.153</v>
      </c>
      <c r="X217" s="285" t="n">
        <f aca="false">OperatingCurve!AN242</f>
        <v>0.34</v>
      </c>
      <c r="Y217" s="285" t="n">
        <f aca="false">OperatingCurve!AP242</f>
        <v>0.425</v>
      </c>
      <c r="AA217" s="285" t="n">
        <f aca="false">OperatingCurve!AR242</f>
        <v>0.136</v>
      </c>
      <c r="AB217" s="285" t="n">
        <f aca="false">OperatingCurve!AQ242</f>
        <v>0.34</v>
      </c>
      <c r="AC217" s="285" t="n">
        <f aca="false">OperatingCurve!AS242</f>
        <v>0.255</v>
      </c>
      <c r="AE217" s="285" t="n">
        <f aca="false">OperatingCurve!AU242</f>
        <v>-0.517091326059428</v>
      </c>
      <c r="AF217" s="285" t="n">
        <f aca="false">OperatingCurve!AT242</f>
        <v>8.27346121695085</v>
      </c>
      <c r="AG217" s="285" t="n">
        <f aca="false">OperatingCurve!AV242</f>
        <v>10.3418265211886</v>
      </c>
      <c r="AI217" s="285" t="n">
        <f aca="false">OperatingCurve!AX242</f>
        <v>-0.6087</v>
      </c>
      <c r="AJ217" s="285" t="n">
        <f aca="false">OperatingCurve!AW242</f>
        <v>9.7392</v>
      </c>
      <c r="AK217" s="285" t="n">
        <f aca="false">OperatingCurve!AY242</f>
        <v>12.174</v>
      </c>
      <c r="AM217" s="286" t="n">
        <f aca="false">OperatingCurve!AL242</f>
        <v>70</v>
      </c>
      <c r="AN217" s="287" t="n">
        <f aca="false">OperatingCurve!AM242</f>
        <v>0.4</v>
      </c>
      <c r="BE217" s="284" t="n">
        <f aca="false">OperatingCurve!V242</f>
        <v>43252</v>
      </c>
      <c r="BF217" s="289" t="n">
        <f aca="false">OperatingCurve!AZ242</f>
        <v>0</v>
      </c>
    </row>
    <row r="218" customFormat="false" ht="12.75" hidden="false" customHeight="false" outlineLevel="0" collapsed="false">
      <c r="A218" s="282" t="n">
        <f aca="false">OperatingCurve!D214</f>
        <v>42401</v>
      </c>
      <c r="B218" s="283" t="n">
        <f aca="false">OperatingCurve!H214</f>
        <v>25.625</v>
      </c>
      <c r="C218" s="283" t="n">
        <f aca="false">OperatingCurve!G214</f>
        <v>30.9</v>
      </c>
      <c r="D218" s="283" t="n">
        <f aca="false">OperatingCurve!I214</f>
        <v>63.6</v>
      </c>
      <c r="E218" s="278"/>
      <c r="F218" s="283" t="n">
        <f aca="false">OperatingCurve!M214</f>
        <v>0</v>
      </c>
      <c r="G218" s="283" t="n">
        <f aca="false">OperatingCurve!L214</f>
        <v>0</v>
      </c>
      <c r="H218" s="283" t="n">
        <f aca="false">OperatingCurve!N214</f>
        <v>0</v>
      </c>
      <c r="I218" s="273"/>
      <c r="J218" s="284" t="n">
        <f aca="false">OperatingCurve!V243</f>
        <v>43282</v>
      </c>
      <c r="K218" s="285" t="n">
        <f aca="false">OperatingCurve!Z243</f>
        <v>0</v>
      </c>
      <c r="L218" s="285" t="n">
        <f aca="false">OperatingCurve!Y243</f>
        <v>0</v>
      </c>
      <c r="M218" s="285" t="n">
        <f aca="false">OperatingCurve!AA243</f>
        <v>0</v>
      </c>
      <c r="O218" s="285" t="n">
        <f aca="false">OperatingCurve!AE243</f>
        <v>0</v>
      </c>
      <c r="P218" s="285" t="n">
        <f aca="false">OperatingCurve!AD243</f>
        <v>0</v>
      </c>
      <c r="Q218" s="285" t="n">
        <f aca="false">OperatingCurve!AF243</f>
        <v>0</v>
      </c>
      <c r="S218" s="285" t="n">
        <f aca="false">OperatingCurve!AJ243</f>
        <v>0</v>
      </c>
      <c r="T218" s="285" t="n">
        <f aca="false">OperatingCurve!AI243</f>
        <v>0</v>
      </c>
      <c r="U218" s="285" t="n">
        <f aca="false">OperatingCurve!AK243</f>
        <v>0</v>
      </c>
      <c r="W218" s="285" t="n">
        <f aca="false">OperatingCurve!AO243</f>
        <v>0.153</v>
      </c>
      <c r="X218" s="285" t="n">
        <f aca="false">OperatingCurve!AN243</f>
        <v>0.34</v>
      </c>
      <c r="Y218" s="285" t="n">
        <f aca="false">OperatingCurve!AP243</f>
        <v>0.425</v>
      </c>
      <c r="AA218" s="285" t="n">
        <f aca="false">OperatingCurve!AR243</f>
        <v>0.136</v>
      </c>
      <c r="AB218" s="285" t="n">
        <f aca="false">OperatingCurve!AQ243</f>
        <v>0.34</v>
      </c>
      <c r="AC218" s="285" t="n">
        <f aca="false">OperatingCurve!AS243</f>
        <v>0.255</v>
      </c>
      <c r="AE218" s="285" t="n">
        <f aca="false">OperatingCurve!AU243</f>
        <v>-0.517091326059428</v>
      </c>
      <c r="AF218" s="285" t="n">
        <f aca="false">OperatingCurve!AT243</f>
        <v>8.27346121695085</v>
      </c>
      <c r="AG218" s="285" t="n">
        <f aca="false">OperatingCurve!AV243</f>
        <v>10.3418265211886</v>
      </c>
      <c r="AI218" s="285" t="n">
        <f aca="false">OperatingCurve!AX243</f>
        <v>-0.6087</v>
      </c>
      <c r="AJ218" s="285" t="n">
        <f aca="false">OperatingCurve!AW243</f>
        <v>9.7392</v>
      </c>
      <c r="AK218" s="285" t="n">
        <f aca="false">OperatingCurve!AY243</f>
        <v>12.174</v>
      </c>
      <c r="AM218" s="286" t="n">
        <f aca="false">OperatingCurve!AL243</f>
        <v>71</v>
      </c>
      <c r="AN218" s="287" t="n">
        <f aca="false">OperatingCurve!AM243</f>
        <v>0.4</v>
      </c>
      <c r="BE218" s="284" t="n">
        <f aca="false">OperatingCurve!V243</f>
        <v>43282</v>
      </c>
      <c r="BF218" s="289" t="n">
        <f aca="false">OperatingCurve!AZ243</f>
        <v>0</v>
      </c>
    </row>
    <row r="219" customFormat="false" ht="12.75" hidden="false" customHeight="false" outlineLevel="0" collapsed="false">
      <c r="A219" s="282" t="n">
        <f aca="false">OperatingCurve!D215</f>
        <v>42430</v>
      </c>
      <c r="B219" s="283" t="n">
        <f aca="false">OperatingCurve!H215</f>
        <v>24.576</v>
      </c>
      <c r="C219" s="283" t="n">
        <f aca="false">OperatingCurve!G215</f>
        <v>29.841</v>
      </c>
      <c r="D219" s="283" t="n">
        <f aca="false">OperatingCurve!I215</f>
        <v>62.481</v>
      </c>
      <c r="E219" s="278"/>
      <c r="F219" s="283" t="n">
        <f aca="false">OperatingCurve!M215</f>
        <v>0</v>
      </c>
      <c r="G219" s="283" t="n">
        <f aca="false">OperatingCurve!L215</f>
        <v>0</v>
      </c>
      <c r="H219" s="283" t="n">
        <f aca="false">OperatingCurve!N215</f>
        <v>0</v>
      </c>
      <c r="I219" s="273"/>
      <c r="J219" s="284" t="n">
        <f aca="false">OperatingCurve!V244</f>
        <v>43313</v>
      </c>
      <c r="K219" s="285" t="n">
        <f aca="false">OperatingCurve!Z244</f>
        <v>0</v>
      </c>
      <c r="L219" s="285" t="n">
        <f aca="false">OperatingCurve!Y244</f>
        <v>0</v>
      </c>
      <c r="M219" s="285" t="n">
        <f aca="false">OperatingCurve!AA244</f>
        <v>0</v>
      </c>
      <c r="O219" s="285" t="n">
        <f aca="false">OperatingCurve!AE244</f>
        <v>0</v>
      </c>
      <c r="P219" s="285" t="n">
        <f aca="false">OperatingCurve!AD244</f>
        <v>0</v>
      </c>
      <c r="Q219" s="285" t="n">
        <f aca="false">OperatingCurve!AF244</f>
        <v>0</v>
      </c>
      <c r="S219" s="285" t="n">
        <f aca="false">OperatingCurve!AJ244</f>
        <v>0</v>
      </c>
      <c r="T219" s="285" t="n">
        <f aca="false">OperatingCurve!AI244</f>
        <v>0</v>
      </c>
      <c r="U219" s="285" t="n">
        <f aca="false">OperatingCurve!AK244</f>
        <v>0</v>
      </c>
      <c r="W219" s="285" t="n">
        <f aca="false">OperatingCurve!AO244</f>
        <v>0.153</v>
      </c>
      <c r="X219" s="285" t="n">
        <f aca="false">OperatingCurve!AN244</f>
        <v>0.34</v>
      </c>
      <c r="Y219" s="285" t="n">
        <f aca="false">OperatingCurve!AP244</f>
        <v>0.425</v>
      </c>
      <c r="AA219" s="285" t="n">
        <f aca="false">OperatingCurve!AR244</f>
        <v>0.136</v>
      </c>
      <c r="AB219" s="285" t="n">
        <f aca="false">OperatingCurve!AQ244</f>
        <v>0.34</v>
      </c>
      <c r="AC219" s="285" t="n">
        <f aca="false">OperatingCurve!AS244</f>
        <v>0.255</v>
      </c>
      <c r="AE219" s="285" t="n">
        <f aca="false">OperatingCurve!AU244</f>
        <v>-0.552146177512111</v>
      </c>
      <c r="AF219" s="285" t="n">
        <f aca="false">OperatingCurve!AT244</f>
        <v>8.83433884019377</v>
      </c>
      <c r="AG219" s="285" t="n">
        <f aca="false">OperatingCurve!AV244</f>
        <v>11.0429235502422</v>
      </c>
      <c r="AI219" s="285" t="n">
        <f aca="false">OperatingCurve!AX244</f>
        <v>-0.596925</v>
      </c>
      <c r="AJ219" s="285" t="n">
        <f aca="false">OperatingCurve!AW244</f>
        <v>9.5508</v>
      </c>
      <c r="AK219" s="285" t="n">
        <f aca="false">OperatingCurve!AY244</f>
        <v>11.9385</v>
      </c>
      <c r="AM219" s="286" t="n">
        <f aca="false">OperatingCurve!AL244</f>
        <v>71</v>
      </c>
      <c r="AN219" s="287" t="n">
        <f aca="false">OperatingCurve!AM244</f>
        <v>0.4</v>
      </c>
      <c r="BE219" s="284" t="n">
        <f aca="false">OperatingCurve!V244</f>
        <v>43313</v>
      </c>
      <c r="BF219" s="289" t="n">
        <f aca="false">OperatingCurve!AZ244</f>
        <v>0</v>
      </c>
    </row>
    <row r="220" customFormat="false" ht="12.75" hidden="false" customHeight="false" outlineLevel="0" collapsed="false">
      <c r="A220" s="282" t="n">
        <f aca="false">OperatingCurve!D216</f>
        <v>42461</v>
      </c>
      <c r="B220" s="283" t="n">
        <f aca="false">OperatingCurve!H216</f>
        <v>24.576</v>
      </c>
      <c r="C220" s="283" t="n">
        <f aca="false">OperatingCurve!G216</f>
        <v>29.841</v>
      </c>
      <c r="D220" s="283" t="n">
        <f aca="false">OperatingCurve!I216</f>
        <v>62.481</v>
      </c>
      <c r="E220" s="278"/>
      <c r="F220" s="283" t="n">
        <f aca="false">OperatingCurve!M216</f>
        <v>0</v>
      </c>
      <c r="G220" s="283" t="n">
        <f aca="false">OperatingCurve!L216</f>
        <v>0</v>
      </c>
      <c r="H220" s="283" t="n">
        <f aca="false">OperatingCurve!N216</f>
        <v>0</v>
      </c>
      <c r="I220" s="273"/>
      <c r="J220" s="284" t="n">
        <f aca="false">OperatingCurve!V245</f>
        <v>43344</v>
      </c>
      <c r="K220" s="285" t="n">
        <f aca="false">OperatingCurve!Z245</f>
        <v>0</v>
      </c>
      <c r="L220" s="285" t="n">
        <f aca="false">OperatingCurve!Y245</f>
        <v>0</v>
      </c>
      <c r="M220" s="285" t="n">
        <f aca="false">OperatingCurve!AA245</f>
        <v>0</v>
      </c>
      <c r="O220" s="285" t="n">
        <f aca="false">OperatingCurve!AE245</f>
        <v>0</v>
      </c>
      <c r="P220" s="285" t="n">
        <f aca="false">OperatingCurve!AD245</f>
        <v>0</v>
      </c>
      <c r="Q220" s="285" t="n">
        <f aca="false">OperatingCurve!AF245</f>
        <v>0</v>
      </c>
      <c r="S220" s="285" t="n">
        <f aca="false">OperatingCurve!AJ245</f>
        <v>0</v>
      </c>
      <c r="T220" s="285" t="n">
        <f aca="false">OperatingCurve!AI245</f>
        <v>0</v>
      </c>
      <c r="U220" s="285" t="n">
        <f aca="false">OperatingCurve!AK245</f>
        <v>0</v>
      </c>
      <c r="W220" s="285" t="n">
        <f aca="false">OperatingCurve!AO245</f>
        <v>0.153</v>
      </c>
      <c r="X220" s="285" t="n">
        <f aca="false">OperatingCurve!AN245</f>
        <v>0.34</v>
      </c>
      <c r="Y220" s="285" t="n">
        <f aca="false">OperatingCurve!AP245</f>
        <v>0.425</v>
      </c>
      <c r="AA220" s="285" t="n">
        <f aca="false">OperatingCurve!AR245</f>
        <v>0.136</v>
      </c>
      <c r="AB220" s="285" t="n">
        <f aca="false">OperatingCurve!AQ245</f>
        <v>0.34</v>
      </c>
      <c r="AC220" s="285" t="n">
        <f aca="false">OperatingCurve!AS245</f>
        <v>0.255</v>
      </c>
      <c r="AE220" s="285" t="n">
        <f aca="false">OperatingCurve!AU245</f>
        <v>-0.455637578174882</v>
      </c>
      <c r="AF220" s="285" t="n">
        <f aca="false">OperatingCurve!AT245</f>
        <v>7.29020125079811</v>
      </c>
      <c r="AG220" s="285" t="n">
        <f aca="false">OperatingCurve!AV245</f>
        <v>9.11275156349763</v>
      </c>
      <c r="AI220" s="285" t="n">
        <f aca="false">OperatingCurve!AX245</f>
        <v>-0.63225</v>
      </c>
      <c r="AJ220" s="285" t="n">
        <f aca="false">OperatingCurve!AW245</f>
        <v>10.116</v>
      </c>
      <c r="AK220" s="285" t="n">
        <f aca="false">OperatingCurve!AY245</f>
        <v>12.645</v>
      </c>
      <c r="AM220" s="286" t="n">
        <f aca="false">OperatingCurve!AL245</f>
        <v>71</v>
      </c>
      <c r="AN220" s="287" t="n">
        <f aca="false">OperatingCurve!AM245</f>
        <v>0.4</v>
      </c>
      <c r="BE220" s="284" t="n">
        <f aca="false">OperatingCurve!V245</f>
        <v>43344</v>
      </c>
      <c r="BF220" s="289" t="n">
        <f aca="false">OperatingCurve!AZ245</f>
        <v>0</v>
      </c>
    </row>
    <row r="221" customFormat="false" ht="12.75" hidden="false" customHeight="false" outlineLevel="0" collapsed="false">
      <c r="A221" s="282" t="n">
        <f aca="false">OperatingCurve!D217</f>
        <v>42491</v>
      </c>
      <c r="B221" s="283" t="n">
        <f aca="false">OperatingCurve!H217</f>
        <v>27.729</v>
      </c>
      <c r="C221" s="283" t="n">
        <f aca="false">OperatingCurve!G217</f>
        <v>33.024</v>
      </c>
      <c r="D221" s="283" t="n">
        <f aca="false">OperatingCurve!I217</f>
        <v>65.844</v>
      </c>
      <c r="E221" s="278"/>
      <c r="F221" s="283" t="n">
        <f aca="false">OperatingCurve!M217</f>
        <v>0</v>
      </c>
      <c r="G221" s="283" t="n">
        <f aca="false">OperatingCurve!L217</f>
        <v>0</v>
      </c>
      <c r="H221" s="283" t="n">
        <f aca="false">OperatingCurve!N217</f>
        <v>0</v>
      </c>
      <c r="I221" s="273"/>
      <c r="J221" s="284" t="n">
        <f aca="false">OperatingCurve!V246</f>
        <v>43374</v>
      </c>
      <c r="K221" s="285" t="n">
        <f aca="false">OperatingCurve!Z246</f>
        <v>0</v>
      </c>
      <c r="L221" s="285" t="n">
        <f aca="false">OperatingCurve!Y246</f>
        <v>0</v>
      </c>
      <c r="M221" s="285" t="n">
        <f aca="false">OperatingCurve!AA246</f>
        <v>0</v>
      </c>
      <c r="O221" s="285" t="n">
        <f aca="false">OperatingCurve!AE246</f>
        <v>0</v>
      </c>
      <c r="P221" s="285" t="n">
        <f aca="false">OperatingCurve!AD246</f>
        <v>0</v>
      </c>
      <c r="Q221" s="285" t="n">
        <f aca="false">OperatingCurve!AF246</f>
        <v>0</v>
      </c>
      <c r="S221" s="285" t="n">
        <f aca="false">OperatingCurve!AJ246</f>
        <v>0</v>
      </c>
      <c r="T221" s="285" t="n">
        <f aca="false">OperatingCurve!AI246</f>
        <v>0</v>
      </c>
      <c r="U221" s="285" t="n">
        <f aca="false">OperatingCurve!AK246</f>
        <v>0</v>
      </c>
      <c r="W221" s="285" t="n">
        <f aca="false">OperatingCurve!AO246</f>
        <v>0.153</v>
      </c>
      <c r="X221" s="285" t="n">
        <f aca="false">OperatingCurve!AN246</f>
        <v>0.34</v>
      </c>
      <c r="Y221" s="285" t="n">
        <f aca="false">OperatingCurve!AP246</f>
        <v>0.425</v>
      </c>
      <c r="AA221" s="285" t="n">
        <f aca="false">OperatingCurve!AR246</f>
        <v>0.136</v>
      </c>
      <c r="AB221" s="285" t="n">
        <f aca="false">OperatingCurve!AQ246</f>
        <v>0.34</v>
      </c>
      <c r="AC221" s="285" t="n">
        <f aca="false">OperatingCurve!AS246</f>
        <v>0.255</v>
      </c>
      <c r="AE221" s="285" t="n">
        <f aca="false">OperatingCurve!AU246</f>
        <v>-0.484735205974953</v>
      </c>
      <c r="AF221" s="285" t="n">
        <f aca="false">OperatingCurve!AT246</f>
        <v>7.75576329559925</v>
      </c>
      <c r="AG221" s="285" t="n">
        <f aca="false">OperatingCurve!AV246</f>
        <v>9.69470411949907</v>
      </c>
      <c r="AI221" s="285" t="n">
        <f aca="false">OperatingCurve!AX246</f>
        <v>-0.620475</v>
      </c>
      <c r="AJ221" s="285" t="n">
        <f aca="false">OperatingCurve!AW246</f>
        <v>9.9276</v>
      </c>
      <c r="AK221" s="285" t="n">
        <f aca="false">OperatingCurve!AY246</f>
        <v>12.4095</v>
      </c>
      <c r="AM221" s="286" t="n">
        <f aca="false">OperatingCurve!AL246</f>
        <v>72</v>
      </c>
      <c r="AN221" s="287" t="n">
        <f aca="false">OperatingCurve!AM246</f>
        <v>0.4</v>
      </c>
      <c r="BE221" s="284" t="n">
        <f aca="false">OperatingCurve!V246</f>
        <v>43374</v>
      </c>
      <c r="BF221" s="289" t="n">
        <f aca="false">OperatingCurve!AZ246</f>
        <v>0</v>
      </c>
    </row>
    <row r="222" customFormat="false" ht="12.75" hidden="false" customHeight="false" outlineLevel="0" collapsed="false">
      <c r="A222" s="282" t="n">
        <f aca="false">OperatingCurve!D218</f>
        <v>42522</v>
      </c>
      <c r="B222" s="283" t="n">
        <f aca="false">OperatingCurve!H218</f>
        <v>35.156</v>
      </c>
      <c r="C222" s="283" t="n">
        <f aca="false">OperatingCurve!G218</f>
        <v>40.521</v>
      </c>
      <c r="D222" s="283" t="n">
        <f aca="false">OperatingCurve!I218</f>
        <v>73.761</v>
      </c>
      <c r="E222" s="278"/>
      <c r="F222" s="283" t="n">
        <f aca="false">OperatingCurve!M218</f>
        <v>0</v>
      </c>
      <c r="G222" s="283" t="n">
        <f aca="false">OperatingCurve!L218</f>
        <v>0</v>
      </c>
      <c r="H222" s="283" t="n">
        <f aca="false">OperatingCurve!N218</f>
        <v>0</v>
      </c>
      <c r="I222" s="273"/>
      <c r="J222" s="284" t="n">
        <f aca="false">OperatingCurve!V247</f>
        <v>43405</v>
      </c>
      <c r="K222" s="285" t="n">
        <f aca="false">OperatingCurve!Z247</f>
        <v>0</v>
      </c>
      <c r="L222" s="285" t="n">
        <f aca="false">OperatingCurve!Y247</f>
        <v>0</v>
      </c>
      <c r="M222" s="285" t="n">
        <f aca="false">OperatingCurve!AA247</f>
        <v>0</v>
      </c>
      <c r="O222" s="285" t="n">
        <f aca="false">OperatingCurve!AE247</f>
        <v>0</v>
      </c>
      <c r="P222" s="285" t="n">
        <f aca="false">OperatingCurve!AD247</f>
        <v>0</v>
      </c>
      <c r="Q222" s="285" t="n">
        <f aca="false">OperatingCurve!AF247</f>
        <v>0</v>
      </c>
      <c r="S222" s="285" t="n">
        <f aca="false">OperatingCurve!AJ247</f>
        <v>0</v>
      </c>
      <c r="T222" s="285" t="n">
        <f aca="false">OperatingCurve!AI247</f>
        <v>0</v>
      </c>
      <c r="U222" s="285" t="n">
        <f aca="false">OperatingCurve!AK247</f>
        <v>0</v>
      </c>
      <c r="W222" s="285" t="n">
        <f aca="false">OperatingCurve!AO247</f>
        <v>0.153</v>
      </c>
      <c r="X222" s="285" t="n">
        <f aca="false">OperatingCurve!AN247</f>
        <v>0.34</v>
      </c>
      <c r="Y222" s="285" t="n">
        <f aca="false">OperatingCurve!AP247</f>
        <v>0.425</v>
      </c>
      <c r="AA222" s="285" t="n">
        <f aca="false">OperatingCurve!AR247</f>
        <v>0.136</v>
      </c>
      <c r="AB222" s="285" t="n">
        <f aca="false">OperatingCurve!AQ247</f>
        <v>0.34</v>
      </c>
      <c r="AC222" s="285" t="n">
        <f aca="false">OperatingCurve!AS247</f>
        <v>0.255</v>
      </c>
      <c r="AE222" s="285" t="n">
        <f aca="false">OperatingCurve!AU247</f>
        <v>-0.410147476715089</v>
      </c>
      <c r="AF222" s="285" t="n">
        <f aca="false">OperatingCurve!AT247</f>
        <v>6.56235962744143</v>
      </c>
      <c r="AG222" s="285" t="n">
        <f aca="false">OperatingCurve!AV247</f>
        <v>8.20294953430178</v>
      </c>
      <c r="AI222" s="285" t="n">
        <f aca="false">OperatingCurve!AX247</f>
        <v>-0.6558</v>
      </c>
      <c r="AJ222" s="285" t="n">
        <f aca="false">OperatingCurve!AW247</f>
        <v>10.4928</v>
      </c>
      <c r="AK222" s="285" t="n">
        <f aca="false">OperatingCurve!AY247</f>
        <v>13.116</v>
      </c>
      <c r="AM222" s="286" t="n">
        <f aca="false">OperatingCurve!AL247</f>
        <v>72</v>
      </c>
      <c r="AN222" s="287" t="n">
        <f aca="false">OperatingCurve!AM247</f>
        <v>0.4</v>
      </c>
      <c r="BE222" s="284" t="n">
        <f aca="false">OperatingCurve!V247</f>
        <v>43405</v>
      </c>
      <c r="BF222" s="289" t="n">
        <f aca="false">OperatingCurve!AZ247</f>
        <v>0</v>
      </c>
    </row>
    <row r="223" customFormat="false" ht="12.75" hidden="false" customHeight="false" outlineLevel="0" collapsed="false">
      <c r="A223" s="282" t="n">
        <f aca="false">OperatingCurve!D219</f>
        <v>42552</v>
      </c>
      <c r="B223" s="283" t="n">
        <f aca="false">OperatingCurve!H219</f>
        <v>35.156</v>
      </c>
      <c r="C223" s="283" t="n">
        <f aca="false">OperatingCurve!G219</f>
        <v>40.521</v>
      </c>
      <c r="D223" s="283" t="n">
        <f aca="false">OperatingCurve!I219</f>
        <v>73.761</v>
      </c>
      <c r="E223" s="278"/>
      <c r="F223" s="283" t="n">
        <f aca="false">OperatingCurve!M219</f>
        <v>0</v>
      </c>
      <c r="G223" s="283" t="n">
        <f aca="false">OperatingCurve!L219</f>
        <v>0</v>
      </c>
      <c r="H223" s="283" t="n">
        <f aca="false">OperatingCurve!N219</f>
        <v>0</v>
      </c>
      <c r="I223" s="273"/>
      <c r="J223" s="284" t="n">
        <f aca="false">OperatingCurve!V248</f>
        <v>43435</v>
      </c>
      <c r="K223" s="285" t="n">
        <f aca="false">OperatingCurve!Z248</f>
        <v>0</v>
      </c>
      <c r="L223" s="285" t="n">
        <f aca="false">OperatingCurve!Y248</f>
        <v>0</v>
      </c>
      <c r="M223" s="285" t="n">
        <f aca="false">OperatingCurve!AA248</f>
        <v>0</v>
      </c>
      <c r="O223" s="285" t="n">
        <f aca="false">OperatingCurve!AE248</f>
        <v>0</v>
      </c>
      <c r="P223" s="285" t="n">
        <f aca="false">OperatingCurve!AD248</f>
        <v>0</v>
      </c>
      <c r="Q223" s="285" t="n">
        <f aca="false">OperatingCurve!AF248</f>
        <v>0</v>
      </c>
      <c r="S223" s="285" t="n">
        <f aca="false">OperatingCurve!AJ248</f>
        <v>0</v>
      </c>
      <c r="T223" s="285" t="n">
        <f aca="false">OperatingCurve!AI248</f>
        <v>0</v>
      </c>
      <c r="U223" s="285" t="n">
        <f aca="false">OperatingCurve!AK248</f>
        <v>0</v>
      </c>
      <c r="W223" s="285" t="n">
        <f aca="false">OperatingCurve!AO248</f>
        <v>0.153</v>
      </c>
      <c r="X223" s="285" t="n">
        <f aca="false">OperatingCurve!AN248</f>
        <v>0.34</v>
      </c>
      <c r="Y223" s="285" t="n">
        <f aca="false">OperatingCurve!AP248</f>
        <v>0.425</v>
      </c>
      <c r="AA223" s="285" t="n">
        <f aca="false">OperatingCurve!AR248</f>
        <v>0.136</v>
      </c>
      <c r="AB223" s="285" t="n">
        <f aca="false">OperatingCurve!AQ248</f>
        <v>0.34</v>
      </c>
      <c r="AC223" s="285" t="n">
        <f aca="false">OperatingCurve!AS248</f>
        <v>0.255</v>
      </c>
      <c r="AE223" s="285" t="n">
        <f aca="false">OperatingCurve!AU248</f>
        <v>-0.419655399211954</v>
      </c>
      <c r="AF223" s="285" t="n">
        <f aca="false">OperatingCurve!AT248</f>
        <v>6.71448638739126</v>
      </c>
      <c r="AG223" s="285" t="n">
        <f aca="false">OperatingCurve!AV248</f>
        <v>8.39310798423907</v>
      </c>
      <c r="AI223" s="285" t="n">
        <f aca="false">OperatingCurve!AX248</f>
        <v>-0.667575</v>
      </c>
      <c r="AJ223" s="285" t="n">
        <f aca="false">OperatingCurve!AW248</f>
        <v>10.6812</v>
      </c>
      <c r="AK223" s="285" t="n">
        <f aca="false">OperatingCurve!AY248</f>
        <v>13.3515</v>
      </c>
      <c r="AM223" s="286" t="n">
        <f aca="false">OperatingCurve!AL248</f>
        <v>72</v>
      </c>
      <c r="AN223" s="287" t="n">
        <f aca="false">OperatingCurve!AM248</f>
        <v>0.4</v>
      </c>
      <c r="BE223" s="284" t="n">
        <f aca="false">OperatingCurve!V248</f>
        <v>43435</v>
      </c>
      <c r="BF223" s="289" t="n">
        <f aca="false">OperatingCurve!AZ248</f>
        <v>0</v>
      </c>
    </row>
    <row r="224" customFormat="false" ht="12.75" hidden="false" customHeight="false" outlineLevel="0" collapsed="false">
      <c r="A224" s="282" t="n">
        <f aca="false">OperatingCurve!D220</f>
        <v>42583</v>
      </c>
      <c r="B224" s="283" t="n">
        <f aca="false">OperatingCurve!H220</f>
        <v>37.296</v>
      </c>
      <c r="C224" s="283" t="n">
        <f aca="false">OperatingCurve!G220</f>
        <v>42.681</v>
      </c>
      <c r="D224" s="283" t="n">
        <f aca="false">OperatingCurve!I220</f>
        <v>76.041</v>
      </c>
      <c r="E224" s="278"/>
      <c r="F224" s="283" t="n">
        <f aca="false">OperatingCurve!M220</f>
        <v>0</v>
      </c>
      <c r="G224" s="283" t="n">
        <f aca="false">OperatingCurve!L220</f>
        <v>0</v>
      </c>
      <c r="H224" s="283" t="n">
        <f aca="false">OperatingCurve!N220</f>
        <v>0</v>
      </c>
      <c r="I224" s="273"/>
      <c r="J224" s="284" t="n">
        <f aca="false">OperatingCurve!V249</f>
        <v>43466</v>
      </c>
      <c r="K224" s="285" t="n">
        <f aca="false">OperatingCurve!Z249</f>
        <v>0</v>
      </c>
      <c r="L224" s="285" t="n">
        <f aca="false">OperatingCurve!Y249</f>
        <v>0</v>
      </c>
      <c r="M224" s="285" t="n">
        <f aca="false">OperatingCurve!AA249</f>
        <v>0</v>
      </c>
      <c r="O224" s="285" t="n">
        <f aca="false">OperatingCurve!AE249</f>
        <v>0</v>
      </c>
      <c r="P224" s="285" t="n">
        <f aca="false">OperatingCurve!AD249</f>
        <v>0</v>
      </c>
      <c r="Q224" s="285" t="n">
        <f aca="false">OperatingCurve!AF249</f>
        <v>0</v>
      </c>
      <c r="S224" s="285" t="n">
        <f aca="false">OperatingCurve!AJ249</f>
        <v>0</v>
      </c>
      <c r="T224" s="285" t="n">
        <f aca="false">OperatingCurve!AI249</f>
        <v>0</v>
      </c>
      <c r="U224" s="285" t="n">
        <f aca="false">OperatingCurve!AK249</f>
        <v>0</v>
      </c>
      <c r="W224" s="285" t="n">
        <f aca="false">OperatingCurve!AO249</f>
        <v>0.153</v>
      </c>
      <c r="X224" s="285" t="n">
        <f aca="false">OperatingCurve!AN249</f>
        <v>0.34</v>
      </c>
      <c r="Y224" s="285" t="n">
        <f aca="false">OperatingCurve!AP249</f>
        <v>0.425</v>
      </c>
      <c r="AA224" s="285" t="n">
        <f aca="false">OperatingCurve!AR249</f>
        <v>0.136</v>
      </c>
      <c r="AB224" s="285" t="n">
        <f aca="false">OperatingCurve!AQ249</f>
        <v>0.34</v>
      </c>
      <c r="AC224" s="285" t="n">
        <f aca="false">OperatingCurve!AS249</f>
        <v>0.255</v>
      </c>
      <c r="AE224" s="285" t="n">
        <f aca="false">OperatingCurve!AU249</f>
        <v>-0.43048858158097</v>
      </c>
      <c r="AF224" s="285" t="n">
        <f aca="false">OperatingCurve!AT249</f>
        <v>6.88781730529552</v>
      </c>
      <c r="AG224" s="285" t="n">
        <f aca="false">OperatingCurve!AV249</f>
        <v>8.60977163161941</v>
      </c>
      <c r="AI224" s="285" t="n">
        <f aca="false">OperatingCurve!AX249</f>
        <v>-0.6558</v>
      </c>
      <c r="AJ224" s="285" t="n">
        <f aca="false">OperatingCurve!AW249</f>
        <v>10.4928</v>
      </c>
      <c r="AK224" s="285" t="n">
        <f aca="false">OperatingCurve!AY249</f>
        <v>13.116</v>
      </c>
      <c r="AM224" s="286" t="n">
        <f aca="false">OperatingCurve!AL249</f>
        <v>73</v>
      </c>
      <c r="AN224" s="287" t="n">
        <f aca="false">OperatingCurve!AM249</f>
        <v>0.4</v>
      </c>
      <c r="BE224" s="284" t="n">
        <f aca="false">OperatingCurve!V249</f>
        <v>43466</v>
      </c>
      <c r="BF224" s="289" t="n">
        <f aca="false">OperatingCurve!AZ249</f>
        <v>0</v>
      </c>
    </row>
    <row r="225" customFormat="false" ht="12.75" hidden="false" customHeight="false" outlineLevel="0" collapsed="false">
      <c r="A225" s="282" t="n">
        <f aca="false">OperatingCurve!D221</f>
        <v>42614</v>
      </c>
      <c r="B225" s="283" t="n">
        <f aca="false">OperatingCurve!H221</f>
        <v>30.9</v>
      </c>
      <c r="C225" s="283" t="n">
        <f aca="false">OperatingCurve!G221</f>
        <v>36.225</v>
      </c>
      <c r="D225" s="283" t="n">
        <f aca="false">OperatingCurve!I221</f>
        <v>69.225</v>
      </c>
      <c r="E225" s="278"/>
      <c r="F225" s="283" t="n">
        <f aca="false">OperatingCurve!M221</f>
        <v>0</v>
      </c>
      <c r="G225" s="283" t="n">
        <f aca="false">OperatingCurve!L221</f>
        <v>0</v>
      </c>
      <c r="H225" s="283" t="n">
        <f aca="false">OperatingCurve!N221</f>
        <v>0</v>
      </c>
      <c r="I225" s="273"/>
      <c r="J225" s="284" t="n">
        <f aca="false">OperatingCurve!V250</f>
        <v>43497</v>
      </c>
      <c r="K225" s="285" t="n">
        <f aca="false">OperatingCurve!Z250</f>
        <v>0</v>
      </c>
      <c r="L225" s="285" t="n">
        <f aca="false">OperatingCurve!Y250</f>
        <v>0</v>
      </c>
      <c r="M225" s="285" t="n">
        <f aca="false">OperatingCurve!AA250</f>
        <v>0</v>
      </c>
      <c r="O225" s="285" t="n">
        <f aca="false">OperatingCurve!AE250</f>
        <v>0</v>
      </c>
      <c r="P225" s="285" t="n">
        <f aca="false">OperatingCurve!AD250</f>
        <v>0</v>
      </c>
      <c r="Q225" s="285" t="n">
        <f aca="false">OperatingCurve!AF250</f>
        <v>0</v>
      </c>
      <c r="S225" s="285" t="n">
        <f aca="false">OperatingCurve!AJ250</f>
        <v>0</v>
      </c>
      <c r="T225" s="285" t="n">
        <f aca="false">OperatingCurve!AI250</f>
        <v>0</v>
      </c>
      <c r="U225" s="285" t="n">
        <f aca="false">OperatingCurve!AK250</f>
        <v>0</v>
      </c>
      <c r="W225" s="285" t="n">
        <f aca="false">OperatingCurve!AO250</f>
        <v>0.153</v>
      </c>
      <c r="X225" s="285" t="n">
        <f aca="false">OperatingCurve!AN250</f>
        <v>0.34</v>
      </c>
      <c r="Y225" s="285" t="n">
        <f aca="false">OperatingCurve!AP250</f>
        <v>0.425</v>
      </c>
      <c r="AA225" s="285" t="n">
        <f aca="false">OperatingCurve!AR250</f>
        <v>0.136</v>
      </c>
      <c r="AB225" s="285" t="n">
        <f aca="false">OperatingCurve!AQ250</f>
        <v>0.34</v>
      </c>
      <c r="AC225" s="285" t="n">
        <f aca="false">OperatingCurve!AS250</f>
        <v>0.255</v>
      </c>
      <c r="AE225" s="285" t="n">
        <f aca="false">OperatingCurve!AU250</f>
        <v>-0.402107379613998</v>
      </c>
      <c r="AF225" s="285" t="n">
        <f aca="false">OperatingCurve!AT250</f>
        <v>6.43371807382396</v>
      </c>
      <c r="AG225" s="285" t="n">
        <f aca="false">OperatingCurve!AV250</f>
        <v>8.04214759227995</v>
      </c>
      <c r="AI225" s="285" t="n">
        <f aca="false">OperatingCurve!AX250</f>
        <v>-0.6616875</v>
      </c>
      <c r="AJ225" s="285" t="n">
        <f aca="false">OperatingCurve!AW250</f>
        <v>10.587</v>
      </c>
      <c r="AK225" s="285" t="n">
        <f aca="false">OperatingCurve!AY250</f>
        <v>13.23375</v>
      </c>
      <c r="AM225" s="286" t="n">
        <f aca="false">OperatingCurve!AL250</f>
        <v>73</v>
      </c>
      <c r="AN225" s="287" t="n">
        <f aca="false">OperatingCurve!AM250</f>
        <v>0.4</v>
      </c>
      <c r="BE225" s="284" t="n">
        <f aca="false">OperatingCurve!V250</f>
        <v>43497</v>
      </c>
      <c r="BF225" s="289" t="n">
        <f aca="false">OperatingCurve!AZ250</f>
        <v>0</v>
      </c>
    </row>
    <row r="226" customFormat="false" ht="12.75" hidden="false" customHeight="false" outlineLevel="0" collapsed="false">
      <c r="A226" s="282" t="n">
        <f aca="false">OperatingCurve!D222</f>
        <v>42644</v>
      </c>
      <c r="B226" s="283" t="n">
        <f aca="false">OperatingCurve!H222</f>
        <v>33.024</v>
      </c>
      <c r="C226" s="283" t="n">
        <f aca="false">OperatingCurve!G222</f>
        <v>38.369</v>
      </c>
      <c r="D226" s="283" t="n">
        <f aca="false">OperatingCurve!I222</f>
        <v>71.489</v>
      </c>
      <c r="E226" s="278"/>
      <c r="F226" s="283" t="n">
        <f aca="false">OperatingCurve!M222</f>
        <v>0</v>
      </c>
      <c r="G226" s="283" t="n">
        <f aca="false">OperatingCurve!L222</f>
        <v>0</v>
      </c>
      <c r="H226" s="283" t="n">
        <f aca="false">OperatingCurve!N222</f>
        <v>0</v>
      </c>
      <c r="I226" s="273"/>
      <c r="J226" s="284" t="n">
        <f aca="false">OperatingCurve!V251</f>
        <v>43525</v>
      </c>
      <c r="K226" s="285" t="n">
        <f aca="false">OperatingCurve!Z251</f>
        <v>0</v>
      </c>
      <c r="L226" s="285" t="n">
        <f aca="false">OperatingCurve!Y251</f>
        <v>0</v>
      </c>
      <c r="M226" s="285" t="n">
        <f aca="false">OperatingCurve!AA251</f>
        <v>0</v>
      </c>
      <c r="O226" s="285" t="n">
        <f aca="false">OperatingCurve!AE251</f>
        <v>0</v>
      </c>
      <c r="P226" s="285" t="n">
        <f aca="false">OperatingCurve!AD251</f>
        <v>0</v>
      </c>
      <c r="Q226" s="285" t="n">
        <f aca="false">OperatingCurve!AF251</f>
        <v>0</v>
      </c>
      <c r="S226" s="285" t="n">
        <f aca="false">OperatingCurve!AJ251</f>
        <v>0</v>
      </c>
      <c r="T226" s="285" t="n">
        <f aca="false">OperatingCurve!AI251</f>
        <v>0</v>
      </c>
      <c r="U226" s="285" t="n">
        <f aca="false">OperatingCurve!AK251</f>
        <v>0</v>
      </c>
      <c r="W226" s="285" t="n">
        <f aca="false">OperatingCurve!AO251</f>
        <v>0.153</v>
      </c>
      <c r="X226" s="285" t="n">
        <f aca="false">OperatingCurve!AN251</f>
        <v>0.34</v>
      </c>
      <c r="Y226" s="285" t="n">
        <f aca="false">OperatingCurve!AP251</f>
        <v>0.425</v>
      </c>
      <c r="AA226" s="285" t="n">
        <f aca="false">OperatingCurve!AR251</f>
        <v>0.136</v>
      </c>
      <c r="AB226" s="285" t="n">
        <f aca="false">OperatingCurve!AQ251</f>
        <v>0.34</v>
      </c>
      <c r="AC226" s="285" t="n">
        <f aca="false">OperatingCurve!AS251</f>
        <v>0.255</v>
      </c>
      <c r="AE226" s="285" t="n">
        <f aca="false">OperatingCurve!AU251</f>
        <v>-0.395696014851329</v>
      </c>
      <c r="AF226" s="285" t="n">
        <f aca="false">OperatingCurve!AT251</f>
        <v>6.33113623762127</v>
      </c>
      <c r="AG226" s="285" t="n">
        <f aca="false">OperatingCurve!AV251</f>
        <v>7.91392029702658</v>
      </c>
      <c r="AI226" s="285" t="n">
        <f aca="false">OperatingCurve!AX251</f>
        <v>-0.667575</v>
      </c>
      <c r="AJ226" s="285" t="n">
        <f aca="false">OperatingCurve!AW251</f>
        <v>10.6812</v>
      </c>
      <c r="AK226" s="285" t="n">
        <f aca="false">OperatingCurve!AY251</f>
        <v>13.3515</v>
      </c>
      <c r="AM226" s="286" t="n">
        <f aca="false">OperatingCurve!AL251</f>
        <v>73</v>
      </c>
      <c r="AN226" s="287" t="n">
        <f aca="false">OperatingCurve!AM251</f>
        <v>0.4</v>
      </c>
      <c r="BE226" s="284" t="n">
        <f aca="false">OperatingCurve!V251</f>
        <v>43525</v>
      </c>
      <c r="BF226" s="289" t="n">
        <f aca="false">OperatingCurve!AZ251</f>
        <v>0</v>
      </c>
    </row>
    <row r="227" customFormat="false" ht="12.75" hidden="false" customHeight="false" outlineLevel="0" collapsed="false">
      <c r="A227" s="282" t="n">
        <f aca="false">OperatingCurve!D223</f>
        <v>42675</v>
      </c>
      <c r="B227" s="283" t="n">
        <f aca="false">OperatingCurve!H223</f>
        <v>26.676</v>
      </c>
      <c r="C227" s="283" t="n">
        <f aca="false">OperatingCurve!G223</f>
        <v>31.961</v>
      </c>
      <c r="D227" s="283" t="n">
        <f aca="false">OperatingCurve!I223</f>
        <v>64.721</v>
      </c>
      <c r="E227" s="278"/>
      <c r="F227" s="283" t="n">
        <f aca="false">OperatingCurve!M223</f>
        <v>0</v>
      </c>
      <c r="G227" s="283" t="n">
        <f aca="false">OperatingCurve!L223</f>
        <v>0</v>
      </c>
      <c r="H227" s="283" t="n">
        <f aca="false">OperatingCurve!N223</f>
        <v>0</v>
      </c>
      <c r="I227" s="273"/>
      <c r="J227" s="284" t="n">
        <f aca="false">OperatingCurve!V252</f>
        <v>43556</v>
      </c>
      <c r="K227" s="285" t="n">
        <f aca="false">OperatingCurve!Z252</f>
        <v>0</v>
      </c>
      <c r="L227" s="285" t="n">
        <f aca="false">OperatingCurve!Y252</f>
        <v>0</v>
      </c>
      <c r="M227" s="285" t="n">
        <f aca="false">OperatingCurve!AA252</f>
        <v>0</v>
      </c>
      <c r="O227" s="285" t="n">
        <f aca="false">OperatingCurve!AE252</f>
        <v>0</v>
      </c>
      <c r="P227" s="285" t="n">
        <f aca="false">OperatingCurve!AD252</f>
        <v>0</v>
      </c>
      <c r="Q227" s="285" t="n">
        <f aca="false">OperatingCurve!AF252</f>
        <v>0</v>
      </c>
      <c r="S227" s="285" t="n">
        <f aca="false">OperatingCurve!AJ252</f>
        <v>0</v>
      </c>
      <c r="T227" s="285" t="n">
        <f aca="false">OperatingCurve!AI252</f>
        <v>0</v>
      </c>
      <c r="U227" s="285" t="n">
        <f aca="false">OperatingCurve!AK252</f>
        <v>0</v>
      </c>
      <c r="W227" s="285" t="n">
        <f aca="false">OperatingCurve!AO252</f>
        <v>0.153</v>
      </c>
      <c r="X227" s="285" t="n">
        <f aca="false">OperatingCurve!AN252</f>
        <v>0.34</v>
      </c>
      <c r="Y227" s="285" t="n">
        <f aca="false">OperatingCurve!AP252</f>
        <v>0.425</v>
      </c>
      <c r="AA227" s="285" t="n">
        <f aca="false">OperatingCurve!AR252</f>
        <v>0.136</v>
      </c>
      <c r="AB227" s="285" t="n">
        <f aca="false">OperatingCurve!AQ252</f>
        <v>0.34</v>
      </c>
      <c r="AC227" s="285" t="n">
        <f aca="false">OperatingCurve!AS252</f>
        <v>0.255</v>
      </c>
      <c r="AE227" s="285" t="n">
        <f aca="false">OperatingCurve!AU252</f>
        <v>-0.395696014851329</v>
      </c>
      <c r="AF227" s="285" t="n">
        <f aca="false">OperatingCurve!AT252</f>
        <v>6.33113623762127</v>
      </c>
      <c r="AG227" s="285" t="n">
        <f aca="false">OperatingCurve!AV252</f>
        <v>7.91392029702658</v>
      </c>
      <c r="AI227" s="285" t="n">
        <f aca="false">OperatingCurve!AX252</f>
        <v>-0.667575</v>
      </c>
      <c r="AJ227" s="285" t="n">
        <f aca="false">OperatingCurve!AW252</f>
        <v>10.6812</v>
      </c>
      <c r="AK227" s="285" t="n">
        <f aca="false">OperatingCurve!AY252</f>
        <v>13.3515</v>
      </c>
      <c r="AM227" s="286" t="n">
        <f aca="false">OperatingCurve!AL252</f>
        <v>74</v>
      </c>
      <c r="AN227" s="287" t="n">
        <f aca="false">OperatingCurve!AM252</f>
        <v>0.4</v>
      </c>
      <c r="BE227" s="284" t="n">
        <f aca="false">OperatingCurve!V252</f>
        <v>43556</v>
      </c>
      <c r="BF227" s="289" t="n">
        <f aca="false">OperatingCurve!AZ252</f>
        <v>0</v>
      </c>
    </row>
    <row r="228" customFormat="false" ht="12.75" hidden="false" customHeight="false" outlineLevel="0" collapsed="false">
      <c r="A228" s="282" t="n">
        <f aca="false">OperatingCurve!D224</f>
        <v>42705</v>
      </c>
      <c r="B228" s="283" t="n">
        <f aca="false">OperatingCurve!H224</f>
        <v>27.729</v>
      </c>
      <c r="C228" s="283" t="n">
        <f aca="false">OperatingCurve!G224</f>
        <v>33.024</v>
      </c>
      <c r="D228" s="283" t="n">
        <f aca="false">OperatingCurve!I224</f>
        <v>65.844</v>
      </c>
      <c r="E228" s="278"/>
      <c r="F228" s="283" t="n">
        <f aca="false">OperatingCurve!M224</f>
        <v>0</v>
      </c>
      <c r="G228" s="283" t="n">
        <f aca="false">OperatingCurve!L224</f>
        <v>0</v>
      </c>
      <c r="H228" s="283" t="n">
        <f aca="false">OperatingCurve!N224</f>
        <v>0</v>
      </c>
      <c r="I228" s="273"/>
      <c r="J228" s="284" t="n">
        <f aca="false">OperatingCurve!V253</f>
        <v>43586</v>
      </c>
      <c r="K228" s="285" t="n">
        <f aca="false">OperatingCurve!Z253</f>
        <v>0</v>
      </c>
      <c r="L228" s="285" t="n">
        <f aca="false">OperatingCurve!Y253</f>
        <v>0</v>
      </c>
      <c r="M228" s="285" t="n">
        <f aca="false">OperatingCurve!AA253</f>
        <v>0</v>
      </c>
      <c r="O228" s="285" t="n">
        <f aca="false">OperatingCurve!AE253</f>
        <v>0</v>
      </c>
      <c r="P228" s="285" t="n">
        <f aca="false">OperatingCurve!AD253</f>
        <v>0</v>
      </c>
      <c r="Q228" s="285" t="n">
        <f aca="false">OperatingCurve!AF253</f>
        <v>0</v>
      </c>
      <c r="S228" s="285" t="n">
        <f aca="false">OperatingCurve!AJ253</f>
        <v>0</v>
      </c>
      <c r="T228" s="285" t="n">
        <f aca="false">OperatingCurve!AI253</f>
        <v>0</v>
      </c>
      <c r="U228" s="285" t="n">
        <f aca="false">OperatingCurve!AK253</f>
        <v>0</v>
      </c>
      <c r="W228" s="285" t="n">
        <f aca="false">OperatingCurve!AO253</f>
        <v>0.153</v>
      </c>
      <c r="X228" s="285" t="n">
        <f aca="false">OperatingCurve!AN253</f>
        <v>0.34</v>
      </c>
      <c r="Y228" s="285" t="n">
        <f aca="false">OperatingCurve!AP253</f>
        <v>0.425</v>
      </c>
      <c r="AA228" s="285" t="n">
        <f aca="false">OperatingCurve!AR253</f>
        <v>0.136</v>
      </c>
      <c r="AB228" s="285" t="n">
        <f aca="false">OperatingCurve!AQ253</f>
        <v>0.34</v>
      </c>
      <c r="AC228" s="285" t="n">
        <f aca="false">OperatingCurve!AS253</f>
        <v>0.255</v>
      </c>
      <c r="AE228" s="285" t="n">
        <f aca="false">OperatingCurve!AU253</f>
        <v>-0.419655399211954</v>
      </c>
      <c r="AF228" s="285" t="n">
        <f aca="false">OperatingCurve!AT253</f>
        <v>6.71448638739126</v>
      </c>
      <c r="AG228" s="285" t="n">
        <f aca="false">OperatingCurve!AV253</f>
        <v>8.39310798423907</v>
      </c>
      <c r="AI228" s="285" t="n">
        <f aca="false">OperatingCurve!AX253</f>
        <v>-0.6499125</v>
      </c>
      <c r="AJ228" s="285" t="n">
        <f aca="false">OperatingCurve!AW253</f>
        <v>10.3986</v>
      </c>
      <c r="AK228" s="285" t="n">
        <f aca="false">OperatingCurve!AY253</f>
        <v>12.99825</v>
      </c>
      <c r="AM228" s="286" t="n">
        <f aca="false">OperatingCurve!AL253</f>
        <v>74</v>
      </c>
      <c r="AN228" s="287" t="n">
        <f aca="false">OperatingCurve!AM253</f>
        <v>0.4</v>
      </c>
      <c r="BE228" s="284" t="n">
        <f aca="false">OperatingCurve!V253</f>
        <v>43586</v>
      </c>
      <c r="BF228" s="289" t="n">
        <f aca="false">OperatingCurve!AZ253</f>
        <v>0</v>
      </c>
    </row>
    <row r="229" customFormat="false" ht="12.75" hidden="false" customHeight="false" outlineLevel="0" collapsed="false">
      <c r="A229" s="282" t="n">
        <f aca="false">OperatingCurve!D225</f>
        <v>42736</v>
      </c>
      <c r="B229" s="283" t="n">
        <f aca="false">OperatingCurve!H225</f>
        <v>28.784</v>
      </c>
      <c r="C229" s="283" t="n">
        <f aca="false">OperatingCurve!G225</f>
        <v>34.089</v>
      </c>
      <c r="D229" s="283" t="n">
        <f aca="false">OperatingCurve!I225</f>
        <v>68.096</v>
      </c>
      <c r="E229" s="278"/>
      <c r="F229" s="283" t="n">
        <f aca="false">OperatingCurve!M225</f>
        <v>0</v>
      </c>
      <c r="G229" s="283" t="n">
        <f aca="false">OperatingCurve!L225</f>
        <v>0</v>
      </c>
      <c r="H229" s="283" t="n">
        <f aca="false">OperatingCurve!N225</f>
        <v>0</v>
      </c>
      <c r="I229" s="273"/>
      <c r="J229" s="284" t="n">
        <f aca="false">OperatingCurve!V254</f>
        <v>43617</v>
      </c>
      <c r="K229" s="285" t="n">
        <f aca="false">OperatingCurve!Z254</f>
        <v>0</v>
      </c>
      <c r="L229" s="285" t="n">
        <f aca="false">OperatingCurve!Y254</f>
        <v>0</v>
      </c>
      <c r="M229" s="285" t="n">
        <f aca="false">OperatingCurve!AA254</f>
        <v>0</v>
      </c>
      <c r="O229" s="285" t="n">
        <f aca="false">OperatingCurve!AE254</f>
        <v>0</v>
      </c>
      <c r="P229" s="285" t="n">
        <f aca="false">OperatingCurve!AD254</f>
        <v>0</v>
      </c>
      <c r="Q229" s="285" t="n">
        <f aca="false">OperatingCurve!AF254</f>
        <v>0</v>
      </c>
      <c r="S229" s="285" t="n">
        <f aca="false">OperatingCurve!AJ254</f>
        <v>0</v>
      </c>
      <c r="T229" s="285" t="n">
        <f aca="false">OperatingCurve!AI254</f>
        <v>0</v>
      </c>
      <c r="U229" s="285" t="n">
        <f aca="false">OperatingCurve!AK254</f>
        <v>0</v>
      </c>
      <c r="W229" s="285" t="n">
        <f aca="false">OperatingCurve!AO254</f>
        <v>0.153</v>
      </c>
      <c r="X229" s="285" t="n">
        <f aca="false">OperatingCurve!AN254</f>
        <v>0.34</v>
      </c>
      <c r="Y229" s="285" t="n">
        <f aca="false">OperatingCurve!AP254</f>
        <v>0.425</v>
      </c>
      <c r="AA229" s="285" t="n">
        <f aca="false">OperatingCurve!AR254</f>
        <v>0.136</v>
      </c>
      <c r="AB229" s="285" t="n">
        <f aca="false">OperatingCurve!AQ254</f>
        <v>0.34</v>
      </c>
      <c r="AC229" s="285" t="n">
        <f aca="false">OperatingCurve!AS254</f>
        <v>0.255</v>
      </c>
      <c r="AE229" s="285" t="n">
        <f aca="false">OperatingCurve!AU254</f>
        <v>-0.517091326059428</v>
      </c>
      <c r="AF229" s="285" t="n">
        <f aca="false">OperatingCurve!AT254</f>
        <v>8.27346121695085</v>
      </c>
      <c r="AG229" s="285" t="n">
        <f aca="false">OperatingCurve!AV254</f>
        <v>10.3418265211886</v>
      </c>
      <c r="AI229" s="285" t="n">
        <f aca="false">OperatingCurve!AX254</f>
        <v>-0.6087</v>
      </c>
      <c r="AJ229" s="285" t="n">
        <f aca="false">OperatingCurve!AW254</f>
        <v>9.7392</v>
      </c>
      <c r="AK229" s="285" t="n">
        <f aca="false">OperatingCurve!AY254</f>
        <v>12.174</v>
      </c>
      <c r="AM229" s="286" t="n">
        <f aca="false">OperatingCurve!AL254</f>
        <v>74</v>
      </c>
      <c r="AN229" s="287" t="n">
        <f aca="false">OperatingCurve!AM254</f>
        <v>0.4</v>
      </c>
      <c r="BE229" s="284" t="n">
        <f aca="false">OperatingCurve!V254</f>
        <v>43617</v>
      </c>
      <c r="BF229" s="289" t="n">
        <f aca="false">OperatingCurve!AZ254</f>
        <v>0</v>
      </c>
    </row>
    <row r="230" customFormat="false" ht="12.75" hidden="false" customHeight="false" outlineLevel="0" collapsed="false">
      <c r="A230" s="282" t="n">
        <f aca="false">OperatingCurve!D226</f>
        <v>42767</v>
      </c>
      <c r="B230" s="283" t="n">
        <f aca="false">OperatingCurve!H226</f>
        <v>25.625</v>
      </c>
      <c r="C230" s="283" t="n">
        <f aca="false">OperatingCurve!G226</f>
        <v>30.9</v>
      </c>
      <c r="D230" s="283" t="n">
        <f aca="false">OperatingCurve!I226</f>
        <v>64.721</v>
      </c>
      <c r="E230" s="278"/>
      <c r="F230" s="283" t="n">
        <f aca="false">OperatingCurve!M226</f>
        <v>0</v>
      </c>
      <c r="G230" s="283" t="n">
        <f aca="false">OperatingCurve!L226</f>
        <v>0</v>
      </c>
      <c r="H230" s="283" t="n">
        <f aca="false">OperatingCurve!N226</f>
        <v>0</v>
      </c>
      <c r="I230" s="273"/>
      <c r="J230" s="284" t="n">
        <f aca="false">OperatingCurve!V255</f>
        <v>43647</v>
      </c>
      <c r="K230" s="285" t="n">
        <f aca="false">OperatingCurve!Z255</f>
        <v>0</v>
      </c>
      <c r="L230" s="285" t="n">
        <f aca="false">OperatingCurve!Y255</f>
        <v>0</v>
      </c>
      <c r="M230" s="285" t="n">
        <f aca="false">OperatingCurve!AA255</f>
        <v>0</v>
      </c>
      <c r="O230" s="285" t="n">
        <f aca="false">OperatingCurve!AE255</f>
        <v>0</v>
      </c>
      <c r="P230" s="285" t="n">
        <f aca="false">OperatingCurve!AD255</f>
        <v>0</v>
      </c>
      <c r="Q230" s="285" t="n">
        <f aca="false">OperatingCurve!AF255</f>
        <v>0</v>
      </c>
      <c r="S230" s="285" t="n">
        <f aca="false">OperatingCurve!AJ255</f>
        <v>0</v>
      </c>
      <c r="T230" s="285" t="n">
        <f aca="false">OperatingCurve!AI255</f>
        <v>0</v>
      </c>
      <c r="U230" s="285" t="n">
        <f aca="false">OperatingCurve!AK255</f>
        <v>0</v>
      </c>
      <c r="W230" s="285" t="n">
        <f aca="false">OperatingCurve!AO255</f>
        <v>0.153</v>
      </c>
      <c r="X230" s="285" t="n">
        <f aca="false">OperatingCurve!AN255</f>
        <v>0.34</v>
      </c>
      <c r="Y230" s="285" t="n">
        <f aca="false">OperatingCurve!AP255</f>
        <v>0.425</v>
      </c>
      <c r="AA230" s="285" t="n">
        <f aca="false">OperatingCurve!AR255</f>
        <v>0.136</v>
      </c>
      <c r="AB230" s="285" t="n">
        <f aca="false">OperatingCurve!AQ255</f>
        <v>0.34</v>
      </c>
      <c r="AC230" s="285" t="n">
        <f aca="false">OperatingCurve!AS255</f>
        <v>0.255</v>
      </c>
      <c r="AE230" s="285" t="n">
        <f aca="false">OperatingCurve!AU255</f>
        <v>-0.517091326059428</v>
      </c>
      <c r="AF230" s="285" t="n">
        <f aca="false">OperatingCurve!AT255</f>
        <v>8.27346121695085</v>
      </c>
      <c r="AG230" s="285" t="n">
        <f aca="false">OperatingCurve!AV255</f>
        <v>10.3418265211886</v>
      </c>
      <c r="AI230" s="285" t="n">
        <f aca="false">OperatingCurve!AX255</f>
        <v>-0.6087</v>
      </c>
      <c r="AJ230" s="285" t="n">
        <f aca="false">OperatingCurve!AW255</f>
        <v>9.7392</v>
      </c>
      <c r="AK230" s="285" t="n">
        <f aca="false">OperatingCurve!AY255</f>
        <v>12.174</v>
      </c>
      <c r="AM230" s="286" t="n">
        <f aca="false">OperatingCurve!AL255</f>
        <v>74</v>
      </c>
      <c r="AN230" s="287" t="n">
        <f aca="false">OperatingCurve!AM255</f>
        <v>0.4</v>
      </c>
      <c r="BE230" s="284" t="n">
        <f aca="false">OperatingCurve!V255</f>
        <v>43647</v>
      </c>
      <c r="BF230" s="289" t="n">
        <f aca="false">OperatingCurve!AZ255</f>
        <v>0</v>
      </c>
    </row>
    <row r="231" customFormat="false" ht="12.75" hidden="false" customHeight="false" outlineLevel="0" collapsed="false">
      <c r="A231" s="282" t="n">
        <f aca="false">OperatingCurve!D227</f>
        <v>42795</v>
      </c>
      <c r="B231" s="283" t="n">
        <f aca="false">OperatingCurve!H227</f>
        <v>24.576</v>
      </c>
      <c r="C231" s="283" t="n">
        <f aca="false">OperatingCurve!G227</f>
        <v>29.841</v>
      </c>
      <c r="D231" s="283" t="n">
        <f aca="false">OperatingCurve!I227</f>
        <v>63.6</v>
      </c>
      <c r="E231" s="278"/>
      <c r="F231" s="283" t="n">
        <f aca="false">OperatingCurve!M227</f>
        <v>0</v>
      </c>
      <c r="G231" s="283" t="n">
        <f aca="false">OperatingCurve!L227</f>
        <v>0</v>
      </c>
      <c r="H231" s="283" t="n">
        <f aca="false">OperatingCurve!N227</f>
        <v>0</v>
      </c>
      <c r="I231" s="273"/>
      <c r="J231" s="284" t="n">
        <f aca="false">OperatingCurve!V256</f>
        <v>43678</v>
      </c>
      <c r="K231" s="285" t="n">
        <f aca="false">OperatingCurve!Z256</f>
        <v>0</v>
      </c>
      <c r="L231" s="285" t="n">
        <f aca="false">OperatingCurve!Y256</f>
        <v>0</v>
      </c>
      <c r="M231" s="285" t="n">
        <f aca="false">OperatingCurve!AA256</f>
        <v>0</v>
      </c>
      <c r="O231" s="285" t="n">
        <f aca="false">OperatingCurve!AE256</f>
        <v>0</v>
      </c>
      <c r="P231" s="285" t="n">
        <f aca="false">OperatingCurve!AD256</f>
        <v>0</v>
      </c>
      <c r="Q231" s="285" t="n">
        <f aca="false">OperatingCurve!AF256</f>
        <v>0</v>
      </c>
      <c r="S231" s="285" t="n">
        <f aca="false">OperatingCurve!AJ256</f>
        <v>0</v>
      </c>
      <c r="T231" s="285" t="n">
        <f aca="false">OperatingCurve!AI256</f>
        <v>0</v>
      </c>
      <c r="U231" s="285" t="n">
        <f aca="false">OperatingCurve!AK256</f>
        <v>0</v>
      </c>
      <c r="W231" s="285" t="n">
        <f aca="false">OperatingCurve!AO256</f>
        <v>0.153</v>
      </c>
      <c r="X231" s="285" t="n">
        <f aca="false">OperatingCurve!AN256</f>
        <v>0.34</v>
      </c>
      <c r="Y231" s="285" t="n">
        <f aca="false">OperatingCurve!AP256</f>
        <v>0.425</v>
      </c>
      <c r="AA231" s="285" t="n">
        <f aca="false">OperatingCurve!AR256</f>
        <v>0.136</v>
      </c>
      <c r="AB231" s="285" t="n">
        <f aca="false">OperatingCurve!AQ256</f>
        <v>0.34</v>
      </c>
      <c r="AC231" s="285" t="n">
        <f aca="false">OperatingCurve!AS256</f>
        <v>0.255</v>
      </c>
      <c r="AE231" s="285" t="n">
        <f aca="false">OperatingCurve!AU256</f>
        <v>-0.552146177512111</v>
      </c>
      <c r="AF231" s="285" t="n">
        <f aca="false">OperatingCurve!AT256</f>
        <v>8.83433884019377</v>
      </c>
      <c r="AG231" s="285" t="n">
        <f aca="false">OperatingCurve!AV256</f>
        <v>11.0429235502422</v>
      </c>
      <c r="AI231" s="285" t="n">
        <f aca="false">OperatingCurve!AX256</f>
        <v>-0.596925</v>
      </c>
      <c r="AJ231" s="285" t="n">
        <f aca="false">OperatingCurve!AW256</f>
        <v>9.5508</v>
      </c>
      <c r="AK231" s="285" t="n">
        <f aca="false">OperatingCurve!AY256</f>
        <v>11.9385</v>
      </c>
      <c r="AM231" s="286" t="n">
        <f aca="false">OperatingCurve!AL256</f>
        <v>74</v>
      </c>
      <c r="AN231" s="287" t="n">
        <f aca="false">OperatingCurve!AM256</f>
        <v>0.4</v>
      </c>
    </row>
    <row r="232" customFormat="false" ht="12.75" hidden="false" customHeight="false" outlineLevel="0" collapsed="false">
      <c r="A232" s="282" t="n">
        <f aca="false">OperatingCurve!D228</f>
        <v>42826</v>
      </c>
      <c r="B232" s="283" t="n">
        <f aca="false">OperatingCurve!H228</f>
        <v>24.576</v>
      </c>
      <c r="C232" s="283" t="n">
        <f aca="false">OperatingCurve!G228</f>
        <v>29.841</v>
      </c>
      <c r="D232" s="283" t="n">
        <f aca="false">OperatingCurve!I228</f>
        <v>63.6</v>
      </c>
      <c r="E232" s="278"/>
      <c r="F232" s="283" t="n">
        <f aca="false">OperatingCurve!M228</f>
        <v>0</v>
      </c>
      <c r="G232" s="283" t="n">
        <f aca="false">OperatingCurve!L228</f>
        <v>0</v>
      </c>
      <c r="H232" s="283" t="n">
        <f aca="false">OperatingCurve!N228</f>
        <v>0</v>
      </c>
      <c r="I232" s="273"/>
      <c r="J232" s="284" t="n">
        <f aca="false">OperatingCurve!V257</f>
        <v>43709</v>
      </c>
      <c r="K232" s="285" t="n">
        <f aca="false">OperatingCurve!Z257</f>
        <v>0</v>
      </c>
      <c r="L232" s="285" t="n">
        <f aca="false">OperatingCurve!Y257</f>
        <v>0</v>
      </c>
      <c r="M232" s="285" t="n">
        <f aca="false">OperatingCurve!AA257</f>
        <v>0</v>
      </c>
      <c r="O232" s="285" t="n">
        <f aca="false">OperatingCurve!AE257</f>
        <v>0</v>
      </c>
      <c r="P232" s="285" t="n">
        <f aca="false">OperatingCurve!AD257</f>
        <v>0</v>
      </c>
      <c r="Q232" s="285" t="n">
        <f aca="false">OperatingCurve!AF257</f>
        <v>0</v>
      </c>
      <c r="S232" s="285" t="n">
        <f aca="false">OperatingCurve!AJ257</f>
        <v>0</v>
      </c>
      <c r="T232" s="285" t="n">
        <f aca="false">OperatingCurve!AI257</f>
        <v>0</v>
      </c>
      <c r="U232" s="285" t="n">
        <f aca="false">OperatingCurve!AK257</f>
        <v>0</v>
      </c>
      <c r="W232" s="285" t="n">
        <f aca="false">OperatingCurve!AO257</f>
        <v>0.153</v>
      </c>
      <c r="X232" s="285" t="n">
        <f aca="false">OperatingCurve!AN257</f>
        <v>0.34</v>
      </c>
      <c r="Y232" s="285" t="n">
        <f aca="false">OperatingCurve!AP257</f>
        <v>0.425</v>
      </c>
      <c r="AA232" s="285" t="n">
        <f aca="false">OperatingCurve!AR257</f>
        <v>0.136</v>
      </c>
      <c r="AB232" s="285" t="n">
        <f aca="false">OperatingCurve!AQ257</f>
        <v>0.34</v>
      </c>
      <c r="AC232" s="285" t="n">
        <f aca="false">OperatingCurve!AS257</f>
        <v>0.255</v>
      </c>
      <c r="AE232" s="285" t="n">
        <f aca="false">OperatingCurve!AU257</f>
        <v>-0.455637578174882</v>
      </c>
      <c r="AF232" s="285" t="n">
        <f aca="false">OperatingCurve!AT257</f>
        <v>7.29020125079811</v>
      </c>
      <c r="AG232" s="285" t="n">
        <f aca="false">OperatingCurve!AV257</f>
        <v>9.11275156349763</v>
      </c>
      <c r="AI232" s="285" t="n">
        <f aca="false">OperatingCurve!AX257</f>
        <v>-0.63225</v>
      </c>
      <c r="AJ232" s="285" t="n">
        <f aca="false">OperatingCurve!AW257</f>
        <v>10.116</v>
      </c>
      <c r="AK232" s="285" t="n">
        <f aca="false">OperatingCurve!AY257</f>
        <v>12.645</v>
      </c>
      <c r="AM232" s="286" t="n">
        <f aca="false">OperatingCurve!AL257</f>
        <v>74</v>
      </c>
      <c r="AN232" s="287" t="n">
        <f aca="false">OperatingCurve!AM257</f>
        <v>0.4</v>
      </c>
    </row>
    <row r="233" customFormat="false" ht="12.75" hidden="false" customHeight="false" outlineLevel="0" collapsed="false">
      <c r="A233" s="282" t="n">
        <f aca="false">OperatingCurve!D229</f>
        <v>42856</v>
      </c>
      <c r="B233" s="283" t="n">
        <f aca="false">OperatingCurve!H229</f>
        <v>27.729</v>
      </c>
      <c r="C233" s="283" t="n">
        <f aca="false">OperatingCurve!G229</f>
        <v>33.024</v>
      </c>
      <c r="D233" s="283" t="n">
        <f aca="false">OperatingCurve!I229</f>
        <v>66.969</v>
      </c>
      <c r="E233" s="278"/>
      <c r="F233" s="283" t="n">
        <f aca="false">OperatingCurve!M229</f>
        <v>0</v>
      </c>
      <c r="G233" s="283" t="n">
        <f aca="false">OperatingCurve!L229</f>
        <v>0</v>
      </c>
      <c r="H233" s="283" t="n">
        <f aca="false">OperatingCurve!N229</f>
        <v>0</v>
      </c>
      <c r="I233" s="273"/>
      <c r="J233" s="284" t="n">
        <f aca="false">OperatingCurve!V258</f>
        <v>43739</v>
      </c>
      <c r="K233" s="285" t="n">
        <f aca="false">OperatingCurve!Z258</f>
        <v>0</v>
      </c>
      <c r="L233" s="285" t="n">
        <f aca="false">OperatingCurve!Y258</f>
        <v>0</v>
      </c>
      <c r="M233" s="285" t="n">
        <f aca="false">OperatingCurve!AA258</f>
        <v>0</v>
      </c>
      <c r="O233" s="285" t="n">
        <f aca="false">OperatingCurve!AE258</f>
        <v>0</v>
      </c>
      <c r="P233" s="285" t="n">
        <f aca="false">OperatingCurve!AD258</f>
        <v>0</v>
      </c>
      <c r="Q233" s="285" t="n">
        <f aca="false">OperatingCurve!AF258</f>
        <v>0</v>
      </c>
      <c r="S233" s="285" t="n">
        <f aca="false">OperatingCurve!AJ258</f>
        <v>0</v>
      </c>
      <c r="T233" s="285" t="n">
        <f aca="false">OperatingCurve!AI258</f>
        <v>0</v>
      </c>
      <c r="U233" s="285" t="n">
        <f aca="false">OperatingCurve!AK258</f>
        <v>0</v>
      </c>
      <c r="W233" s="285" t="n">
        <f aca="false">OperatingCurve!AO258</f>
        <v>0.153</v>
      </c>
      <c r="X233" s="285" t="n">
        <f aca="false">OperatingCurve!AN258</f>
        <v>0.34</v>
      </c>
      <c r="Y233" s="285" t="n">
        <f aca="false">OperatingCurve!AP258</f>
        <v>0.425</v>
      </c>
      <c r="AA233" s="285" t="n">
        <f aca="false">OperatingCurve!AR258</f>
        <v>0.136</v>
      </c>
      <c r="AB233" s="285" t="n">
        <f aca="false">OperatingCurve!AQ258</f>
        <v>0.34</v>
      </c>
      <c r="AC233" s="285" t="n">
        <f aca="false">OperatingCurve!AS258</f>
        <v>0.255</v>
      </c>
      <c r="AE233" s="285" t="n">
        <f aca="false">OperatingCurve!AU258</f>
        <v>-0.484735205974953</v>
      </c>
      <c r="AF233" s="285" t="n">
        <f aca="false">OperatingCurve!AT258</f>
        <v>7.75576329559925</v>
      </c>
      <c r="AG233" s="285" t="n">
        <f aca="false">OperatingCurve!AV258</f>
        <v>9.69470411949907</v>
      </c>
      <c r="AI233" s="285" t="n">
        <f aca="false">OperatingCurve!AX258</f>
        <v>-0.620475</v>
      </c>
      <c r="AJ233" s="285" t="n">
        <f aca="false">OperatingCurve!AW258</f>
        <v>9.9276</v>
      </c>
      <c r="AK233" s="285" t="n">
        <f aca="false">OperatingCurve!AY258</f>
        <v>12.4095</v>
      </c>
      <c r="AM233" s="286" t="n">
        <f aca="false">OperatingCurve!AL258</f>
        <v>74</v>
      </c>
      <c r="AN233" s="287" t="n">
        <f aca="false">OperatingCurve!AM258</f>
        <v>0.4</v>
      </c>
    </row>
    <row r="234" customFormat="false" ht="12.75" hidden="false" customHeight="false" outlineLevel="0" collapsed="false">
      <c r="A234" s="282" t="n">
        <f aca="false">OperatingCurve!D230</f>
        <v>42887</v>
      </c>
      <c r="B234" s="283" t="n">
        <f aca="false">OperatingCurve!H230</f>
        <v>35.156</v>
      </c>
      <c r="C234" s="283" t="n">
        <f aca="false">OperatingCurve!G230</f>
        <v>40.521</v>
      </c>
      <c r="D234" s="283" t="n">
        <f aca="false">OperatingCurve!I230</f>
        <v>74.9</v>
      </c>
      <c r="E234" s="278"/>
      <c r="F234" s="283" t="n">
        <f aca="false">OperatingCurve!M230</f>
        <v>0</v>
      </c>
      <c r="G234" s="283" t="n">
        <f aca="false">OperatingCurve!L230</f>
        <v>0</v>
      </c>
      <c r="H234" s="283" t="n">
        <f aca="false">OperatingCurve!N230</f>
        <v>0</v>
      </c>
      <c r="I234" s="273"/>
      <c r="J234" s="284" t="n">
        <f aca="false">OperatingCurve!V259</f>
        <v>43770</v>
      </c>
      <c r="K234" s="285" t="n">
        <f aca="false">OperatingCurve!Z259</f>
        <v>0</v>
      </c>
      <c r="L234" s="285" t="n">
        <f aca="false">OperatingCurve!Y259</f>
        <v>0</v>
      </c>
      <c r="M234" s="285" t="n">
        <f aca="false">OperatingCurve!AA259</f>
        <v>0</v>
      </c>
      <c r="O234" s="285" t="n">
        <f aca="false">OperatingCurve!AE259</f>
        <v>0</v>
      </c>
      <c r="P234" s="285" t="n">
        <f aca="false">OperatingCurve!AD259</f>
        <v>0</v>
      </c>
      <c r="Q234" s="285" t="n">
        <f aca="false">OperatingCurve!AF259</f>
        <v>0</v>
      </c>
      <c r="S234" s="285" t="n">
        <f aca="false">OperatingCurve!AJ259</f>
        <v>0</v>
      </c>
      <c r="T234" s="285" t="n">
        <f aca="false">OperatingCurve!AI259</f>
        <v>0</v>
      </c>
      <c r="U234" s="285" t="n">
        <f aca="false">OperatingCurve!AK259</f>
        <v>0</v>
      </c>
      <c r="W234" s="285" t="n">
        <f aca="false">OperatingCurve!AO259</f>
        <v>0.153</v>
      </c>
      <c r="X234" s="285" t="n">
        <f aca="false">OperatingCurve!AN259</f>
        <v>0.34</v>
      </c>
      <c r="Y234" s="285" t="n">
        <f aca="false">OperatingCurve!AP259</f>
        <v>0.425</v>
      </c>
      <c r="AA234" s="285" t="n">
        <f aca="false">OperatingCurve!AR259</f>
        <v>0.136</v>
      </c>
      <c r="AB234" s="285" t="n">
        <f aca="false">OperatingCurve!AQ259</f>
        <v>0.34</v>
      </c>
      <c r="AC234" s="285" t="n">
        <f aca="false">OperatingCurve!AS259</f>
        <v>0.255</v>
      </c>
      <c r="AE234" s="285" t="n">
        <f aca="false">OperatingCurve!AU259</f>
        <v>-0.410147476715089</v>
      </c>
      <c r="AF234" s="285" t="n">
        <f aca="false">OperatingCurve!AT259</f>
        <v>6.56235962744143</v>
      </c>
      <c r="AG234" s="285" t="n">
        <f aca="false">OperatingCurve!AV259</f>
        <v>8.20294953430178</v>
      </c>
      <c r="AI234" s="285" t="n">
        <f aca="false">OperatingCurve!AX259</f>
        <v>-0.6558</v>
      </c>
      <c r="AJ234" s="285" t="n">
        <f aca="false">OperatingCurve!AW259</f>
        <v>10.4928</v>
      </c>
      <c r="AK234" s="285" t="n">
        <f aca="false">OperatingCurve!AY259</f>
        <v>13.116</v>
      </c>
      <c r="AM234" s="286" t="n">
        <f aca="false">OperatingCurve!AL259</f>
        <v>74</v>
      </c>
      <c r="AN234" s="287" t="n">
        <f aca="false">OperatingCurve!AM259</f>
        <v>0.4</v>
      </c>
    </row>
    <row r="235" customFormat="false" ht="12.75" hidden="false" customHeight="false" outlineLevel="0" collapsed="false">
      <c r="A235" s="282" t="n">
        <f aca="false">OperatingCurve!D231</f>
        <v>42917</v>
      </c>
      <c r="B235" s="283" t="n">
        <f aca="false">OperatingCurve!H231</f>
        <v>35.156</v>
      </c>
      <c r="C235" s="283" t="n">
        <f aca="false">OperatingCurve!G231</f>
        <v>40.521</v>
      </c>
      <c r="D235" s="283" t="n">
        <f aca="false">OperatingCurve!I231</f>
        <v>74.9</v>
      </c>
      <c r="E235" s="278"/>
      <c r="F235" s="283" t="n">
        <f aca="false">OperatingCurve!M231</f>
        <v>0</v>
      </c>
      <c r="G235" s="283" t="n">
        <f aca="false">OperatingCurve!L231</f>
        <v>0</v>
      </c>
      <c r="H235" s="283" t="n">
        <f aca="false">OperatingCurve!N231</f>
        <v>0</v>
      </c>
      <c r="I235" s="273"/>
      <c r="J235" s="284" t="n">
        <f aca="false">OperatingCurve!V260</f>
        <v>43800</v>
      </c>
      <c r="K235" s="285" t="n">
        <f aca="false">OperatingCurve!Z260</f>
        <v>0</v>
      </c>
      <c r="L235" s="285" t="n">
        <f aca="false">OperatingCurve!Y260</f>
        <v>0</v>
      </c>
      <c r="M235" s="285" t="n">
        <f aca="false">OperatingCurve!AA260</f>
        <v>0</v>
      </c>
      <c r="O235" s="285" t="n">
        <f aca="false">OperatingCurve!AE260</f>
        <v>0</v>
      </c>
      <c r="P235" s="285" t="n">
        <f aca="false">OperatingCurve!AD260</f>
        <v>0</v>
      </c>
      <c r="Q235" s="285" t="n">
        <f aca="false">OperatingCurve!AF260</f>
        <v>0</v>
      </c>
      <c r="S235" s="285" t="n">
        <f aca="false">OperatingCurve!AJ260</f>
        <v>0</v>
      </c>
      <c r="T235" s="285" t="n">
        <f aca="false">OperatingCurve!AI260</f>
        <v>0</v>
      </c>
      <c r="U235" s="285" t="n">
        <f aca="false">OperatingCurve!AK260</f>
        <v>0</v>
      </c>
      <c r="W235" s="285" t="n">
        <f aca="false">OperatingCurve!AO260</f>
        <v>0.153</v>
      </c>
      <c r="X235" s="285" t="n">
        <f aca="false">OperatingCurve!AN260</f>
        <v>0.34</v>
      </c>
      <c r="Y235" s="285" t="n">
        <f aca="false">OperatingCurve!AP260</f>
        <v>0.425</v>
      </c>
      <c r="AA235" s="285" t="n">
        <f aca="false">OperatingCurve!AR260</f>
        <v>0.136</v>
      </c>
      <c r="AB235" s="285" t="n">
        <f aca="false">OperatingCurve!AQ260</f>
        <v>0.34</v>
      </c>
      <c r="AC235" s="285" t="n">
        <f aca="false">OperatingCurve!AS260</f>
        <v>0.255</v>
      </c>
      <c r="AE235" s="285" t="n">
        <f aca="false">OperatingCurve!AU260</f>
        <v>-0.419655399211954</v>
      </c>
      <c r="AF235" s="285" t="n">
        <f aca="false">OperatingCurve!AT260</f>
        <v>6.71448638739126</v>
      </c>
      <c r="AG235" s="285" t="n">
        <f aca="false">OperatingCurve!AV260</f>
        <v>8.39310798423907</v>
      </c>
      <c r="AI235" s="285" t="n">
        <f aca="false">OperatingCurve!AX260</f>
        <v>-0.667575</v>
      </c>
      <c r="AJ235" s="285" t="n">
        <f aca="false">OperatingCurve!AW260</f>
        <v>10.6812</v>
      </c>
      <c r="AK235" s="285" t="n">
        <f aca="false">OperatingCurve!AY260</f>
        <v>13.3515</v>
      </c>
      <c r="AM235" s="286" t="n">
        <f aca="false">OperatingCurve!AL260</f>
        <v>74</v>
      </c>
      <c r="AN235" s="287" t="n">
        <f aca="false">OperatingCurve!AM260</f>
        <v>0.4</v>
      </c>
    </row>
    <row r="236" customFormat="false" ht="12.75" hidden="false" customHeight="false" outlineLevel="0" collapsed="false">
      <c r="A236" s="282" t="n">
        <f aca="false">OperatingCurve!D232</f>
        <v>42948</v>
      </c>
      <c r="B236" s="283" t="n">
        <f aca="false">OperatingCurve!H232</f>
        <v>37.296</v>
      </c>
      <c r="C236" s="283" t="n">
        <f aca="false">OperatingCurve!G232</f>
        <v>42.681</v>
      </c>
      <c r="D236" s="283" t="n">
        <f aca="false">OperatingCurve!I232</f>
        <v>77.184</v>
      </c>
      <c r="E236" s="278"/>
      <c r="F236" s="283" t="n">
        <f aca="false">OperatingCurve!M232</f>
        <v>0</v>
      </c>
      <c r="G236" s="283" t="n">
        <f aca="false">OperatingCurve!L232</f>
        <v>0</v>
      </c>
      <c r="H236" s="283" t="n">
        <f aca="false">OperatingCurve!N232</f>
        <v>0</v>
      </c>
      <c r="I236" s="273"/>
      <c r="J236" s="284" t="n">
        <f aca="false">OperatingCurve!V261</f>
        <v>43831</v>
      </c>
      <c r="K236" s="285" t="n">
        <f aca="false">OperatingCurve!Z261</f>
        <v>0</v>
      </c>
      <c r="L236" s="285" t="n">
        <f aca="false">OperatingCurve!Y261</f>
        <v>0</v>
      </c>
      <c r="M236" s="285" t="n">
        <f aca="false">OperatingCurve!AA261</f>
        <v>0</v>
      </c>
      <c r="O236" s="285" t="n">
        <f aca="false">OperatingCurve!AE261</f>
        <v>0</v>
      </c>
      <c r="P236" s="285" t="n">
        <f aca="false">OperatingCurve!AD261</f>
        <v>0</v>
      </c>
      <c r="Q236" s="285" t="n">
        <f aca="false">OperatingCurve!AF261</f>
        <v>0</v>
      </c>
      <c r="S236" s="285" t="n">
        <f aca="false">OperatingCurve!AJ261</f>
        <v>0</v>
      </c>
      <c r="T236" s="285" t="n">
        <f aca="false">OperatingCurve!AI261</f>
        <v>0</v>
      </c>
      <c r="U236" s="285" t="n">
        <f aca="false">OperatingCurve!AK261</f>
        <v>0</v>
      </c>
      <c r="W236" s="285" t="n">
        <f aca="false">OperatingCurve!AO261</f>
        <v>0.153</v>
      </c>
      <c r="X236" s="285" t="n">
        <f aca="false">OperatingCurve!AN261</f>
        <v>0.34</v>
      </c>
      <c r="Y236" s="285" t="n">
        <f aca="false">OperatingCurve!AP261</f>
        <v>0.425</v>
      </c>
      <c r="AA236" s="285" t="n">
        <f aca="false">OperatingCurve!AR261</f>
        <v>0.136</v>
      </c>
      <c r="AB236" s="285" t="n">
        <f aca="false">OperatingCurve!AQ261</f>
        <v>0.34</v>
      </c>
      <c r="AC236" s="285" t="n">
        <f aca="false">OperatingCurve!AS261</f>
        <v>0.255</v>
      </c>
      <c r="AE236" s="285" t="n">
        <f aca="false">OperatingCurve!AU261</f>
        <v>-0.43048858158097</v>
      </c>
      <c r="AF236" s="285" t="n">
        <f aca="false">OperatingCurve!AT261</f>
        <v>6.88781730529552</v>
      </c>
      <c r="AG236" s="285" t="n">
        <f aca="false">OperatingCurve!AV261</f>
        <v>8.60977163161941</v>
      </c>
      <c r="AI236" s="285" t="n">
        <f aca="false">OperatingCurve!AX261</f>
        <v>-0.6558</v>
      </c>
      <c r="AJ236" s="285" t="n">
        <f aca="false">OperatingCurve!AW261</f>
        <v>10.4928</v>
      </c>
      <c r="AK236" s="285" t="n">
        <f aca="false">OperatingCurve!AY261</f>
        <v>13.116</v>
      </c>
      <c r="AM236" s="286" t="n">
        <f aca="false">OperatingCurve!AL261</f>
        <v>74</v>
      </c>
      <c r="AN236" s="287" t="n">
        <f aca="false">OperatingCurve!AM261</f>
        <v>0.4</v>
      </c>
    </row>
    <row r="237" customFormat="false" ht="12.75" hidden="false" customHeight="false" outlineLevel="0" collapsed="false">
      <c r="A237" s="282" t="n">
        <f aca="false">OperatingCurve!D233</f>
        <v>42979</v>
      </c>
      <c r="B237" s="283" t="n">
        <f aca="false">OperatingCurve!H233</f>
        <v>30.9</v>
      </c>
      <c r="C237" s="283" t="n">
        <f aca="false">OperatingCurve!G233</f>
        <v>36.225</v>
      </c>
      <c r="D237" s="283" t="n">
        <f aca="false">OperatingCurve!I233</f>
        <v>70.356</v>
      </c>
      <c r="E237" s="278"/>
      <c r="F237" s="283" t="n">
        <f aca="false">OperatingCurve!M233</f>
        <v>0</v>
      </c>
      <c r="G237" s="283" t="n">
        <f aca="false">OperatingCurve!L233</f>
        <v>0</v>
      </c>
      <c r="H237" s="283" t="n">
        <f aca="false">OperatingCurve!N233</f>
        <v>0</v>
      </c>
      <c r="I237" s="273"/>
      <c r="J237" s="284" t="n">
        <f aca="false">OperatingCurve!V262</f>
        <v>43862</v>
      </c>
      <c r="K237" s="285" t="n">
        <f aca="false">OperatingCurve!Z262</f>
        <v>0</v>
      </c>
      <c r="L237" s="285" t="n">
        <f aca="false">OperatingCurve!Y262</f>
        <v>0</v>
      </c>
      <c r="M237" s="285" t="n">
        <f aca="false">OperatingCurve!AA262</f>
        <v>0</v>
      </c>
      <c r="O237" s="285" t="n">
        <f aca="false">OperatingCurve!AE262</f>
        <v>0</v>
      </c>
      <c r="P237" s="285" t="n">
        <f aca="false">OperatingCurve!AD262</f>
        <v>0</v>
      </c>
      <c r="Q237" s="285" t="n">
        <f aca="false">OperatingCurve!AF262</f>
        <v>0</v>
      </c>
      <c r="S237" s="285" t="n">
        <f aca="false">OperatingCurve!AJ262</f>
        <v>0</v>
      </c>
      <c r="T237" s="285" t="n">
        <f aca="false">OperatingCurve!AI262</f>
        <v>0</v>
      </c>
      <c r="U237" s="285" t="n">
        <f aca="false">OperatingCurve!AK262</f>
        <v>0</v>
      </c>
      <c r="W237" s="285" t="n">
        <f aca="false">OperatingCurve!AO262</f>
        <v>0.153</v>
      </c>
      <c r="X237" s="285" t="n">
        <f aca="false">OperatingCurve!AN262</f>
        <v>0.34</v>
      </c>
      <c r="Y237" s="285" t="n">
        <f aca="false">OperatingCurve!AP262</f>
        <v>0.425</v>
      </c>
      <c r="AA237" s="285" t="n">
        <f aca="false">OperatingCurve!AR262</f>
        <v>0.136</v>
      </c>
      <c r="AB237" s="285" t="n">
        <f aca="false">OperatingCurve!AQ262</f>
        <v>0.34</v>
      </c>
      <c r="AC237" s="285" t="n">
        <f aca="false">OperatingCurve!AS262</f>
        <v>0.255</v>
      </c>
      <c r="AE237" s="285" t="n">
        <f aca="false">OperatingCurve!AU262</f>
        <v>-0.402107379613998</v>
      </c>
      <c r="AF237" s="285" t="n">
        <f aca="false">OperatingCurve!AT262</f>
        <v>6.43371807382396</v>
      </c>
      <c r="AG237" s="285" t="n">
        <f aca="false">OperatingCurve!AV262</f>
        <v>8.04214759227995</v>
      </c>
      <c r="AI237" s="285" t="n">
        <f aca="false">OperatingCurve!AX262</f>
        <v>-0.6616875</v>
      </c>
      <c r="AJ237" s="285" t="n">
        <f aca="false">OperatingCurve!AW262</f>
        <v>10.587</v>
      </c>
      <c r="AK237" s="285" t="n">
        <f aca="false">OperatingCurve!AY262</f>
        <v>13.23375</v>
      </c>
      <c r="AM237" s="286" t="n">
        <f aca="false">OperatingCurve!AL262</f>
        <v>74</v>
      </c>
      <c r="AN237" s="287" t="n">
        <f aca="false">OperatingCurve!AM262</f>
        <v>0.4</v>
      </c>
    </row>
    <row r="238" customFormat="false" ht="12.75" hidden="false" customHeight="false" outlineLevel="0" collapsed="false">
      <c r="A238" s="282" t="n">
        <f aca="false">OperatingCurve!D234</f>
        <v>43009</v>
      </c>
      <c r="B238" s="283" t="n">
        <f aca="false">OperatingCurve!H234</f>
        <v>33.024</v>
      </c>
      <c r="C238" s="283" t="n">
        <f aca="false">OperatingCurve!G234</f>
        <v>38.369</v>
      </c>
      <c r="D238" s="283" t="n">
        <f aca="false">OperatingCurve!I234</f>
        <v>72.624</v>
      </c>
      <c r="E238" s="278"/>
      <c r="F238" s="283" t="n">
        <f aca="false">OperatingCurve!M234</f>
        <v>0</v>
      </c>
      <c r="G238" s="283" t="n">
        <f aca="false">OperatingCurve!L234</f>
        <v>0</v>
      </c>
      <c r="H238" s="283" t="n">
        <f aca="false">OperatingCurve!N234</f>
        <v>0</v>
      </c>
      <c r="I238" s="273"/>
      <c r="J238" s="284" t="n">
        <f aca="false">OperatingCurve!V263</f>
        <v>43891</v>
      </c>
      <c r="K238" s="285" t="n">
        <f aca="false">OperatingCurve!Z263</f>
        <v>0</v>
      </c>
      <c r="L238" s="285" t="n">
        <f aca="false">OperatingCurve!Y263</f>
        <v>0</v>
      </c>
      <c r="M238" s="285" t="n">
        <f aca="false">OperatingCurve!AA263</f>
        <v>0</v>
      </c>
      <c r="O238" s="285" t="n">
        <f aca="false">OperatingCurve!AE263</f>
        <v>0</v>
      </c>
      <c r="P238" s="285" t="n">
        <f aca="false">OperatingCurve!AD263</f>
        <v>0</v>
      </c>
      <c r="Q238" s="285" t="n">
        <f aca="false">OperatingCurve!AF263</f>
        <v>0</v>
      </c>
      <c r="S238" s="285" t="n">
        <f aca="false">OperatingCurve!AJ263</f>
        <v>0</v>
      </c>
      <c r="T238" s="285" t="n">
        <f aca="false">OperatingCurve!AI263</f>
        <v>0</v>
      </c>
      <c r="U238" s="285" t="n">
        <f aca="false">OperatingCurve!AK263</f>
        <v>0</v>
      </c>
      <c r="W238" s="285" t="n">
        <f aca="false">OperatingCurve!AO263</f>
        <v>0.153</v>
      </c>
      <c r="X238" s="285" t="n">
        <f aca="false">OperatingCurve!AN263</f>
        <v>0.34</v>
      </c>
      <c r="Y238" s="285" t="n">
        <f aca="false">OperatingCurve!AP263</f>
        <v>0.425</v>
      </c>
      <c r="AA238" s="285" t="n">
        <f aca="false">OperatingCurve!AR263</f>
        <v>0.136</v>
      </c>
      <c r="AB238" s="285" t="n">
        <f aca="false">OperatingCurve!AQ263</f>
        <v>0.34</v>
      </c>
      <c r="AC238" s="285" t="n">
        <f aca="false">OperatingCurve!AS263</f>
        <v>0.255</v>
      </c>
      <c r="AE238" s="285" t="n">
        <f aca="false">OperatingCurve!AU263</f>
        <v>-0.395696014851329</v>
      </c>
      <c r="AF238" s="285" t="n">
        <f aca="false">OperatingCurve!AT263</f>
        <v>6.33113623762127</v>
      </c>
      <c r="AG238" s="285" t="n">
        <f aca="false">OperatingCurve!AV263</f>
        <v>7.91392029702658</v>
      </c>
      <c r="AI238" s="285" t="n">
        <f aca="false">OperatingCurve!AX263</f>
        <v>-0.667575</v>
      </c>
      <c r="AJ238" s="285" t="n">
        <f aca="false">OperatingCurve!AW263</f>
        <v>10.6812</v>
      </c>
      <c r="AK238" s="285" t="n">
        <f aca="false">OperatingCurve!AY263</f>
        <v>13.3515</v>
      </c>
      <c r="AM238" s="286" t="n">
        <f aca="false">OperatingCurve!AL263</f>
        <v>74</v>
      </c>
      <c r="AN238" s="287" t="n">
        <f aca="false">OperatingCurve!AM263</f>
        <v>0.4</v>
      </c>
    </row>
    <row r="239" customFormat="false" ht="12.75" hidden="false" customHeight="false" outlineLevel="0" collapsed="false">
      <c r="A239" s="282" t="n">
        <f aca="false">OperatingCurve!D235</f>
        <v>43040</v>
      </c>
      <c r="B239" s="283" t="n">
        <f aca="false">OperatingCurve!H235</f>
        <v>26.676</v>
      </c>
      <c r="C239" s="283" t="n">
        <f aca="false">OperatingCurve!G235</f>
        <v>31.961</v>
      </c>
      <c r="D239" s="283" t="n">
        <f aca="false">OperatingCurve!I235</f>
        <v>65.844</v>
      </c>
      <c r="E239" s="278"/>
      <c r="F239" s="283" t="n">
        <f aca="false">OperatingCurve!M235</f>
        <v>0</v>
      </c>
      <c r="G239" s="283" t="n">
        <f aca="false">OperatingCurve!L235</f>
        <v>0</v>
      </c>
      <c r="H239" s="283" t="n">
        <f aca="false">OperatingCurve!N235</f>
        <v>0</v>
      </c>
      <c r="I239" s="273"/>
      <c r="J239" s="284" t="n">
        <f aca="false">OperatingCurve!V264</f>
        <v>43922</v>
      </c>
      <c r="K239" s="285" t="n">
        <f aca="false">OperatingCurve!Z264</f>
        <v>0</v>
      </c>
      <c r="L239" s="285" t="n">
        <f aca="false">OperatingCurve!Y264</f>
        <v>0</v>
      </c>
      <c r="M239" s="285" t="n">
        <f aca="false">OperatingCurve!AA264</f>
        <v>0</v>
      </c>
      <c r="O239" s="285" t="n">
        <f aca="false">OperatingCurve!AE264</f>
        <v>0</v>
      </c>
      <c r="P239" s="285" t="n">
        <f aca="false">OperatingCurve!AD264</f>
        <v>0</v>
      </c>
      <c r="Q239" s="285" t="n">
        <f aca="false">OperatingCurve!AF264</f>
        <v>0</v>
      </c>
      <c r="S239" s="285" t="n">
        <f aca="false">OperatingCurve!AJ264</f>
        <v>0</v>
      </c>
      <c r="T239" s="285" t="n">
        <f aca="false">OperatingCurve!AI264</f>
        <v>0</v>
      </c>
      <c r="U239" s="285" t="n">
        <f aca="false">OperatingCurve!AK264</f>
        <v>0</v>
      </c>
      <c r="W239" s="285" t="n">
        <f aca="false">OperatingCurve!AO264</f>
        <v>0.153</v>
      </c>
      <c r="X239" s="285" t="n">
        <f aca="false">OperatingCurve!AN264</f>
        <v>0.34</v>
      </c>
      <c r="Y239" s="285" t="n">
        <f aca="false">OperatingCurve!AP264</f>
        <v>0.425</v>
      </c>
      <c r="AA239" s="285" t="n">
        <f aca="false">OperatingCurve!AR264</f>
        <v>0.136</v>
      </c>
      <c r="AB239" s="285" t="n">
        <f aca="false">OperatingCurve!AQ264</f>
        <v>0.34</v>
      </c>
      <c r="AC239" s="285" t="n">
        <f aca="false">OperatingCurve!AS264</f>
        <v>0.255</v>
      </c>
      <c r="AE239" s="285" t="n">
        <f aca="false">OperatingCurve!AU264</f>
        <v>-0.395696014851329</v>
      </c>
      <c r="AF239" s="285" t="n">
        <f aca="false">OperatingCurve!AT264</f>
        <v>6.33113623762127</v>
      </c>
      <c r="AG239" s="285" t="n">
        <f aca="false">OperatingCurve!AV264</f>
        <v>7.91392029702658</v>
      </c>
      <c r="AI239" s="285" t="n">
        <f aca="false">OperatingCurve!AX264</f>
        <v>-0.667575</v>
      </c>
      <c r="AJ239" s="285" t="n">
        <f aca="false">OperatingCurve!AW264</f>
        <v>10.6812</v>
      </c>
      <c r="AK239" s="285" t="n">
        <f aca="false">OperatingCurve!AY264</f>
        <v>13.3515</v>
      </c>
      <c r="AM239" s="286" t="n">
        <f aca="false">OperatingCurve!AL264</f>
        <v>74</v>
      </c>
      <c r="AN239" s="287" t="n">
        <f aca="false">OperatingCurve!AM264</f>
        <v>0.4</v>
      </c>
    </row>
    <row r="240" customFormat="false" ht="12.75" hidden="false" customHeight="false" outlineLevel="0" collapsed="false">
      <c r="A240" s="282" t="n">
        <f aca="false">OperatingCurve!D236</f>
        <v>43070</v>
      </c>
      <c r="B240" s="283" t="n">
        <f aca="false">OperatingCurve!H236</f>
        <v>27.729</v>
      </c>
      <c r="C240" s="283" t="n">
        <f aca="false">OperatingCurve!G236</f>
        <v>33.024</v>
      </c>
      <c r="D240" s="283" t="n">
        <f aca="false">OperatingCurve!I236</f>
        <v>66.969</v>
      </c>
      <c r="E240" s="278"/>
      <c r="F240" s="283" t="n">
        <f aca="false">OperatingCurve!M236</f>
        <v>0</v>
      </c>
      <c r="G240" s="283" t="n">
        <f aca="false">OperatingCurve!L236</f>
        <v>0</v>
      </c>
      <c r="H240" s="283" t="n">
        <f aca="false">OperatingCurve!N236</f>
        <v>0</v>
      </c>
      <c r="I240" s="273"/>
      <c r="J240" s="284" t="n">
        <f aca="false">OperatingCurve!V265</f>
        <v>43952</v>
      </c>
      <c r="K240" s="285" t="n">
        <f aca="false">OperatingCurve!Z265</f>
        <v>0</v>
      </c>
      <c r="L240" s="285" t="n">
        <f aca="false">OperatingCurve!Y265</f>
        <v>0</v>
      </c>
      <c r="M240" s="285" t="n">
        <f aca="false">OperatingCurve!AA265</f>
        <v>0</v>
      </c>
      <c r="O240" s="285" t="n">
        <f aca="false">OperatingCurve!AE265</f>
        <v>0</v>
      </c>
      <c r="P240" s="285" t="n">
        <f aca="false">OperatingCurve!AD265</f>
        <v>0</v>
      </c>
      <c r="Q240" s="285" t="n">
        <f aca="false">OperatingCurve!AF265</f>
        <v>0</v>
      </c>
      <c r="S240" s="285" t="n">
        <f aca="false">OperatingCurve!AJ265</f>
        <v>0</v>
      </c>
      <c r="T240" s="285" t="n">
        <f aca="false">OperatingCurve!AI265</f>
        <v>0</v>
      </c>
      <c r="U240" s="285" t="n">
        <f aca="false">OperatingCurve!AK265</f>
        <v>0</v>
      </c>
      <c r="W240" s="285" t="n">
        <f aca="false">OperatingCurve!AO265</f>
        <v>0.153</v>
      </c>
      <c r="X240" s="285" t="n">
        <f aca="false">OperatingCurve!AN265</f>
        <v>0.34</v>
      </c>
      <c r="Y240" s="285" t="n">
        <f aca="false">OperatingCurve!AP265</f>
        <v>0.425</v>
      </c>
      <c r="AA240" s="285" t="n">
        <f aca="false">OperatingCurve!AR265</f>
        <v>0.136</v>
      </c>
      <c r="AB240" s="285" t="n">
        <f aca="false">OperatingCurve!AQ265</f>
        <v>0.34</v>
      </c>
      <c r="AC240" s="285" t="n">
        <f aca="false">OperatingCurve!AS265</f>
        <v>0.255</v>
      </c>
      <c r="AE240" s="285" t="n">
        <f aca="false">OperatingCurve!AU265</f>
        <v>-0.419655399211954</v>
      </c>
      <c r="AF240" s="285" t="n">
        <f aca="false">OperatingCurve!AT265</f>
        <v>6.71448638739126</v>
      </c>
      <c r="AG240" s="285" t="n">
        <f aca="false">OperatingCurve!AV265</f>
        <v>8.39310798423907</v>
      </c>
      <c r="AI240" s="285" t="n">
        <f aca="false">OperatingCurve!AX265</f>
        <v>-0.6499125</v>
      </c>
      <c r="AJ240" s="285" t="n">
        <f aca="false">OperatingCurve!AW265</f>
        <v>10.3986</v>
      </c>
      <c r="AK240" s="285" t="n">
        <f aca="false">OperatingCurve!AY265</f>
        <v>12.99825</v>
      </c>
      <c r="AM240" s="286" t="n">
        <f aca="false">OperatingCurve!AL265</f>
        <v>74</v>
      </c>
      <c r="AN240" s="287" t="n">
        <f aca="false">OperatingCurve!AM265</f>
        <v>0.4</v>
      </c>
    </row>
    <row r="241" customFormat="false" ht="12.75" hidden="false" customHeight="false" outlineLevel="0" collapsed="false">
      <c r="A241" s="282" t="n">
        <f aca="false">OperatingCurve!D237</f>
        <v>43101</v>
      </c>
      <c r="B241" s="283" t="n">
        <f aca="false">OperatingCurve!H237</f>
        <v>28.784</v>
      </c>
      <c r="C241" s="283" t="n">
        <f aca="false">OperatingCurve!G237</f>
        <v>34.089</v>
      </c>
      <c r="D241" s="283" t="n">
        <f aca="false">OperatingCurve!I237</f>
        <v>69.225</v>
      </c>
      <c r="E241" s="278"/>
      <c r="F241" s="283" t="n">
        <f aca="false">OperatingCurve!M237</f>
        <v>0</v>
      </c>
      <c r="G241" s="283" t="n">
        <f aca="false">OperatingCurve!L237</f>
        <v>0</v>
      </c>
      <c r="H241" s="283" t="n">
        <f aca="false">OperatingCurve!N237</f>
        <v>0</v>
      </c>
      <c r="I241" s="273"/>
      <c r="J241" s="284" t="n">
        <f aca="false">OperatingCurve!V266</f>
        <v>43983</v>
      </c>
      <c r="K241" s="285" t="n">
        <f aca="false">OperatingCurve!Z266</f>
        <v>0</v>
      </c>
      <c r="L241" s="285" t="n">
        <f aca="false">OperatingCurve!Y266</f>
        <v>0</v>
      </c>
      <c r="M241" s="285" t="n">
        <f aca="false">OperatingCurve!AA266</f>
        <v>0</v>
      </c>
      <c r="O241" s="285" t="n">
        <f aca="false">OperatingCurve!AE266</f>
        <v>0</v>
      </c>
      <c r="P241" s="285" t="n">
        <f aca="false">OperatingCurve!AD266</f>
        <v>0</v>
      </c>
      <c r="Q241" s="285" t="n">
        <f aca="false">OperatingCurve!AF266</f>
        <v>0</v>
      </c>
      <c r="S241" s="285" t="n">
        <f aca="false">OperatingCurve!AJ266</f>
        <v>0</v>
      </c>
      <c r="T241" s="285" t="n">
        <f aca="false">OperatingCurve!AI266</f>
        <v>0</v>
      </c>
      <c r="U241" s="285" t="n">
        <f aca="false">OperatingCurve!AK266</f>
        <v>0</v>
      </c>
      <c r="W241" s="285" t="n">
        <f aca="false">OperatingCurve!AO266</f>
        <v>0.153</v>
      </c>
      <c r="X241" s="285" t="n">
        <f aca="false">OperatingCurve!AN266</f>
        <v>0.34</v>
      </c>
      <c r="Y241" s="285" t="n">
        <f aca="false">OperatingCurve!AP266</f>
        <v>0.425</v>
      </c>
      <c r="AA241" s="285" t="n">
        <f aca="false">OperatingCurve!AR266</f>
        <v>0.136</v>
      </c>
      <c r="AB241" s="285" t="n">
        <f aca="false">OperatingCurve!AQ266</f>
        <v>0.34</v>
      </c>
      <c r="AC241" s="285" t="n">
        <f aca="false">OperatingCurve!AS266</f>
        <v>0.255</v>
      </c>
      <c r="AE241" s="285" t="n">
        <f aca="false">OperatingCurve!AU266</f>
        <v>-0.517091326059428</v>
      </c>
      <c r="AF241" s="285" t="n">
        <f aca="false">OperatingCurve!AT266</f>
        <v>8.27346121695085</v>
      </c>
      <c r="AG241" s="285" t="n">
        <f aca="false">OperatingCurve!AV266</f>
        <v>10.3418265211886</v>
      </c>
      <c r="AI241" s="285" t="n">
        <f aca="false">OperatingCurve!AX266</f>
        <v>-0.6087</v>
      </c>
      <c r="AJ241" s="285" t="n">
        <f aca="false">OperatingCurve!AW266</f>
        <v>9.7392</v>
      </c>
      <c r="AK241" s="285" t="n">
        <f aca="false">OperatingCurve!AY266</f>
        <v>12.174</v>
      </c>
      <c r="AM241" s="286" t="n">
        <f aca="false">OperatingCurve!AL266</f>
        <v>74</v>
      </c>
      <c r="AN241" s="287" t="n">
        <f aca="false">OperatingCurve!AM266</f>
        <v>0.4</v>
      </c>
    </row>
    <row r="242" customFormat="false" ht="12.75" hidden="false" customHeight="false" outlineLevel="0" collapsed="false">
      <c r="A242" s="282" t="n">
        <f aca="false">OperatingCurve!D238</f>
        <v>43132</v>
      </c>
      <c r="B242" s="283" t="n">
        <f aca="false">OperatingCurve!H238</f>
        <v>25.625</v>
      </c>
      <c r="C242" s="283" t="n">
        <f aca="false">OperatingCurve!G238</f>
        <v>30.9</v>
      </c>
      <c r="D242" s="283" t="n">
        <f aca="false">OperatingCurve!I238</f>
        <v>65.844</v>
      </c>
      <c r="E242" s="278"/>
      <c r="F242" s="283" t="n">
        <f aca="false">OperatingCurve!M238</f>
        <v>0</v>
      </c>
      <c r="G242" s="283" t="n">
        <f aca="false">OperatingCurve!L238</f>
        <v>0</v>
      </c>
      <c r="H242" s="283" t="n">
        <f aca="false">OperatingCurve!N238</f>
        <v>0</v>
      </c>
      <c r="I242" s="273"/>
      <c r="J242" s="284" t="n">
        <f aca="false">OperatingCurve!V267</f>
        <v>44013</v>
      </c>
      <c r="K242" s="285" t="n">
        <f aca="false">OperatingCurve!Z267</f>
        <v>0</v>
      </c>
      <c r="L242" s="285" t="n">
        <f aca="false">OperatingCurve!Y267</f>
        <v>0</v>
      </c>
      <c r="M242" s="285" t="n">
        <f aca="false">OperatingCurve!AA267</f>
        <v>0</v>
      </c>
      <c r="O242" s="285" t="n">
        <f aca="false">OperatingCurve!AE267</f>
        <v>0</v>
      </c>
      <c r="P242" s="285" t="n">
        <f aca="false">OperatingCurve!AD267</f>
        <v>0</v>
      </c>
      <c r="Q242" s="285" t="n">
        <f aca="false">OperatingCurve!AF267</f>
        <v>0</v>
      </c>
      <c r="S242" s="285" t="n">
        <f aca="false">OperatingCurve!AJ267</f>
        <v>0</v>
      </c>
      <c r="T242" s="285" t="n">
        <f aca="false">OperatingCurve!AI267</f>
        <v>0</v>
      </c>
      <c r="U242" s="285" t="n">
        <f aca="false">OperatingCurve!AK267</f>
        <v>0</v>
      </c>
      <c r="W242" s="285" t="n">
        <f aca="false">OperatingCurve!AO267</f>
        <v>0.153</v>
      </c>
      <c r="X242" s="285" t="n">
        <f aca="false">OperatingCurve!AN267</f>
        <v>0.34</v>
      </c>
      <c r="Y242" s="285" t="n">
        <f aca="false">OperatingCurve!AP267</f>
        <v>0.425</v>
      </c>
      <c r="AA242" s="285" t="n">
        <f aca="false">OperatingCurve!AR267</f>
        <v>0.136</v>
      </c>
      <c r="AB242" s="285" t="n">
        <f aca="false">OperatingCurve!AQ267</f>
        <v>0.34</v>
      </c>
      <c r="AC242" s="285" t="n">
        <f aca="false">OperatingCurve!AS267</f>
        <v>0.255</v>
      </c>
      <c r="AE242" s="285" t="n">
        <f aca="false">OperatingCurve!AU267</f>
        <v>-0.517091326059428</v>
      </c>
      <c r="AF242" s="285" t="n">
        <f aca="false">OperatingCurve!AT267</f>
        <v>8.27346121695085</v>
      </c>
      <c r="AG242" s="285" t="n">
        <f aca="false">OperatingCurve!AV267</f>
        <v>10.3418265211886</v>
      </c>
      <c r="AI242" s="285" t="n">
        <f aca="false">OperatingCurve!AX267</f>
        <v>-0.6087</v>
      </c>
      <c r="AJ242" s="285" t="n">
        <f aca="false">OperatingCurve!AW267</f>
        <v>9.7392</v>
      </c>
      <c r="AK242" s="285" t="n">
        <f aca="false">OperatingCurve!AY267</f>
        <v>12.174</v>
      </c>
      <c r="AM242" s="286" t="n">
        <f aca="false">OperatingCurve!AL267</f>
        <v>74</v>
      </c>
      <c r="AN242" s="287" t="n">
        <f aca="false">OperatingCurve!AM267</f>
        <v>0.4</v>
      </c>
    </row>
    <row r="243" customFormat="false" ht="12.75" hidden="false" customHeight="false" outlineLevel="0" collapsed="false">
      <c r="A243" s="282" t="n">
        <f aca="false">OperatingCurve!D239</f>
        <v>43160</v>
      </c>
      <c r="B243" s="283" t="n">
        <f aca="false">OperatingCurve!H239</f>
        <v>24.576</v>
      </c>
      <c r="C243" s="283" t="n">
        <f aca="false">OperatingCurve!G239</f>
        <v>29.841</v>
      </c>
      <c r="D243" s="283" t="n">
        <f aca="false">OperatingCurve!I239</f>
        <v>64.721</v>
      </c>
      <c r="E243" s="278"/>
      <c r="F243" s="283" t="n">
        <f aca="false">OperatingCurve!M239</f>
        <v>0</v>
      </c>
      <c r="G243" s="283" t="n">
        <f aca="false">OperatingCurve!L239</f>
        <v>0</v>
      </c>
      <c r="H243" s="283" t="n">
        <f aca="false">OperatingCurve!N239</f>
        <v>0</v>
      </c>
      <c r="I243" s="273"/>
      <c r="J243" s="284" t="n">
        <f aca="false">OperatingCurve!V268</f>
        <v>44044</v>
      </c>
      <c r="K243" s="285" t="n">
        <f aca="false">OperatingCurve!Z268</f>
        <v>0</v>
      </c>
      <c r="L243" s="285" t="n">
        <f aca="false">OperatingCurve!Y268</f>
        <v>0</v>
      </c>
      <c r="M243" s="285" t="n">
        <f aca="false">OperatingCurve!AA268</f>
        <v>0</v>
      </c>
      <c r="O243" s="285" t="n">
        <f aca="false">OperatingCurve!AE268</f>
        <v>0</v>
      </c>
      <c r="P243" s="285" t="n">
        <f aca="false">OperatingCurve!AD268</f>
        <v>0</v>
      </c>
      <c r="Q243" s="285" t="n">
        <f aca="false">OperatingCurve!AF268</f>
        <v>0</v>
      </c>
      <c r="S243" s="285" t="n">
        <f aca="false">OperatingCurve!AJ268</f>
        <v>0</v>
      </c>
      <c r="T243" s="285" t="n">
        <f aca="false">OperatingCurve!AI268</f>
        <v>0</v>
      </c>
      <c r="U243" s="285" t="n">
        <f aca="false">OperatingCurve!AK268</f>
        <v>0</v>
      </c>
      <c r="W243" s="285" t="n">
        <f aca="false">OperatingCurve!AO268</f>
        <v>0.153</v>
      </c>
      <c r="X243" s="285" t="n">
        <f aca="false">OperatingCurve!AN268</f>
        <v>0.34</v>
      </c>
      <c r="Y243" s="285" t="n">
        <f aca="false">OperatingCurve!AP268</f>
        <v>0.425</v>
      </c>
      <c r="AA243" s="285" t="n">
        <f aca="false">OperatingCurve!AR268</f>
        <v>0.136</v>
      </c>
      <c r="AB243" s="285" t="n">
        <f aca="false">OperatingCurve!AQ268</f>
        <v>0.34</v>
      </c>
      <c r="AC243" s="285" t="n">
        <f aca="false">OperatingCurve!AS268</f>
        <v>0.255</v>
      </c>
      <c r="AE243" s="285" t="n">
        <f aca="false">OperatingCurve!AU268</f>
        <v>-0.552146177512111</v>
      </c>
      <c r="AF243" s="285" t="n">
        <f aca="false">OperatingCurve!AT268</f>
        <v>8.83433884019377</v>
      </c>
      <c r="AG243" s="285" t="n">
        <f aca="false">OperatingCurve!AV268</f>
        <v>11.0429235502422</v>
      </c>
      <c r="AI243" s="285" t="n">
        <f aca="false">OperatingCurve!AX268</f>
        <v>-0.596925</v>
      </c>
      <c r="AJ243" s="285" t="n">
        <f aca="false">OperatingCurve!AW268</f>
        <v>9.5508</v>
      </c>
      <c r="AK243" s="285" t="n">
        <f aca="false">OperatingCurve!AY268</f>
        <v>11.9385</v>
      </c>
      <c r="AM243" s="286" t="n">
        <f aca="false">OperatingCurve!AL268</f>
        <v>74</v>
      </c>
      <c r="AN243" s="287" t="n">
        <f aca="false">OperatingCurve!AM268</f>
        <v>0.4</v>
      </c>
    </row>
    <row r="244" customFormat="false" ht="12.75" hidden="false" customHeight="false" outlineLevel="0" collapsed="false">
      <c r="A244" s="282" t="n">
        <f aca="false">OperatingCurve!D240</f>
        <v>43191</v>
      </c>
      <c r="B244" s="283" t="n">
        <f aca="false">OperatingCurve!H240</f>
        <v>24.576</v>
      </c>
      <c r="C244" s="283" t="n">
        <f aca="false">OperatingCurve!G240</f>
        <v>29.841</v>
      </c>
      <c r="D244" s="283" t="n">
        <f aca="false">OperatingCurve!I240</f>
        <v>64.721</v>
      </c>
      <c r="E244" s="278"/>
      <c r="F244" s="283" t="n">
        <f aca="false">OperatingCurve!M240</f>
        <v>0</v>
      </c>
      <c r="G244" s="283" t="n">
        <f aca="false">OperatingCurve!L240</f>
        <v>0</v>
      </c>
      <c r="H244" s="283" t="n">
        <f aca="false">OperatingCurve!N240</f>
        <v>0</v>
      </c>
      <c r="I244" s="273"/>
      <c r="J244" s="284" t="n">
        <f aca="false">OperatingCurve!V269</f>
        <v>44075</v>
      </c>
      <c r="K244" s="285" t="n">
        <f aca="false">OperatingCurve!Z269</f>
        <v>0</v>
      </c>
      <c r="L244" s="285" t="n">
        <f aca="false">OperatingCurve!Y269</f>
        <v>0</v>
      </c>
      <c r="M244" s="285" t="n">
        <f aca="false">OperatingCurve!AA269</f>
        <v>0</v>
      </c>
      <c r="O244" s="285" t="n">
        <f aca="false">OperatingCurve!AE269</f>
        <v>0</v>
      </c>
      <c r="P244" s="285" t="n">
        <f aca="false">OperatingCurve!AD269</f>
        <v>0</v>
      </c>
      <c r="Q244" s="285" t="n">
        <f aca="false">OperatingCurve!AF269</f>
        <v>0</v>
      </c>
      <c r="S244" s="285" t="n">
        <f aca="false">OperatingCurve!AJ269</f>
        <v>0</v>
      </c>
      <c r="T244" s="285" t="n">
        <f aca="false">OperatingCurve!AI269</f>
        <v>0</v>
      </c>
      <c r="U244" s="285" t="n">
        <f aca="false">OperatingCurve!AK269</f>
        <v>0</v>
      </c>
      <c r="W244" s="285" t="n">
        <f aca="false">OperatingCurve!AO269</f>
        <v>0.153</v>
      </c>
      <c r="X244" s="285" t="n">
        <f aca="false">OperatingCurve!AN269</f>
        <v>0.34</v>
      </c>
      <c r="Y244" s="285" t="n">
        <f aca="false">OperatingCurve!AP269</f>
        <v>0.425</v>
      </c>
      <c r="AA244" s="285" t="n">
        <f aca="false">OperatingCurve!AR269</f>
        <v>0.136</v>
      </c>
      <c r="AB244" s="285" t="n">
        <f aca="false">OperatingCurve!AQ269</f>
        <v>0.34</v>
      </c>
      <c r="AC244" s="285" t="n">
        <f aca="false">OperatingCurve!AS269</f>
        <v>0.255</v>
      </c>
      <c r="AE244" s="285" t="n">
        <f aca="false">OperatingCurve!AU269</f>
        <v>-0.455637578174882</v>
      </c>
      <c r="AF244" s="285" t="n">
        <f aca="false">OperatingCurve!AT269</f>
        <v>7.29020125079811</v>
      </c>
      <c r="AG244" s="285" t="n">
        <f aca="false">OperatingCurve!AV269</f>
        <v>9.11275156349763</v>
      </c>
      <c r="AI244" s="285" t="n">
        <f aca="false">OperatingCurve!AX269</f>
        <v>-0.63225</v>
      </c>
      <c r="AJ244" s="285" t="n">
        <f aca="false">OperatingCurve!AW269</f>
        <v>10.116</v>
      </c>
      <c r="AK244" s="285" t="n">
        <f aca="false">OperatingCurve!AY269</f>
        <v>12.645</v>
      </c>
      <c r="AM244" s="286" t="n">
        <f aca="false">OperatingCurve!AL269</f>
        <v>74</v>
      </c>
      <c r="AN244" s="287" t="n">
        <f aca="false">OperatingCurve!AM269</f>
        <v>0.4</v>
      </c>
    </row>
    <row r="245" customFormat="false" ht="12.75" hidden="false" customHeight="false" outlineLevel="0" collapsed="false">
      <c r="A245" s="282" t="n">
        <f aca="false">OperatingCurve!D241</f>
        <v>43221</v>
      </c>
      <c r="B245" s="283" t="n">
        <f aca="false">OperatingCurve!H241</f>
        <v>27.729</v>
      </c>
      <c r="C245" s="283" t="n">
        <f aca="false">OperatingCurve!G241</f>
        <v>33.024</v>
      </c>
      <c r="D245" s="283" t="n">
        <f aca="false">OperatingCurve!I241</f>
        <v>68.096</v>
      </c>
      <c r="E245" s="278"/>
      <c r="F245" s="283" t="n">
        <f aca="false">OperatingCurve!M241</f>
        <v>0</v>
      </c>
      <c r="G245" s="283" t="n">
        <f aca="false">OperatingCurve!L241</f>
        <v>0</v>
      </c>
      <c r="H245" s="283" t="n">
        <f aca="false">OperatingCurve!N241</f>
        <v>0</v>
      </c>
      <c r="I245" s="273"/>
      <c r="J245" s="284" t="n">
        <f aca="false">OperatingCurve!V270</f>
        <v>44105</v>
      </c>
      <c r="K245" s="285" t="n">
        <f aca="false">OperatingCurve!Z270</f>
        <v>0</v>
      </c>
      <c r="L245" s="285" t="n">
        <f aca="false">OperatingCurve!Y270</f>
        <v>0</v>
      </c>
      <c r="M245" s="285" t="n">
        <f aca="false">OperatingCurve!AA270</f>
        <v>0</v>
      </c>
      <c r="O245" s="285" t="n">
        <f aca="false">OperatingCurve!AE270</f>
        <v>0</v>
      </c>
      <c r="P245" s="285" t="n">
        <f aca="false">OperatingCurve!AD270</f>
        <v>0</v>
      </c>
      <c r="Q245" s="285" t="n">
        <f aca="false">OperatingCurve!AF270</f>
        <v>0</v>
      </c>
      <c r="S245" s="285" t="n">
        <f aca="false">OperatingCurve!AJ270</f>
        <v>0</v>
      </c>
      <c r="T245" s="285" t="n">
        <f aca="false">OperatingCurve!AI270</f>
        <v>0</v>
      </c>
      <c r="U245" s="285" t="n">
        <f aca="false">OperatingCurve!AK270</f>
        <v>0</v>
      </c>
      <c r="W245" s="285" t="n">
        <f aca="false">OperatingCurve!AO270</f>
        <v>0.153</v>
      </c>
      <c r="X245" s="285" t="n">
        <f aca="false">OperatingCurve!AN270</f>
        <v>0.34</v>
      </c>
      <c r="Y245" s="285" t="n">
        <f aca="false">OperatingCurve!AP270</f>
        <v>0.425</v>
      </c>
      <c r="AA245" s="285" t="n">
        <f aca="false">OperatingCurve!AR270</f>
        <v>0.136</v>
      </c>
      <c r="AB245" s="285" t="n">
        <f aca="false">OperatingCurve!AQ270</f>
        <v>0.34</v>
      </c>
      <c r="AC245" s="285" t="n">
        <f aca="false">OperatingCurve!AS270</f>
        <v>0.255</v>
      </c>
      <c r="AE245" s="285" t="n">
        <f aca="false">OperatingCurve!AU270</f>
        <v>-0.484735205974953</v>
      </c>
      <c r="AF245" s="285" t="n">
        <f aca="false">OperatingCurve!AT270</f>
        <v>7.75576329559925</v>
      </c>
      <c r="AG245" s="285" t="n">
        <f aca="false">OperatingCurve!AV270</f>
        <v>9.69470411949907</v>
      </c>
      <c r="AI245" s="285" t="n">
        <f aca="false">OperatingCurve!AX270</f>
        <v>-0.620475</v>
      </c>
      <c r="AJ245" s="285" t="n">
        <f aca="false">OperatingCurve!AW270</f>
        <v>9.9276</v>
      </c>
      <c r="AK245" s="285" t="n">
        <f aca="false">OperatingCurve!AY270</f>
        <v>12.4095</v>
      </c>
      <c r="AM245" s="286" t="n">
        <f aca="false">OperatingCurve!AL270</f>
        <v>74</v>
      </c>
      <c r="AN245" s="287" t="n">
        <f aca="false">OperatingCurve!AM270</f>
        <v>0.4</v>
      </c>
    </row>
    <row r="246" customFormat="false" ht="12.75" hidden="false" customHeight="false" outlineLevel="0" collapsed="false">
      <c r="A246" s="282" t="n">
        <f aca="false">OperatingCurve!D242</f>
        <v>43252</v>
      </c>
      <c r="B246" s="283" t="n">
        <f aca="false">OperatingCurve!H242</f>
        <v>35.156</v>
      </c>
      <c r="C246" s="283" t="n">
        <f aca="false">OperatingCurve!G242</f>
        <v>40.521</v>
      </c>
      <c r="D246" s="283" t="n">
        <f aca="false">OperatingCurve!I242</f>
        <v>76.041</v>
      </c>
      <c r="E246" s="293"/>
      <c r="F246" s="283" t="n">
        <f aca="false">OperatingCurve!M242</f>
        <v>0</v>
      </c>
      <c r="G246" s="283" t="n">
        <f aca="false">OperatingCurve!L242</f>
        <v>0</v>
      </c>
      <c r="H246" s="283" t="n">
        <f aca="false">OperatingCurve!N242</f>
        <v>0</v>
      </c>
      <c r="I246" s="273"/>
      <c r="J246" s="284" t="n">
        <f aca="false">OperatingCurve!V271</f>
        <v>44136</v>
      </c>
      <c r="K246" s="285" t="n">
        <f aca="false">OperatingCurve!Z271</f>
        <v>0</v>
      </c>
      <c r="L246" s="285" t="n">
        <f aca="false">OperatingCurve!Y271</f>
        <v>0</v>
      </c>
      <c r="M246" s="285" t="n">
        <f aca="false">OperatingCurve!AA271</f>
        <v>0</v>
      </c>
      <c r="O246" s="285" t="n">
        <f aca="false">OperatingCurve!AE271</f>
        <v>0</v>
      </c>
      <c r="P246" s="285" t="n">
        <f aca="false">OperatingCurve!AD271</f>
        <v>0</v>
      </c>
      <c r="Q246" s="285" t="n">
        <f aca="false">OperatingCurve!AF271</f>
        <v>0</v>
      </c>
      <c r="S246" s="285" t="n">
        <f aca="false">OperatingCurve!AJ271</f>
        <v>0</v>
      </c>
      <c r="T246" s="285" t="n">
        <f aca="false">OperatingCurve!AI271</f>
        <v>0</v>
      </c>
      <c r="U246" s="285" t="n">
        <f aca="false">OperatingCurve!AK271</f>
        <v>0</v>
      </c>
      <c r="W246" s="285" t="n">
        <f aca="false">OperatingCurve!AO271</f>
        <v>0.153</v>
      </c>
      <c r="X246" s="285" t="n">
        <f aca="false">OperatingCurve!AN271</f>
        <v>0.34</v>
      </c>
      <c r="Y246" s="285" t="n">
        <f aca="false">OperatingCurve!AP271</f>
        <v>0.425</v>
      </c>
      <c r="AA246" s="285" t="n">
        <f aca="false">OperatingCurve!AR271</f>
        <v>0.136</v>
      </c>
      <c r="AB246" s="285" t="n">
        <f aca="false">OperatingCurve!AQ271</f>
        <v>0.34</v>
      </c>
      <c r="AC246" s="285" t="n">
        <f aca="false">OperatingCurve!AS271</f>
        <v>0.255</v>
      </c>
      <c r="AE246" s="285" t="n">
        <f aca="false">OperatingCurve!AU271</f>
        <v>-0.410147476715089</v>
      </c>
      <c r="AF246" s="285" t="n">
        <f aca="false">OperatingCurve!AT271</f>
        <v>6.56235962744143</v>
      </c>
      <c r="AG246" s="285" t="n">
        <f aca="false">OperatingCurve!AV271</f>
        <v>8.20294953430178</v>
      </c>
      <c r="AI246" s="285" t="n">
        <f aca="false">OperatingCurve!AX271</f>
        <v>-0.6558</v>
      </c>
      <c r="AJ246" s="285" t="n">
        <f aca="false">OperatingCurve!AW271</f>
        <v>10.4928</v>
      </c>
      <c r="AK246" s="285" t="n">
        <f aca="false">OperatingCurve!AY271</f>
        <v>13.116</v>
      </c>
      <c r="AM246" s="286" t="n">
        <f aca="false">OperatingCurve!AL271</f>
        <v>74</v>
      </c>
      <c r="AN246" s="287" t="n">
        <f aca="false">OperatingCurve!AM271</f>
        <v>0.4</v>
      </c>
    </row>
    <row r="247" customFormat="false" ht="12.75" hidden="false" customHeight="false" outlineLevel="0" collapsed="false">
      <c r="A247" s="282" t="n">
        <f aca="false">OperatingCurve!D243</f>
        <v>43282</v>
      </c>
      <c r="B247" s="283" t="n">
        <f aca="false">OperatingCurve!H243</f>
        <v>35.156</v>
      </c>
      <c r="C247" s="283" t="n">
        <f aca="false">OperatingCurve!G243</f>
        <v>40.521</v>
      </c>
      <c r="D247" s="283" t="n">
        <f aca="false">OperatingCurve!I243</f>
        <v>76.041</v>
      </c>
      <c r="E247" s="293"/>
      <c r="F247" s="283" t="n">
        <f aca="false">OperatingCurve!M243</f>
        <v>0</v>
      </c>
      <c r="G247" s="283" t="n">
        <f aca="false">OperatingCurve!L243</f>
        <v>0</v>
      </c>
      <c r="H247" s="283" t="n">
        <f aca="false">OperatingCurve!N243</f>
        <v>0</v>
      </c>
      <c r="I247" s="273"/>
      <c r="J247" s="284" t="n">
        <f aca="false">OperatingCurve!V272</f>
        <v>44166</v>
      </c>
      <c r="K247" s="285" t="n">
        <f aca="false">OperatingCurve!Z272</f>
        <v>0</v>
      </c>
      <c r="L247" s="285" t="n">
        <f aca="false">OperatingCurve!Y272</f>
        <v>0</v>
      </c>
      <c r="M247" s="285" t="n">
        <f aca="false">OperatingCurve!AA272</f>
        <v>0</v>
      </c>
      <c r="O247" s="285" t="n">
        <f aca="false">OperatingCurve!AE272</f>
        <v>0</v>
      </c>
      <c r="P247" s="285" t="n">
        <f aca="false">OperatingCurve!AD272</f>
        <v>0</v>
      </c>
      <c r="Q247" s="285" t="n">
        <f aca="false">OperatingCurve!AF272</f>
        <v>0</v>
      </c>
      <c r="S247" s="285" t="n">
        <f aca="false">OperatingCurve!AJ272</f>
        <v>0</v>
      </c>
      <c r="T247" s="285" t="n">
        <f aca="false">OperatingCurve!AI272</f>
        <v>0</v>
      </c>
      <c r="U247" s="285" t="n">
        <f aca="false">OperatingCurve!AK272</f>
        <v>0</v>
      </c>
      <c r="W247" s="285" t="n">
        <f aca="false">OperatingCurve!AO272</f>
        <v>0.153</v>
      </c>
      <c r="X247" s="285" t="n">
        <f aca="false">OperatingCurve!AN272</f>
        <v>0.34</v>
      </c>
      <c r="Y247" s="285" t="n">
        <f aca="false">OperatingCurve!AP272</f>
        <v>0.425</v>
      </c>
      <c r="AA247" s="285" t="n">
        <f aca="false">OperatingCurve!AR272</f>
        <v>0.136</v>
      </c>
      <c r="AB247" s="285" t="n">
        <f aca="false">OperatingCurve!AQ272</f>
        <v>0.34</v>
      </c>
      <c r="AC247" s="285" t="n">
        <f aca="false">OperatingCurve!AS272</f>
        <v>0.255</v>
      </c>
      <c r="AE247" s="285" t="n">
        <f aca="false">OperatingCurve!AU272</f>
        <v>-0.419655399211954</v>
      </c>
      <c r="AF247" s="285" t="n">
        <f aca="false">OperatingCurve!AT272</f>
        <v>6.71448638739126</v>
      </c>
      <c r="AG247" s="285" t="n">
        <f aca="false">OperatingCurve!AV272</f>
        <v>8.39310798423907</v>
      </c>
      <c r="AI247" s="285" t="n">
        <f aca="false">OperatingCurve!AX272</f>
        <v>-0.667575</v>
      </c>
      <c r="AJ247" s="285" t="n">
        <f aca="false">OperatingCurve!AW272</f>
        <v>10.6812</v>
      </c>
      <c r="AK247" s="285" t="n">
        <f aca="false">OperatingCurve!AY272</f>
        <v>13.3515</v>
      </c>
      <c r="AM247" s="286" t="n">
        <f aca="false">OperatingCurve!AL272</f>
        <v>74</v>
      </c>
      <c r="AN247" s="287" t="n">
        <f aca="false">OperatingCurve!AM272</f>
        <v>0.4</v>
      </c>
    </row>
    <row r="248" customFormat="false" ht="12.75" hidden="false" customHeight="false" outlineLevel="0" collapsed="false">
      <c r="A248" s="282" t="n">
        <f aca="false">OperatingCurve!D244</f>
        <v>43313</v>
      </c>
      <c r="B248" s="283" t="n">
        <f aca="false">OperatingCurve!H244</f>
        <v>37.296</v>
      </c>
      <c r="C248" s="283" t="n">
        <f aca="false">OperatingCurve!G244</f>
        <v>42.681</v>
      </c>
      <c r="D248" s="283" t="n">
        <f aca="false">OperatingCurve!I244</f>
        <v>78.329</v>
      </c>
      <c r="E248" s="293"/>
      <c r="F248" s="283" t="n">
        <f aca="false">OperatingCurve!M244</f>
        <v>0</v>
      </c>
      <c r="G248" s="283" t="n">
        <f aca="false">OperatingCurve!L244</f>
        <v>0</v>
      </c>
      <c r="H248" s="283" t="n">
        <f aca="false">OperatingCurve!N244</f>
        <v>0</v>
      </c>
      <c r="I248" s="273"/>
      <c r="J248" s="284" t="n">
        <f aca="false">OperatingCurve!V273</f>
        <v>44197</v>
      </c>
      <c r="K248" s="285" t="n">
        <f aca="false">OperatingCurve!Z273</f>
        <v>0</v>
      </c>
      <c r="L248" s="285" t="n">
        <f aca="false">OperatingCurve!Y273</f>
        <v>0</v>
      </c>
      <c r="M248" s="285" t="n">
        <f aca="false">OperatingCurve!AA273</f>
        <v>0</v>
      </c>
      <c r="O248" s="285" t="n">
        <f aca="false">OperatingCurve!AE273</f>
        <v>0</v>
      </c>
      <c r="P248" s="285" t="n">
        <f aca="false">OperatingCurve!AD273</f>
        <v>0</v>
      </c>
      <c r="Q248" s="285" t="n">
        <f aca="false">OperatingCurve!AF273</f>
        <v>0</v>
      </c>
      <c r="S248" s="285" t="n">
        <f aca="false">OperatingCurve!AJ273</f>
        <v>0</v>
      </c>
      <c r="T248" s="285" t="n">
        <f aca="false">OperatingCurve!AI273</f>
        <v>0</v>
      </c>
      <c r="U248" s="285" t="n">
        <f aca="false">OperatingCurve!AK273</f>
        <v>0</v>
      </c>
      <c r="W248" s="285" t="n">
        <f aca="false">OperatingCurve!AO273</f>
        <v>0</v>
      </c>
      <c r="X248" s="285" t="n">
        <f aca="false">OperatingCurve!AN273</f>
        <v>0</v>
      </c>
      <c r="Y248" s="285" t="n">
        <f aca="false">OperatingCurve!AP273</f>
        <v>0</v>
      </c>
      <c r="AA248" s="285" t="n">
        <f aca="false">OperatingCurve!AR273</f>
        <v>0</v>
      </c>
      <c r="AB248" s="285" t="n">
        <f aca="false">OperatingCurve!AQ273</f>
        <v>0</v>
      </c>
      <c r="AC248" s="285" t="n">
        <f aca="false">OperatingCurve!AS273</f>
        <v>0</v>
      </c>
      <c r="AE248" s="285" t="n">
        <f aca="false">OperatingCurve!AU273</f>
        <v>-0.43048858158097</v>
      </c>
      <c r="AF248" s="285" t="n">
        <f aca="false">OperatingCurve!AT273</f>
        <v>6.88781730529552</v>
      </c>
      <c r="AG248" s="285" t="n">
        <f aca="false">OperatingCurve!AV273</f>
        <v>8.60977163161941</v>
      </c>
      <c r="AI248" s="285" t="n">
        <f aca="false">OperatingCurve!AX273</f>
        <v>-0.6558</v>
      </c>
      <c r="AJ248" s="285" t="n">
        <f aca="false">OperatingCurve!AW273</f>
        <v>10.4928</v>
      </c>
      <c r="AK248" s="285" t="n">
        <f aca="false">OperatingCurve!AY273</f>
        <v>13.116</v>
      </c>
      <c r="AM248" s="286" t="n">
        <f aca="false">OperatingCurve!AL273</f>
        <v>74</v>
      </c>
      <c r="AN248" s="287" t="n">
        <f aca="false">OperatingCurve!AM273</f>
        <v>0.4</v>
      </c>
    </row>
    <row r="249" customFormat="false" ht="12.75" hidden="false" customHeight="false" outlineLevel="0" collapsed="false">
      <c r="A249" s="282" t="n">
        <f aca="false">OperatingCurve!D245</f>
        <v>43344</v>
      </c>
      <c r="B249" s="283" t="n">
        <f aca="false">OperatingCurve!H245</f>
        <v>30.9</v>
      </c>
      <c r="C249" s="283" t="n">
        <f aca="false">OperatingCurve!G245</f>
        <v>36.225</v>
      </c>
      <c r="D249" s="283" t="n">
        <f aca="false">OperatingCurve!I245</f>
        <v>71.489</v>
      </c>
      <c r="E249" s="293"/>
      <c r="F249" s="283" t="n">
        <f aca="false">OperatingCurve!M245</f>
        <v>0</v>
      </c>
      <c r="G249" s="283" t="n">
        <f aca="false">OperatingCurve!L245</f>
        <v>0</v>
      </c>
      <c r="H249" s="283" t="n">
        <f aca="false">OperatingCurve!N245</f>
        <v>0</v>
      </c>
      <c r="I249" s="273"/>
      <c r="J249" s="284" t="n">
        <f aca="false">OperatingCurve!V274</f>
        <v>44228</v>
      </c>
      <c r="K249" s="285" t="n">
        <f aca="false">OperatingCurve!Z274</f>
        <v>0</v>
      </c>
      <c r="L249" s="285" t="n">
        <f aca="false">OperatingCurve!Y274</f>
        <v>0</v>
      </c>
      <c r="M249" s="285" t="n">
        <f aca="false">OperatingCurve!AA274</f>
        <v>0</v>
      </c>
      <c r="O249" s="285" t="n">
        <f aca="false">OperatingCurve!AE274</f>
        <v>0</v>
      </c>
      <c r="P249" s="285" t="n">
        <f aca="false">OperatingCurve!AD274</f>
        <v>0</v>
      </c>
      <c r="Q249" s="285" t="n">
        <f aca="false">OperatingCurve!AF274</f>
        <v>0</v>
      </c>
      <c r="S249" s="285" t="n">
        <f aca="false">OperatingCurve!AJ274</f>
        <v>0</v>
      </c>
      <c r="T249" s="285" t="n">
        <f aca="false">OperatingCurve!AI274</f>
        <v>0</v>
      </c>
      <c r="U249" s="285" t="n">
        <f aca="false">OperatingCurve!AK274</f>
        <v>0</v>
      </c>
      <c r="W249" s="285" t="n">
        <f aca="false">OperatingCurve!AO274</f>
        <v>0</v>
      </c>
      <c r="X249" s="285" t="n">
        <f aca="false">OperatingCurve!AN274</f>
        <v>0</v>
      </c>
      <c r="Y249" s="285" t="n">
        <f aca="false">OperatingCurve!AP274</f>
        <v>0</v>
      </c>
      <c r="AA249" s="285" t="n">
        <f aca="false">OperatingCurve!AR274</f>
        <v>0</v>
      </c>
      <c r="AB249" s="285" t="n">
        <f aca="false">OperatingCurve!AQ274</f>
        <v>0</v>
      </c>
      <c r="AC249" s="285" t="n">
        <f aca="false">OperatingCurve!AS274</f>
        <v>0</v>
      </c>
      <c r="AE249" s="285" t="n">
        <f aca="false">OperatingCurve!AU274</f>
        <v>-0.402107379613998</v>
      </c>
      <c r="AF249" s="285" t="n">
        <f aca="false">OperatingCurve!AT274</f>
        <v>6.43371807382396</v>
      </c>
      <c r="AG249" s="285" t="n">
        <f aca="false">OperatingCurve!AV274</f>
        <v>8.04214759227995</v>
      </c>
      <c r="AI249" s="285" t="n">
        <f aca="false">OperatingCurve!AX274</f>
        <v>-0.6616875</v>
      </c>
      <c r="AJ249" s="285" t="n">
        <f aca="false">OperatingCurve!AW274</f>
        <v>10.587</v>
      </c>
      <c r="AK249" s="285" t="n">
        <f aca="false">OperatingCurve!AY274</f>
        <v>13.23375</v>
      </c>
      <c r="AM249" s="286" t="n">
        <f aca="false">OperatingCurve!AL274</f>
        <v>74</v>
      </c>
      <c r="AN249" s="287" t="n">
        <f aca="false">OperatingCurve!AM274</f>
        <v>0.4</v>
      </c>
    </row>
    <row r="250" customFormat="false" ht="12.75" hidden="false" customHeight="false" outlineLevel="0" collapsed="false">
      <c r="A250" s="282" t="n">
        <f aca="false">OperatingCurve!D246</f>
        <v>43374</v>
      </c>
      <c r="B250" s="283" t="n">
        <f aca="false">OperatingCurve!H246</f>
        <v>33.024</v>
      </c>
      <c r="C250" s="283" t="n">
        <f aca="false">OperatingCurve!G246</f>
        <v>38.369</v>
      </c>
      <c r="D250" s="283" t="n">
        <f aca="false">OperatingCurve!I246</f>
        <v>73.761</v>
      </c>
      <c r="E250" s="293"/>
      <c r="F250" s="283" t="n">
        <f aca="false">OperatingCurve!M246</f>
        <v>0</v>
      </c>
      <c r="G250" s="283" t="n">
        <f aca="false">OperatingCurve!L246</f>
        <v>0</v>
      </c>
      <c r="H250" s="283" t="n">
        <f aca="false">OperatingCurve!N246</f>
        <v>0</v>
      </c>
      <c r="I250" s="273"/>
      <c r="J250" s="284" t="n">
        <f aca="false">OperatingCurve!V275</f>
        <v>44256</v>
      </c>
      <c r="K250" s="285" t="n">
        <f aca="false">OperatingCurve!Z275</f>
        <v>0</v>
      </c>
      <c r="L250" s="285" t="n">
        <f aca="false">OperatingCurve!Y275</f>
        <v>0</v>
      </c>
      <c r="M250" s="285" t="n">
        <f aca="false">OperatingCurve!AA275</f>
        <v>0</v>
      </c>
      <c r="O250" s="285" t="n">
        <f aca="false">OperatingCurve!AE275</f>
        <v>0</v>
      </c>
      <c r="P250" s="285" t="n">
        <f aca="false">OperatingCurve!AD275</f>
        <v>0</v>
      </c>
      <c r="Q250" s="285" t="n">
        <f aca="false">OperatingCurve!AF275</f>
        <v>0</v>
      </c>
      <c r="S250" s="285" t="n">
        <f aca="false">OperatingCurve!AJ275</f>
        <v>0</v>
      </c>
      <c r="T250" s="285" t="n">
        <f aca="false">OperatingCurve!AI275</f>
        <v>0</v>
      </c>
      <c r="U250" s="285" t="n">
        <f aca="false">OperatingCurve!AK275</f>
        <v>0</v>
      </c>
      <c r="W250" s="285" t="n">
        <f aca="false">OperatingCurve!AO275</f>
        <v>0</v>
      </c>
      <c r="X250" s="285" t="n">
        <f aca="false">OperatingCurve!AN275</f>
        <v>0</v>
      </c>
      <c r="Y250" s="285" t="n">
        <f aca="false">OperatingCurve!AP275</f>
        <v>0</v>
      </c>
      <c r="AA250" s="285" t="n">
        <f aca="false">OperatingCurve!AR275</f>
        <v>0</v>
      </c>
      <c r="AB250" s="285" t="n">
        <f aca="false">OperatingCurve!AQ275</f>
        <v>0</v>
      </c>
      <c r="AC250" s="285" t="n">
        <f aca="false">OperatingCurve!AS275</f>
        <v>0</v>
      </c>
      <c r="AE250" s="285" t="n">
        <f aca="false">OperatingCurve!AU275</f>
        <v>-0.395696014851329</v>
      </c>
      <c r="AF250" s="285" t="n">
        <f aca="false">OperatingCurve!AT275</f>
        <v>6.33113623762127</v>
      </c>
      <c r="AG250" s="285" t="n">
        <f aca="false">OperatingCurve!AV275</f>
        <v>7.91392029702658</v>
      </c>
      <c r="AI250" s="285" t="n">
        <f aca="false">OperatingCurve!AX275</f>
        <v>-0.667575</v>
      </c>
      <c r="AJ250" s="285" t="n">
        <f aca="false">OperatingCurve!AW275</f>
        <v>10.6812</v>
      </c>
      <c r="AK250" s="285" t="n">
        <f aca="false">OperatingCurve!AY275</f>
        <v>13.3515</v>
      </c>
      <c r="AM250" s="286" t="n">
        <f aca="false">OperatingCurve!AL275</f>
        <v>74</v>
      </c>
      <c r="AN250" s="287" t="n">
        <f aca="false">OperatingCurve!AM275</f>
        <v>0.4</v>
      </c>
    </row>
    <row r="251" customFormat="false" ht="12.75" hidden="false" customHeight="false" outlineLevel="0" collapsed="false">
      <c r="A251" s="282" t="n">
        <f aca="false">OperatingCurve!D247</f>
        <v>43405</v>
      </c>
      <c r="B251" s="283" t="n">
        <f aca="false">OperatingCurve!H247</f>
        <v>26.676</v>
      </c>
      <c r="C251" s="283" t="n">
        <f aca="false">OperatingCurve!G247</f>
        <v>31.961</v>
      </c>
      <c r="D251" s="283" t="n">
        <f aca="false">OperatingCurve!I247</f>
        <v>66.969</v>
      </c>
      <c r="E251" s="293"/>
      <c r="F251" s="283" t="n">
        <f aca="false">OperatingCurve!M247</f>
        <v>0</v>
      </c>
      <c r="G251" s="283" t="n">
        <f aca="false">OperatingCurve!L247</f>
        <v>0</v>
      </c>
      <c r="H251" s="283" t="n">
        <f aca="false">OperatingCurve!N247</f>
        <v>0</v>
      </c>
      <c r="I251" s="273"/>
      <c r="J251" s="284" t="n">
        <f aca="false">OperatingCurve!V276</f>
        <v>44287</v>
      </c>
      <c r="K251" s="285" t="n">
        <f aca="false">OperatingCurve!Z276</f>
        <v>0</v>
      </c>
      <c r="L251" s="285" t="n">
        <f aca="false">OperatingCurve!Y276</f>
        <v>0</v>
      </c>
      <c r="M251" s="285" t="n">
        <f aca="false">OperatingCurve!AA276</f>
        <v>0</v>
      </c>
      <c r="O251" s="285" t="n">
        <f aca="false">OperatingCurve!AE276</f>
        <v>0</v>
      </c>
      <c r="P251" s="285" t="n">
        <f aca="false">OperatingCurve!AD276</f>
        <v>0</v>
      </c>
      <c r="Q251" s="285" t="n">
        <f aca="false">OperatingCurve!AF276</f>
        <v>0</v>
      </c>
      <c r="S251" s="285" t="n">
        <f aca="false">OperatingCurve!AJ276</f>
        <v>0</v>
      </c>
      <c r="T251" s="285" t="n">
        <f aca="false">OperatingCurve!AI276</f>
        <v>0</v>
      </c>
      <c r="U251" s="285" t="n">
        <f aca="false">OperatingCurve!AK276</f>
        <v>0</v>
      </c>
      <c r="W251" s="285" t="n">
        <f aca="false">OperatingCurve!AO276</f>
        <v>0</v>
      </c>
      <c r="X251" s="285" t="n">
        <f aca="false">OperatingCurve!AN276</f>
        <v>0</v>
      </c>
      <c r="Y251" s="285" t="n">
        <f aca="false">OperatingCurve!AP276</f>
        <v>0</v>
      </c>
      <c r="AA251" s="285" t="n">
        <f aca="false">OperatingCurve!AR276</f>
        <v>0</v>
      </c>
      <c r="AB251" s="285" t="n">
        <f aca="false">OperatingCurve!AQ276</f>
        <v>0</v>
      </c>
      <c r="AC251" s="285" t="n">
        <f aca="false">OperatingCurve!AS276</f>
        <v>0</v>
      </c>
      <c r="AE251" s="285" t="n">
        <f aca="false">OperatingCurve!AU276</f>
        <v>-0.395696014851329</v>
      </c>
      <c r="AF251" s="285" t="n">
        <f aca="false">OperatingCurve!AT276</f>
        <v>6.33113623762127</v>
      </c>
      <c r="AG251" s="285" t="n">
        <f aca="false">OperatingCurve!AV276</f>
        <v>7.91392029702658</v>
      </c>
      <c r="AI251" s="285" t="n">
        <f aca="false">OperatingCurve!AX276</f>
        <v>-0.667575</v>
      </c>
      <c r="AJ251" s="285" t="n">
        <f aca="false">OperatingCurve!AW276</f>
        <v>10.6812</v>
      </c>
      <c r="AK251" s="285" t="n">
        <f aca="false">OperatingCurve!AY276</f>
        <v>13.3515</v>
      </c>
      <c r="AM251" s="286" t="n">
        <f aca="false">OperatingCurve!AL276</f>
        <v>74</v>
      </c>
      <c r="AN251" s="287" t="n">
        <f aca="false">OperatingCurve!AM276</f>
        <v>0.4</v>
      </c>
    </row>
    <row r="252" customFormat="false" ht="12.75" hidden="false" customHeight="false" outlineLevel="0" collapsed="false">
      <c r="A252" s="282" t="n">
        <f aca="false">OperatingCurve!D248</f>
        <v>43435</v>
      </c>
      <c r="B252" s="283" t="n">
        <f aca="false">OperatingCurve!H248</f>
        <v>27.729</v>
      </c>
      <c r="C252" s="283" t="n">
        <f aca="false">OperatingCurve!G248</f>
        <v>33.024</v>
      </c>
      <c r="D252" s="283" t="n">
        <f aca="false">OperatingCurve!I248</f>
        <v>68.096</v>
      </c>
      <c r="E252" s="293"/>
      <c r="F252" s="283" t="n">
        <f aca="false">OperatingCurve!M248</f>
        <v>0</v>
      </c>
      <c r="G252" s="283" t="n">
        <f aca="false">OperatingCurve!L248</f>
        <v>0</v>
      </c>
      <c r="H252" s="283" t="n">
        <f aca="false">OperatingCurve!N248</f>
        <v>0</v>
      </c>
      <c r="I252" s="273"/>
      <c r="J252" s="284" t="n">
        <f aca="false">OperatingCurve!V277</f>
        <v>44317</v>
      </c>
      <c r="K252" s="285" t="n">
        <f aca="false">OperatingCurve!Z277</f>
        <v>0</v>
      </c>
      <c r="L252" s="285" t="n">
        <f aca="false">OperatingCurve!Y277</f>
        <v>0</v>
      </c>
      <c r="M252" s="285" t="n">
        <f aca="false">OperatingCurve!AA277</f>
        <v>0</v>
      </c>
      <c r="O252" s="285" t="n">
        <f aca="false">OperatingCurve!AE277</f>
        <v>0</v>
      </c>
      <c r="P252" s="285" t="n">
        <f aca="false">OperatingCurve!AD277</f>
        <v>0</v>
      </c>
      <c r="Q252" s="285" t="n">
        <f aca="false">OperatingCurve!AF277</f>
        <v>0</v>
      </c>
      <c r="S252" s="285" t="n">
        <f aca="false">OperatingCurve!AJ277</f>
        <v>0</v>
      </c>
      <c r="T252" s="285" t="n">
        <f aca="false">OperatingCurve!AI277</f>
        <v>0</v>
      </c>
      <c r="U252" s="285" t="n">
        <f aca="false">OperatingCurve!AK277</f>
        <v>0</v>
      </c>
      <c r="W252" s="285" t="n">
        <f aca="false">OperatingCurve!AO277</f>
        <v>0</v>
      </c>
      <c r="X252" s="285" t="n">
        <f aca="false">OperatingCurve!AN277</f>
        <v>0</v>
      </c>
      <c r="Y252" s="285" t="n">
        <f aca="false">OperatingCurve!AP277</f>
        <v>0</v>
      </c>
      <c r="AA252" s="285" t="n">
        <f aca="false">OperatingCurve!AR277</f>
        <v>0</v>
      </c>
      <c r="AB252" s="285" t="n">
        <f aca="false">OperatingCurve!AQ277</f>
        <v>0</v>
      </c>
      <c r="AC252" s="285" t="n">
        <f aca="false">OperatingCurve!AS277</f>
        <v>0</v>
      </c>
      <c r="AE252" s="285" t="n">
        <f aca="false">OperatingCurve!AU277</f>
        <v>-0.419655399211954</v>
      </c>
      <c r="AF252" s="285" t="n">
        <f aca="false">OperatingCurve!AT277</f>
        <v>6.71448638739126</v>
      </c>
      <c r="AG252" s="285" t="n">
        <f aca="false">OperatingCurve!AV277</f>
        <v>8.39310798423907</v>
      </c>
      <c r="AI252" s="285" t="n">
        <f aca="false">OperatingCurve!AX277</f>
        <v>-0.6499125</v>
      </c>
      <c r="AJ252" s="285" t="n">
        <f aca="false">OperatingCurve!AW277</f>
        <v>10.3986</v>
      </c>
      <c r="AK252" s="285" t="n">
        <f aca="false">OperatingCurve!AY277</f>
        <v>12.99825</v>
      </c>
      <c r="AM252" s="286" t="n">
        <f aca="false">OperatingCurve!AL277</f>
        <v>74</v>
      </c>
      <c r="AN252" s="287" t="n">
        <f aca="false">OperatingCurve!AM277</f>
        <v>0.4</v>
      </c>
    </row>
    <row r="253" customFormat="false" ht="12.75" hidden="false" customHeight="false" outlineLevel="0" collapsed="false">
      <c r="A253" s="282" t="n">
        <f aca="false">OperatingCurve!D249</f>
        <v>43466</v>
      </c>
      <c r="B253" s="283" t="n">
        <f aca="false">OperatingCurve!H249</f>
        <v>28.784</v>
      </c>
      <c r="C253" s="283" t="n">
        <f aca="false">OperatingCurve!G249</f>
        <v>34.089</v>
      </c>
      <c r="D253" s="283" t="n">
        <f aca="false">OperatingCurve!I249</f>
        <v>70.356</v>
      </c>
      <c r="E253" s="293"/>
      <c r="F253" s="283" t="n">
        <f aca="false">OperatingCurve!M249</f>
        <v>0</v>
      </c>
      <c r="G253" s="283" t="n">
        <f aca="false">OperatingCurve!L249</f>
        <v>0</v>
      </c>
      <c r="H253" s="283" t="n">
        <f aca="false">OperatingCurve!N249</f>
        <v>0</v>
      </c>
      <c r="I253" s="273"/>
      <c r="J253" s="284" t="n">
        <f aca="false">OperatingCurve!V278</f>
        <v>44348</v>
      </c>
      <c r="K253" s="285" t="n">
        <f aca="false">OperatingCurve!Z278</f>
        <v>0</v>
      </c>
      <c r="L253" s="285" t="n">
        <f aca="false">OperatingCurve!Y278</f>
        <v>0</v>
      </c>
      <c r="M253" s="285" t="n">
        <f aca="false">OperatingCurve!AA278</f>
        <v>0</v>
      </c>
      <c r="O253" s="285" t="n">
        <f aca="false">OperatingCurve!AE278</f>
        <v>0</v>
      </c>
      <c r="P253" s="285" t="n">
        <f aca="false">OperatingCurve!AD278</f>
        <v>0</v>
      </c>
      <c r="Q253" s="285" t="n">
        <f aca="false">OperatingCurve!AF278</f>
        <v>0</v>
      </c>
      <c r="S253" s="285" t="n">
        <f aca="false">OperatingCurve!AJ278</f>
        <v>0</v>
      </c>
      <c r="T253" s="285" t="n">
        <f aca="false">OperatingCurve!AI278</f>
        <v>0</v>
      </c>
      <c r="U253" s="285" t="n">
        <f aca="false">OperatingCurve!AK278</f>
        <v>0</v>
      </c>
      <c r="W253" s="285" t="n">
        <f aca="false">OperatingCurve!AO278</f>
        <v>0</v>
      </c>
      <c r="X253" s="285" t="n">
        <f aca="false">OperatingCurve!AN278</f>
        <v>0</v>
      </c>
      <c r="Y253" s="285" t="n">
        <f aca="false">OperatingCurve!AP278</f>
        <v>0</v>
      </c>
      <c r="AA253" s="285" t="n">
        <f aca="false">OperatingCurve!AR278</f>
        <v>0</v>
      </c>
      <c r="AB253" s="285" t="n">
        <f aca="false">OperatingCurve!AQ278</f>
        <v>0</v>
      </c>
      <c r="AC253" s="285" t="n">
        <f aca="false">OperatingCurve!AS278</f>
        <v>0</v>
      </c>
      <c r="AE253" s="285" t="n">
        <f aca="false">OperatingCurve!AU278</f>
        <v>-0.517091326059428</v>
      </c>
      <c r="AF253" s="285" t="n">
        <f aca="false">OperatingCurve!AT278</f>
        <v>8.27346121695085</v>
      </c>
      <c r="AG253" s="285" t="n">
        <f aca="false">OperatingCurve!AV278</f>
        <v>10.3418265211886</v>
      </c>
      <c r="AI253" s="285" t="n">
        <f aca="false">OperatingCurve!AX278</f>
        <v>-0.6087</v>
      </c>
      <c r="AJ253" s="285" t="n">
        <f aca="false">OperatingCurve!AW278</f>
        <v>9.7392</v>
      </c>
      <c r="AK253" s="285" t="n">
        <f aca="false">OperatingCurve!AY278</f>
        <v>12.174</v>
      </c>
      <c r="AM253" s="286" t="n">
        <f aca="false">OperatingCurve!AL278</f>
        <v>74</v>
      </c>
      <c r="AN253" s="287" t="n">
        <f aca="false">OperatingCurve!AM278</f>
        <v>0.4</v>
      </c>
    </row>
    <row r="254" customFormat="false" ht="12.75" hidden="false" customHeight="false" outlineLevel="0" collapsed="false">
      <c r="A254" s="282" t="n">
        <f aca="false">OperatingCurve!D250</f>
        <v>43497</v>
      </c>
      <c r="B254" s="283" t="n">
        <f aca="false">OperatingCurve!H250</f>
        <v>25.625</v>
      </c>
      <c r="C254" s="283" t="n">
        <f aca="false">OperatingCurve!G250</f>
        <v>30.9</v>
      </c>
      <c r="D254" s="283" t="n">
        <f aca="false">OperatingCurve!I250</f>
        <v>66.969</v>
      </c>
      <c r="E254" s="293"/>
      <c r="F254" s="283" t="n">
        <f aca="false">OperatingCurve!M250</f>
        <v>0</v>
      </c>
      <c r="G254" s="283" t="n">
        <f aca="false">OperatingCurve!L250</f>
        <v>0</v>
      </c>
      <c r="H254" s="283" t="n">
        <f aca="false">OperatingCurve!N250</f>
        <v>0</v>
      </c>
      <c r="I254" s="273"/>
      <c r="J254" s="284" t="n">
        <f aca="false">OperatingCurve!V279</f>
        <v>44378</v>
      </c>
      <c r="K254" s="285" t="n">
        <f aca="false">OperatingCurve!Z279</f>
        <v>0</v>
      </c>
      <c r="L254" s="285" t="n">
        <f aca="false">OperatingCurve!Y279</f>
        <v>0</v>
      </c>
      <c r="M254" s="285" t="n">
        <f aca="false">OperatingCurve!AA279</f>
        <v>0</v>
      </c>
      <c r="O254" s="285" t="n">
        <f aca="false">OperatingCurve!AE279</f>
        <v>0</v>
      </c>
      <c r="P254" s="285" t="n">
        <f aca="false">OperatingCurve!AD279</f>
        <v>0</v>
      </c>
      <c r="Q254" s="285" t="n">
        <f aca="false">OperatingCurve!AF279</f>
        <v>0</v>
      </c>
      <c r="S254" s="285" t="n">
        <f aca="false">OperatingCurve!AJ279</f>
        <v>0</v>
      </c>
      <c r="T254" s="285" t="n">
        <f aca="false">OperatingCurve!AI279</f>
        <v>0</v>
      </c>
      <c r="U254" s="285" t="n">
        <f aca="false">OperatingCurve!AK279</f>
        <v>0</v>
      </c>
      <c r="W254" s="285" t="n">
        <f aca="false">OperatingCurve!AO279</f>
        <v>0</v>
      </c>
      <c r="X254" s="285" t="n">
        <f aca="false">OperatingCurve!AN279</f>
        <v>0</v>
      </c>
      <c r="Y254" s="285" t="n">
        <f aca="false">OperatingCurve!AP279</f>
        <v>0</v>
      </c>
      <c r="AA254" s="285" t="n">
        <f aca="false">OperatingCurve!AR279</f>
        <v>0</v>
      </c>
      <c r="AB254" s="285" t="n">
        <f aca="false">OperatingCurve!AQ279</f>
        <v>0</v>
      </c>
      <c r="AC254" s="285" t="n">
        <f aca="false">OperatingCurve!AS279</f>
        <v>0</v>
      </c>
      <c r="AE254" s="285" t="n">
        <f aca="false">OperatingCurve!AU279</f>
        <v>-0.517091326059428</v>
      </c>
      <c r="AF254" s="285" t="n">
        <f aca="false">OperatingCurve!AT279</f>
        <v>8.27346121695085</v>
      </c>
      <c r="AG254" s="285" t="n">
        <f aca="false">OperatingCurve!AV279</f>
        <v>10.3418265211886</v>
      </c>
      <c r="AI254" s="285" t="n">
        <f aca="false">OperatingCurve!AX279</f>
        <v>-0.6087</v>
      </c>
      <c r="AJ254" s="285" t="n">
        <f aca="false">OperatingCurve!AW279</f>
        <v>9.7392</v>
      </c>
      <c r="AK254" s="285" t="n">
        <f aca="false">OperatingCurve!AY279</f>
        <v>12.174</v>
      </c>
      <c r="AM254" s="286" t="n">
        <f aca="false">OperatingCurve!AL279</f>
        <v>74</v>
      </c>
      <c r="AN254" s="287" t="n">
        <f aca="false">OperatingCurve!AM279</f>
        <v>0.4</v>
      </c>
    </row>
    <row r="255" customFormat="false" ht="12.75" hidden="false" customHeight="false" outlineLevel="0" collapsed="false">
      <c r="A255" s="282" t="n">
        <f aca="false">OperatingCurve!D251</f>
        <v>43525</v>
      </c>
      <c r="B255" s="283" t="n">
        <f aca="false">OperatingCurve!H251</f>
        <v>24.576</v>
      </c>
      <c r="C255" s="283" t="n">
        <f aca="false">OperatingCurve!G251</f>
        <v>29.841</v>
      </c>
      <c r="D255" s="283" t="n">
        <f aca="false">OperatingCurve!I251</f>
        <v>65.844</v>
      </c>
      <c r="E255" s="293"/>
      <c r="F255" s="283" t="n">
        <f aca="false">OperatingCurve!M251</f>
        <v>0</v>
      </c>
      <c r="G255" s="283" t="n">
        <f aca="false">OperatingCurve!L251</f>
        <v>0</v>
      </c>
      <c r="H255" s="283" t="n">
        <f aca="false">OperatingCurve!N251</f>
        <v>0</v>
      </c>
      <c r="I255" s="273"/>
      <c r="J255" s="284" t="n">
        <f aca="false">OperatingCurve!V280</f>
        <v>44409</v>
      </c>
      <c r="K255" s="285" t="n">
        <f aca="false">OperatingCurve!Z280</f>
        <v>0</v>
      </c>
      <c r="L255" s="285" t="n">
        <f aca="false">OperatingCurve!Y280</f>
        <v>0</v>
      </c>
      <c r="M255" s="285" t="n">
        <f aca="false">OperatingCurve!AA280</f>
        <v>0</v>
      </c>
      <c r="O255" s="285" t="n">
        <f aca="false">OperatingCurve!AE280</f>
        <v>0</v>
      </c>
      <c r="P255" s="285" t="n">
        <f aca="false">OperatingCurve!AD280</f>
        <v>0</v>
      </c>
      <c r="Q255" s="285" t="n">
        <f aca="false">OperatingCurve!AF280</f>
        <v>0</v>
      </c>
      <c r="S255" s="285" t="n">
        <f aca="false">OperatingCurve!AJ280</f>
        <v>0</v>
      </c>
      <c r="T255" s="285" t="n">
        <f aca="false">OperatingCurve!AI280</f>
        <v>0</v>
      </c>
      <c r="U255" s="285" t="n">
        <f aca="false">OperatingCurve!AK280</f>
        <v>0</v>
      </c>
      <c r="W255" s="285" t="n">
        <f aca="false">OperatingCurve!AO280</f>
        <v>0</v>
      </c>
      <c r="X255" s="285" t="n">
        <f aca="false">OperatingCurve!AN280</f>
        <v>0</v>
      </c>
      <c r="Y255" s="285" t="n">
        <f aca="false">OperatingCurve!AP280</f>
        <v>0</v>
      </c>
      <c r="AA255" s="285" t="n">
        <f aca="false">OperatingCurve!AR280</f>
        <v>0</v>
      </c>
      <c r="AB255" s="285" t="n">
        <f aca="false">OperatingCurve!AQ280</f>
        <v>0</v>
      </c>
      <c r="AC255" s="285" t="n">
        <f aca="false">OperatingCurve!AS280</f>
        <v>0</v>
      </c>
      <c r="AE255" s="285" t="n">
        <f aca="false">OperatingCurve!AU280</f>
        <v>-0.552146177512111</v>
      </c>
      <c r="AF255" s="285" t="n">
        <f aca="false">OperatingCurve!AT280</f>
        <v>8.83433884019377</v>
      </c>
      <c r="AG255" s="285" t="n">
        <f aca="false">OperatingCurve!AV280</f>
        <v>11.0429235502422</v>
      </c>
      <c r="AI255" s="285" t="n">
        <f aca="false">OperatingCurve!AX280</f>
        <v>-0.596925</v>
      </c>
      <c r="AJ255" s="285" t="n">
        <f aca="false">OperatingCurve!AW280</f>
        <v>9.5508</v>
      </c>
      <c r="AK255" s="285" t="n">
        <f aca="false">OperatingCurve!AY280</f>
        <v>11.9385</v>
      </c>
      <c r="AM255" s="286" t="n">
        <f aca="false">OperatingCurve!AL280</f>
        <v>74</v>
      </c>
      <c r="AN255" s="287" t="n">
        <f aca="false">OperatingCurve!AM280</f>
        <v>0.4</v>
      </c>
    </row>
    <row r="256" customFormat="false" ht="12.75" hidden="false" customHeight="false" outlineLevel="0" collapsed="false">
      <c r="A256" s="282" t="n">
        <f aca="false">OperatingCurve!D252</f>
        <v>43556</v>
      </c>
      <c r="B256" s="283" t="n">
        <f aca="false">OperatingCurve!H252</f>
        <v>24.576</v>
      </c>
      <c r="C256" s="283" t="n">
        <f aca="false">OperatingCurve!G252</f>
        <v>29.841</v>
      </c>
      <c r="D256" s="283" t="n">
        <f aca="false">OperatingCurve!I252</f>
        <v>65.844</v>
      </c>
      <c r="E256" s="293"/>
      <c r="F256" s="283" t="n">
        <f aca="false">OperatingCurve!M252</f>
        <v>0</v>
      </c>
      <c r="G256" s="283" t="n">
        <f aca="false">OperatingCurve!L252</f>
        <v>0</v>
      </c>
      <c r="H256" s="283" t="n">
        <f aca="false">OperatingCurve!N252</f>
        <v>0</v>
      </c>
      <c r="I256" s="273"/>
      <c r="J256" s="284" t="n">
        <f aca="false">OperatingCurve!V281</f>
        <v>44440</v>
      </c>
      <c r="K256" s="285" t="n">
        <f aca="false">OperatingCurve!Z281</f>
        <v>0</v>
      </c>
      <c r="L256" s="285" t="n">
        <f aca="false">OperatingCurve!Y281</f>
        <v>0</v>
      </c>
      <c r="M256" s="285" t="n">
        <f aca="false">OperatingCurve!AA281</f>
        <v>0</v>
      </c>
      <c r="O256" s="285" t="n">
        <f aca="false">OperatingCurve!AE281</f>
        <v>0</v>
      </c>
      <c r="P256" s="285" t="n">
        <f aca="false">OperatingCurve!AD281</f>
        <v>0</v>
      </c>
      <c r="Q256" s="285" t="n">
        <f aca="false">OperatingCurve!AF281</f>
        <v>0</v>
      </c>
      <c r="S256" s="285" t="n">
        <f aca="false">OperatingCurve!AJ281</f>
        <v>0</v>
      </c>
      <c r="T256" s="285" t="n">
        <f aca="false">OperatingCurve!AI281</f>
        <v>0</v>
      </c>
      <c r="U256" s="285" t="n">
        <f aca="false">OperatingCurve!AK281</f>
        <v>0</v>
      </c>
      <c r="W256" s="285" t="n">
        <f aca="false">OperatingCurve!AO281</f>
        <v>0</v>
      </c>
      <c r="X256" s="285" t="n">
        <f aca="false">OperatingCurve!AN281</f>
        <v>0</v>
      </c>
      <c r="Y256" s="285" t="n">
        <f aca="false">OperatingCurve!AP281</f>
        <v>0</v>
      </c>
      <c r="AA256" s="285" t="n">
        <f aca="false">OperatingCurve!AR281</f>
        <v>0</v>
      </c>
      <c r="AB256" s="285" t="n">
        <f aca="false">OperatingCurve!AQ281</f>
        <v>0</v>
      </c>
      <c r="AC256" s="285" t="n">
        <f aca="false">OperatingCurve!AS281</f>
        <v>0</v>
      </c>
      <c r="AE256" s="285" t="n">
        <f aca="false">OperatingCurve!AU281</f>
        <v>-0.455637578174882</v>
      </c>
      <c r="AF256" s="285" t="n">
        <f aca="false">OperatingCurve!AT281</f>
        <v>7.29020125079811</v>
      </c>
      <c r="AG256" s="285" t="n">
        <f aca="false">OperatingCurve!AV281</f>
        <v>9.11275156349763</v>
      </c>
      <c r="AI256" s="285" t="n">
        <f aca="false">OperatingCurve!AX281</f>
        <v>-0.63225</v>
      </c>
      <c r="AJ256" s="285" t="n">
        <f aca="false">OperatingCurve!AW281</f>
        <v>10.116</v>
      </c>
      <c r="AK256" s="285" t="n">
        <f aca="false">OperatingCurve!AY281</f>
        <v>12.645</v>
      </c>
      <c r="AM256" s="286" t="n">
        <f aca="false">OperatingCurve!AL281</f>
        <v>74</v>
      </c>
      <c r="AN256" s="287" t="n">
        <f aca="false">OperatingCurve!AM281</f>
        <v>0.4</v>
      </c>
    </row>
    <row r="257" customFormat="false" ht="12.75" hidden="false" customHeight="false" outlineLevel="0" collapsed="false">
      <c r="A257" s="282" t="n">
        <f aca="false">OperatingCurve!D253</f>
        <v>43586</v>
      </c>
      <c r="B257" s="283" t="n">
        <f aca="false">OperatingCurve!H253</f>
        <v>27.729</v>
      </c>
      <c r="C257" s="283" t="n">
        <f aca="false">OperatingCurve!G253</f>
        <v>33.024</v>
      </c>
      <c r="D257" s="283" t="n">
        <f aca="false">OperatingCurve!I253</f>
        <v>69.225</v>
      </c>
      <c r="E257" s="293"/>
      <c r="F257" s="283" t="n">
        <f aca="false">OperatingCurve!M253</f>
        <v>0</v>
      </c>
      <c r="G257" s="283" t="n">
        <f aca="false">OperatingCurve!L253</f>
        <v>0</v>
      </c>
      <c r="H257" s="283" t="n">
        <f aca="false">OperatingCurve!N253</f>
        <v>0</v>
      </c>
      <c r="I257" s="273"/>
      <c r="J257" s="284" t="n">
        <f aca="false">OperatingCurve!V282</f>
        <v>44470</v>
      </c>
      <c r="K257" s="285" t="n">
        <f aca="false">OperatingCurve!Z282</f>
        <v>0</v>
      </c>
      <c r="L257" s="285" t="n">
        <f aca="false">OperatingCurve!Y282</f>
        <v>0</v>
      </c>
      <c r="M257" s="285" t="n">
        <f aca="false">OperatingCurve!AA282</f>
        <v>0</v>
      </c>
      <c r="O257" s="285" t="n">
        <f aca="false">OperatingCurve!AE282</f>
        <v>0</v>
      </c>
      <c r="P257" s="285" t="n">
        <f aca="false">OperatingCurve!AD282</f>
        <v>0</v>
      </c>
      <c r="Q257" s="285" t="n">
        <f aca="false">OperatingCurve!AF282</f>
        <v>0</v>
      </c>
      <c r="S257" s="285" t="n">
        <f aca="false">OperatingCurve!AJ282</f>
        <v>0</v>
      </c>
      <c r="T257" s="285" t="n">
        <f aca="false">OperatingCurve!AI282</f>
        <v>0</v>
      </c>
      <c r="U257" s="285" t="n">
        <f aca="false">OperatingCurve!AK282</f>
        <v>0</v>
      </c>
      <c r="W257" s="285" t="n">
        <f aca="false">OperatingCurve!AO282</f>
        <v>0</v>
      </c>
      <c r="X257" s="285" t="n">
        <f aca="false">OperatingCurve!AN282</f>
        <v>0</v>
      </c>
      <c r="Y257" s="285" t="n">
        <f aca="false">OperatingCurve!AP282</f>
        <v>0</v>
      </c>
      <c r="AA257" s="285" t="n">
        <f aca="false">OperatingCurve!AR282</f>
        <v>0</v>
      </c>
      <c r="AB257" s="285" t="n">
        <f aca="false">OperatingCurve!AQ282</f>
        <v>0</v>
      </c>
      <c r="AC257" s="285" t="n">
        <f aca="false">OperatingCurve!AS282</f>
        <v>0</v>
      </c>
      <c r="AE257" s="285" t="n">
        <f aca="false">OperatingCurve!AU282</f>
        <v>-0.484735205974953</v>
      </c>
      <c r="AF257" s="285" t="n">
        <f aca="false">OperatingCurve!AT282</f>
        <v>7.75576329559925</v>
      </c>
      <c r="AG257" s="285" t="n">
        <f aca="false">OperatingCurve!AV282</f>
        <v>9.69470411949907</v>
      </c>
      <c r="AI257" s="285" t="n">
        <f aca="false">OperatingCurve!AX282</f>
        <v>-0.620475</v>
      </c>
      <c r="AJ257" s="285" t="n">
        <f aca="false">OperatingCurve!AW282</f>
        <v>9.9276</v>
      </c>
      <c r="AK257" s="285" t="n">
        <f aca="false">OperatingCurve!AY282</f>
        <v>12.4095</v>
      </c>
      <c r="AM257" s="286" t="n">
        <f aca="false">OperatingCurve!AL282</f>
        <v>74</v>
      </c>
      <c r="AN257" s="287" t="n">
        <f aca="false">OperatingCurve!AM282</f>
        <v>0.4</v>
      </c>
    </row>
    <row r="258" customFormat="false" ht="12.75" hidden="false" customHeight="false" outlineLevel="0" collapsed="false">
      <c r="A258" s="282" t="n">
        <f aca="false">OperatingCurve!D254</f>
        <v>43617</v>
      </c>
      <c r="B258" s="283" t="n">
        <f aca="false">OperatingCurve!H254</f>
        <v>35.156</v>
      </c>
      <c r="C258" s="283" t="n">
        <f aca="false">OperatingCurve!G254</f>
        <v>40.521</v>
      </c>
      <c r="D258" s="283" t="n">
        <f aca="false">OperatingCurve!I254</f>
        <v>77.184</v>
      </c>
      <c r="E258" s="293"/>
      <c r="F258" s="283" t="n">
        <f aca="false">OperatingCurve!M254</f>
        <v>0</v>
      </c>
      <c r="G258" s="283" t="n">
        <f aca="false">OperatingCurve!L254</f>
        <v>0</v>
      </c>
      <c r="H258" s="283" t="n">
        <f aca="false">OperatingCurve!N254</f>
        <v>0</v>
      </c>
      <c r="I258" s="273"/>
      <c r="J258" s="284" t="n">
        <f aca="false">OperatingCurve!V283</f>
        <v>44501</v>
      </c>
      <c r="K258" s="285" t="n">
        <f aca="false">OperatingCurve!Z283</f>
        <v>0</v>
      </c>
      <c r="L258" s="285" t="n">
        <f aca="false">OperatingCurve!Y283</f>
        <v>0</v>
      </c>
      <c r="M258" s="285" t="n">
        <f aca="false">OperatingCurve!AA283</f>
        <v>0</v>
      </c>
      <c r="O258" s="285" t="n">
        <f aca="false">OperatingCurve!AE283</f>
        <v>0</v>
      </c>
      <c r="P258" s="285" t="n">
        <f aca="false">OperatingCurve!AD283</f>
        <v>0</v>
      </c>
      <c r="Q258" s="285" t="n">
        <f aca="false">OperatingCurve!AF283</f>
        <v>0</v>
      </c>
      <c r="S258" s="285" t="n">
        <f aca="false">OperatingCurve!AJ283</f>
        <v>0</v>
      </c>
      <c r="T258" s="285" t="n">
        <f aca="false">OperatingCurve!AI283</f>
        <v>0</v>
      </c>
      <c r="U258" s="285" t="n">
        <f aca="false">OperatingCurve!AK283</f>
        <v>0</v>
      </c>
      <c r="W258" s="285" t="n">
        <f aca="false">OperatingCurve!AO283</f>
        <v>0</v>
      </c>
      <c r="X258" s="285" t="n">
        <f aca="false">OperatingCurve!AN283</f>
        <v>0</v>
      </c>
      <c r="Y258" s="285" t="n">
        <f aca="false">OperatingCurve!AP283</f>
        <v>0</v>
      </c>
      <c r="AA258" s="285" t="n">
        <f aca="false">OperatingCurve!AR283</f>
        <v>0</v>
      </c>
      <c r="AB258" s="285" t="n">
        <f aca="false">OperatingCurve!AQ283</f>
        <v>0</v>
      </c>
      <c r="AC258" s="285" t="n">
        <f aca="false">OperatingCurve!AS283</f>
        <v>0</v>
      </c>
      <c r="AE258" s="285" t="n">
        <f aca="false">OperatingCurve!AU283</f>
        <v>-0.410147476715089</v>
      </c>
      <c r="AF258" s="285" t="n">
        <f aca="false">OperatingCurve!AT283</f>
        <v>6.56235962744143</v>
      </c>
      <c r="AG258" s="285" t="n">
        <f aca="false">OperatingCurve!AV283</f>
        <v>8.20294953430178</v>
      </c>
      <c r="AI258" s="285" t="n">
        <f aca="false">OperatingCurve!AX283</f>
        <v>-0.6558</v>
      </c>
      <c r="AJ258" s="285" t="n">
        <f aca="false">OperatingCurve!AW283</f>
        <v>10.4928</v>
      </c>
      <c r="AK258" s="285" t="n">
        <f aca="false">OperatingCurve!AY283</f>
        <v>13.116</v>
      </c>
      <c r="AM258" s="286" t="n">
        <f aca="false">OperatingCurve!AL283</f>
        <v>74</v>
      </c>
      <c r="AN258" s="287" t="n">
        <f aca="false">OperatingCurve!AM283</f>
        <v>0.4</v>
      </c>
    </row>
    <row r="259" customFormat="false" ht="12.75" hidden="false" customHeight="false" outlineLevel="0" collapsed="false">
      <c r="A259" s="282" t="n">
        <f aca="false">OperatingCurve!D255</f>
        <v>43647</v>
      </c>
      <c r="B259" s="283" t="n">
        <f aca="false">OperatingCurve!H255</f>
        <v>35.156</v>
      </c>
      <c r="C259" s="283" t="n">
        <f aca="false">OperatingCurve!G255</f>
        <v>40.521</v>
      </c>
      <c r="D259" s="283" t="n">
        <f aca="false">OperatingCurve!I255</f>
        <v>77.184</v>
      </c>
      <c r="E259" s="293"/>
      <c r="F259" s="283" t="n">
        <f aca="false">OperatingCurve!M255</f>
        <v>0</v>
      </c>
      <c r="G259" s="283" t="n">
        <f aca="false">OperatingCurve!L255</f>
        <v>0</v>
      </c>
      <c r="H259" s="283" t="n">
        <f aca="false">OperatingCurve!N255</f>
        <v>0</v>
      </c>
      <c r="I259" s="273"/>
      <c r="J259" s="284" t="n">
        <f aca="false">OperatingCurve!V284</f>
        <v>44531</v>
      </c>
      <c r="K259" s="285" t="n">
        <f aca="false">OperatingCurve!Z284</f>
        <v>0</v>
      </c>
      <c r="L259" s="285" t="n">
        <f aca="false">OperatingCurve!Y284</f>
        <v>0</v>
      </c>
      <c r="M259" s="285" t="n">
        <f aca="false">OperatingCurve!AA284</f>
        <v>0</v>
      </c>
      <c r="O259" s="285" t="n">
        <f aca="false">OperatingCurve!AE284</f>
        <v>0</v>
      </c>
      <c r="P259" s="285" t="n">
        <f aca="false">OperatingCurve!AD284</f>
        <v>0</v>
      </c>
      <c r="Q259" s="285" t="n">
        <f aca="false">OperatingCurve!AF284</f>
        <v>0</v>
      </c>
      <c r="S259" s="285" t="n">
        <f aca="false">OperatingCurve!AJ284</f>
        <v>0</v>
      </c>
      <c r="T259" s="285" t="n">
        <f aca="false">OperatingCurve!AI284</f>
        <v>0</v>
      </c>
      <c r="U259" s="285" t="n">
        <f aca="false">OperatingCurve!AK284</f>
        <v>0</v>
      </c>
      <c r="W259" s="285" t="n">
        <f aca="false">OperatingCurve!AO284</f>
        <v>0</v>
      </c>
      <c r="X259" s="285" t="n">
        <f aca="false">OperatingCurve!AN284</f>
        <v>0</v>
      </c>
      <c r="Y259" s="285" t="n">
        <f aca="false">OperatingCurve!AP284</f>
        <v>0</v>
      </c>
      <c r="AA259" s="285" t="n">
        <f aca="false">OperatingCurve!AR284</f>
        <v>0</v>
      </c>
      <c r="AB259" s="285" t="n">
        <f aca="false">OperatingCurve!AQ284</f>
        <v>0</v>
      </c>
      <c r="AC259" s="285" t="n">
        <f aca="false">OperatingCurve!AS284</f>
        <v>0</v>
      </c>
      <c r="AE259" s="285" t="n">
        <f aca="false">OperatingCurve!AU284</f>
        <v>-0.419655399211954</v>
      </c>
      <c r="AF259" s="285" t="n">
        <f aca="false">OperatingCurve!AT284</f>
        <v>6.71448638739126</v>
      </c>
      <c r="AG259" s="285" t="n">
        <f aca="false">OperatingCurve!AV284</f>
        <v>8.39310798423907</v>
      </c>
      <c r="AI259" s="285" t="n">
        <f aca="false">OperatingCurve!AX284</f>
        <v>-0.667575</v>
      </c>
      <c r="AJ259" s="285" t="n">
        <f aca="false">OperatingCurve!AW284</f>
        <v>10.6812</v>
      </c>
      <c r="AK259" s="285" t="n">
        <f aca="false">OperatingCurve!AY284</f>
        <v>13.3515</v>
      </c>
      <c r="AM259" s="286" t="n">
        <f aca="false">OperatingCurve!AL284</f>
        <v>74</v>
      </c>
      <c r="AN259" s="287" t="n">
        <f aca="false">OperatingCurve!AM284</f>
        <v>0.4</v>
      </c>
    </row>
    <row r="260" customFormat="false" ht="12.75" hidden="false" customHeight="false" outlineLevel="0" collapsed="false">
      <c r="A260" s="282" t="n">
        <f aca="false">OperatingCurve!D256</f>
        <v>43678</v>
      </c>
      <c r="B260" s="283" t="n">
        <f aca="false">OperatingCurve!H256</f>
        <v>37.296</v>
      </c>
      <c r="C260" s="283" t="n">
        <f aca="false">OperatingCurve!G256</f>
        <v>42.681</v>
      </c>
      <c r="D260" s="283" t="n">
        <f aca="false">OperatingCurve!I256</f>
        <v>79.476</v>
      </c>
      <c r="E260" s="293"/>
      <c r="F260" s="283" t="n">
        <f aca="false">OperatingCurve!M256</f>
        <v>0</v>
      </c>
      <c r="G260" s="283" t="n">
        <f aca="false">OperatingCurve!L256</f>
        <v>0</v>
      </c>
      <c r="H260" s="283" t="n">
        <f aca="false">OperatingCurve!N256</f>
        <v>0</v>
      </c>
      <c r="J260" s="284" t="n">
        <f aca="false">OperatingCurve!V285</f>
        <v>44562</v>
      </c>
      <c r="K260" s="285" t="n">
        <f aca="false">OperatingCurve!Z285</f>
        <v>0</v>
      </c>
      <c r="L260" s="285" t="n">
        <f aca="false">OperatingCurve!Y285</f>
        <v>0</v>
      </c>
      <c r="M260" s="285" t="n">
        <f aca="false">OperatingCurve!AA285</f>
        <v>0</v>
      </c>
      <c r="O260" s="285" t="n">
        <f aca="false">OperatingCurve!AE285</f>
        <v>0</v>
      </c>
      <c r="P260" s="285" t="n">
        <f aca="false">OperatingCurve!AD285</f>
        <v>0</v>
      </c>
      <c r="Q260" s="285" t="n">
        <f aca="false">OperatingCurve!AF285</f>
        <v>0</v>
      </c>
      <c r="S260" s="285" t="n">
        <f aca="false">OperatingCurve!AJ285</f>
        <v>0</v>
      </c>
      <c r="T260" s="285" t="n">
        <f aca="false">OperatingCurve!AI285</f>
        <v>0</v>
      </c>
      <c r="U260" s="285" t="n">
        <f aca="false">OperatingCurve!AK285</f>
        <v>0</v>
      </c>
      <c r="W260" s="285" t="n">
        <f aca="false">OperatingCurve!AO285</f>
        <v>0</v>
      </c>
      <c r="X260" s="285" t="n">
        <f aca="false">OperatingCurve!AN285</f>
        <v>0</v>
      </c>
      <c r="Y260" s="285" t="n">
        <f aca="false">OperatingCurve!AP285</f>
        <v>0</v>
      </c>
      <c r="AA260" s="285" t="n">
        <f aca="false">OperatingCurve!AR285</f>
        <v>0</v>
      </c>
      <c r="AB260" s="285" t="n">
        <f aca="false">OperatingCurve!AQ285</f>
        <v>0</v>
      </c>
      <c r="AC260" s="285" t="n">
        <f aca="false">OperatingCurve!AS285</f>
        <v>0</v>
      </c>
      <c r="AE260" s="285" t="n">
        <f aca="false">OperatingCurve!AU285</f>
        <v>-0.43048858158097</v>
      </c>
      <c r="AF260" s="285" t="n">
        <f aca="false">OperatingCurve!AT285</f>
        <v>6.88781730529552</v>
      </c>
      <c r="AG260" s="285" t="n">
        <f aca="false">OperatingCurve!AV285</f>
        <v>8.60977163161941</v>
      </c>
      <c r="AI260" s="285" t="n">
        <f aca="false">OperatingCurve!AX285</f>
        <v>-0.6558</v>
      </c>
      <c r="AJ260" s="285" t="n">
        <f aca="false">OperatingCurve!AW285</f>
        <v>10.4928</v>
      </c>
      <c r="AK260" s="285" t="n">
        <f aca="false">OperatingCurve!AY285</f>
        <v>13.116</v>
      </c>
      <c r="AM260" s="286" t="n">
        <f aca="false">OperatingCurve!AL285</f>
        <v>74</v>
      </c>
      <c r="AN260" s="287" t="n">
        <f aca="false">OperatingCurve!AM285</f>
        <v>0.4</v>
      </c>
    </row>
    <row r="261" customFormat="false" ht="12.75" hidden="false" customHeight="false" outlineLevel="0" collapsed="false">
      <c r="A261" s="282" t="n">
        <f aca="false">OperatingCurve!D257</f>
        <v>43709</v>
      </c>
      <c r="B261" s="283" t="n">
        <f aca="false">OperatingCurve!H257</f>
        <v>30.9</v>
      </c>
      <c r="C261" s="283" t="n">
        <f aca="false">OperatingCurve!G257</f>
        <v>36.225</v>
      </c>
      <c r="D261" s="283" t="n">
        <f aca="false">OperatingCurve!I257</f>
        <v>72.624</v>
      </c>
      <c r="E261" s="293"/>
      <c r="F261" s="283" t="n">
        <f aca="false">OperatingCurve!M257</f>
        <v>0</v>
      </c>
      <c r="G261" s="283" t="n">
        <f aca="false">OperatingCurve!L257</f>
        <v>0</v>
      </c>
      <c r="H261" s="283" t="n">
        <f aca="false">OperatingCurve!N257</f>
        <v>0</v>
      </c>
      <c r="J261" s="284" t="n">
        <f aca="false">OperatingCurve!V286</f>
        <v>44593</v>
      </c>
      <c r="K261" s="285" t="n">
        <f aca="false">OperatingCurve!Z286</f>
        <v>0</v>
      </c>
      <c r="L261" s="285" t="n">
        <f aca="false">OperatingCurve!Y286</f>
        <v>0</v>
      </c>
      <c r="M261" s="285" t="n">
        <f aca="false">OperatingCurve!AA286</f>
        <v>0</v>
      </c>
      <c r="O261" s="285" t="n">
        <f aca="false">OperatingCurve!AE286</f>
        <v>0</v>
      </c>
      <c r="P261" s="285" t="n">
        <f aca="false">OperatingCurve!AD286</f>
        <v>0</v>
      </c>
      <c r="Q261" s="285" t="n">
        <f aca="false">OperatingCurve!AF286</f>
        <v>0</v>
      </c>
      <c r="S261" s="285" t="n">
        <f aca="false">OperatingCurve!AJ286</f>
        <v>0</v>
      </c>
      <c r="T261" s="285" t="n">
        <f aca="false">OperatingCurve!AI286</f>
        <v>0</v>
      </c>
      <c r="U261" s="285" t="n">
        <f aca="false">OperatingCurve!AK286</f>
        <v>0</v>
      </c>
      <c r="W261" s="285" t="n">
        <f aca="false">OperatingCurve!AO286</f>
        <v>0</v>
      </c>
      <c r="X261" s="285" t="n">
        <f aca="false">OperatingCurve!AN286</f>
        <v>0</v>
      </c>
      <c r="Y261" s="285" t="n">
        <f aca="false">OperatingCurve!AP286</f>
        <v>0</v>
      </c>
      <c r="AA261" s="285" t="n">
        <f aca="false">OperatingCurve!AR286</f>
        <v>0</v>
      </c>
      <c r="AB261" s="285" t="n">
        <f aca="false">OperatingCurve!AQ286</f>
        <v>0</v>
      </c>
      <c r="AC261" s="285" t="n">
        <f aca="false">OperatingCurve!AS286</f>
        <v>0</v>
      </c>
      <c r="AE261" s="285" t="n">
        <f aca="false">OperatingCurve!AU286</f>
        <v>-0.402107379613998</v>
      </c>
      <c r="AF261" s="285" t="n">
        <f aca="false">OperatingCurve!AT286</f>
        <v>6.43371807382396</v>
      </c>
      <c r="AG261" s="285" t="n">
        <f aca="false">OperatingCurve!AV286</f>
        <v>8.04214759227995</v>
      </c>
      <c r="AI261" s="285" t="n">
        <f aca="false">OperatingCurve!AX286</f>
        <v>-0.6616875</v>
      </c>
      <c r="AJ261" s="285" t="n">
        <f aca="false">OperatingCurve!AW286</f>
        <v>10.587</v>
      </c>
      <c r="AK261" s="285" t="n">
        <f aca="false">OperatingCurve!AY286</f>
        <v>13.23375</v>
      </c>
      <c r="AM261" s="286" t="n">
        <f aca="false">OperatingCurve!AL286</f>
        <v>74</v>
      </c>
      <c r="AN261" s="287" t="n">
        <f aca="false">OperatingCurve!AM286</f>
        <v>0.4</v>
      </c>
    </row>
    <row r="262" customFormat="false" ht="12.75" hidden="false" customHeight="false" outlineLevel="0" collapsed="false">
      <c r="A262" s="282" t="n">
        <f aca="false">OperatingCurve!D258</f>
        <v>43739</v>
      </c>
      <c r="B262" s="283" t="n">
        <f aca="false">OperatingCurve!H258</f>
        <v>33.024</v>
      </c>
      <c r="C262" s="283" t="n">
        <f aca="false">OperatingCurve!G258</f>
        <v>38.369</v>
      </c>
      <c r="D262" s="283" t="n">
        <f aca="false">OperatingCurve!I258</f>
        <v>74.9</v>
      </c>
      <c r="E262" s="293"/>
      <c r="F262" s="283" t="n">
        <f aca="false">OperatingCurve!M258</f>
        <v>0</v>
      </c>
      <c r="G262" s="283" t="n">
        <f aca="false">OperatingCurve!L258</f>
        <v>0</v>
      </c>
      <c r="H262" s="283" t="n">
        <f aca="false">OperatingCurve!N258</f>
        <v>0</v>
      </c>
      <c r="J262" s="284" t="n">
        <f aca="false">OperatingCurve!V287</f>
        <v>44621</v>
      </c>
      <c r="K262" s="285" t="n">
        <f aca="false">OperatingCurve!Z287</f>
        <v>0</v>
      </c>
      <c r="L262" s="285" t="n">
        <f aca="false">OperatingCurve!Y287</f>
        <v>0</v>
      </c>
      <c r="M262" s="285" t="n">
        <f aca="false">OperatingCurve!AA287</f>
        <v>0</v>
      </c>
      <c r="O262" s="285" t="n">
        <f aca="false">OperatingCurve!AE287</f>
        <v>0</v>
      </c>
      <c r="P262" s="285" t="n">
        <f aca="false">OperatingCurve!AD287</f>
        <v>0</v>
      </c>
      <c r="Q262" s="285" t="n">
        <f aca="false">OperatingCurve!AF287</f>
        <v>0</v>
      </c>
      <c r="S262" s="285" t="n">
        <f aca="false">OperatingCurve!AJ287</f>
        <v>0</v>
      </c>
      <c r="T262" s="285" t="n">
        <f aca="false">OperatingCurve!AI287</f>
        <v>0</v>
      </c>
      <c r="U262" s="285" t="n">
        <f aca="false">OperatingCurve!AK287</f>
        <v>0</v>
      </c>
      <c r="W262" s="285" t="n">
        <f aca="false">OperatingCurve!AO287</f>
        <v>0</v>
      </c>
      <c r="X262" s="285" t="n">
        <f aca="false">OperatingCurve!AN287</f>
        <v>0</v>
      </c>
      <c r="Y262" s="285" t="n">
        <f aca="false">OperatingCurve!AP287</f>
        <v>0</v>
      </c>
      <c r="AA262" s="285" t="n">
        <f aca="false">OperatingCurve!AR287</f>
        <v>0</v>
      </c>
      <c r="AB262" s="285" t="n">
        <f aca="false">OperatingCurve!AQ287</f>
        <v>0</v>
      </c>
      <c r="AC262" s="285" t="n">
        <f aca="false">OperatingCurve!AS287</f>
        <v>0</v>
      </c>
      <c r="AE262" s="285" t="n">
        <f aca="false">OperatingCurve!AU287</f>
        <v>-0.395696014851329</v>
      </c>
      <c r="AF262" s="285" t="n">
        <f aca="false">OperatingCurve!AT287</f>
        <v>6.33113623762127</v>
      </c>
      <c r="AG262" s="285" t="n">
        <f aca="false">OperatingCurve!AV287</f>
        <v>7.91392029702658</v>
      </c>
      <c r="AI262" s="285" t="n">
        <f aca="false">OperatingCurve!AX287</f>
        <v>-0.667575</v>
      </c>
      <c r="AJ262" s="285" t="n">
        <f aca="false">OperatingCurve!AW287</f>
        <v>10.6812</v>
      </c>
      <c r="AK262" s="285" t="n">
        <f aca="false">OperatingCurve!AY287</f>
        <v>13.3515</v>
      </c>
      <c r="AM262" s="286" t="n">
        <f aca="false">OperatingCurve!AL287</f>
        <v>74</v>
      </c>
      <c r="AN262" s="287" t="n">
        <f aca="false">OperatingCurve!AM287</f>
        <v>0.4</v>
      </c>
    </row>
    <row r="263" customFormat="false" ht="12.75" hidden="false" customHeight="false" outlineLevel="0" collapsed="false">
      <c r="A263" s="282" t="n">
        <f aca="false">OperatingCurve!D259</f>
        <v>43770</v>
      </c>
      <c r="B263" s="283" t="n">
        <f aca="false">OperatingCurve!H259</f>
        <v>26.676</v>
      </c>
      <c r="C263" s="283" t="n">
        <f aca="false">OperatingCurve!G259</f>
        <v>31.961</v>
      </c>
      <c r="D263" s="283" t="n">
        <f aca="false">OperatingCurve!I259</f>
        <v>68.096</v>
      </c>
      <c r="E263" s="293"/>
      <c r="F263" s="283" t="n">
        <f aca="false">OperatingCurve!M259</f>
        <v>0</v>
      </c>
      <c r="G263" s="283" t="n">
        <f aca="false">OperatingCurve!L259</f>
        <v>0</v>
      </c>
      <c r="H263" s="283" t="n">
        <f aca="false">OperatingCurve!N259</f>
        <v>0</v>
      </c>
      <c r="J263" s="284" t="n">
        <f aca="false">OperatingCurve!V288</f>
        <v>44652</v>
      </c>
      <c r="K263" s="285" t="n">
        <f aca="false">OperatingCurve!Z288</f>
        <v>0</v>
      </c>
      <c r="L263" s="285" t="n">
        <f aca="false">OperatingCurve!Y288</f>
        <v>0</v>
      </c>
      <c r="M263" s="285" t="n">
        <f aca="false">OperatingCurve!AA288</f>
        <v>0</v>
      </c>
      <c r="O263" s="285" t="n">
        <f aca="false">OperatingCurve!AE288</f>
        <v>0</v>
      </c>
      <c r="P263" s="285" t="n">
        <f aca="false">OperatingCurve!AD288</f>
        <v>0</v>
      </c>
      <c r="Q263" s="285" t="n">
        <f aca="false">OperatingCurve!AF288</f>
        <v>0</v>
      </c>
      <c r="S263" s="285" t="n">
        <f aca="false">OperatingCurve!AJ288</f>
        <v>0</v>
      </c>
      <c r="T263" s="285" t="n">
        <f aca="false">OperatingCurve!AI288</f>
        <v>0</v>
      </c>
      <c r="U263" s="285" t="n">
        <f aca="false">OperatingCurve!AK288</f>
        <v>0</v>
      </c>
      <c r="W263" s="285" t="n">
        <f aca="false">OperatingCurve!AO288</f>
        <v>0</v>
      </c>
      <c r="X263" s="285" t="n">
        <f aca="false">OperatingCurve!AN288</f>
        <v>0</v>
      </c>
      <c r="Y263" s="285" t="n">
        <f aca="false">OperatingCurve!AP288</f>
        <v>0</v>
      </c>
      <c r="AA263" s="285" t="n">
        <f aca="false">OperatingCurve!AR288</f>
        <v>0</v>
      </c>
      <c r="AB263" s="285" t="n">
        <f aca="false">OperatingCurve!AQ288</f>
        <v>0</v>
      </c>
      <c r="AC263" s="285" t="n">
        <f aca="false">OperatingCurve!AS288</f>
        <v>0</v>
      </c>
      <c r="AE263" s="285" t="n">
        <f aca="false">OperatingCurve!AU288</f>
        <v>-0.395696014851329</v>
      </c>
      <c r="AF263" s="285" t="n">
        <f aca="false">OperatingCurve!AT288</f>
        <v>6.33113623762127</v>
      </c>
      <c r="AG263" s="285" t="n">
        <f aca="false">OperatingCurve!AV288</f>
        <v>7.91392029702658</v>
      </c>
      <c r="AI263" s="285" t="n">
        <f aca="false">OperatingCurve!AX288</f>
        <v>-0.667575</v>
      </c>
      <c r="AJ263" s="285" t="n">
        <f aca="false">OperatingCurve!AW288</f>
        <v>10.6812</v>
      </c>
      <c r="AK263" s="285" t="n">
        <f aca="false">OperatingCurve!AY288</f>
        <v>13.3515</v>
      </c>
      <c r="AM263" s="286" t="n">
        <f aca="false">OperatingCurve!AL288</f>
        <v>74</v>
      </c>
      <c r="AN263" s="287" t="n">
        <f aca="false">OperatingCurve!AM288</f>
        <v>0.4</v>
      </c>
    </row>
    <row r="264" customFormat="false" ht="12.75" hidden="false" customHeight="false" outlineLevel="0" collapsed="false">
      <c r="A264" s="282" t="n">
        <f aca="false">OperatingCurve!D260</f>
        <v>43800</v>
      </c>
      <c r="B264" s="283" t="n">
        <f aca="false">OperatingCurve!H260</f>
        <v>27.729</v>
      </c>
      <c r="C264" s="283" t="n">
        <f aca="false">OperatingCurve!G260</f>
        <v>33.024</v>
      </c>
      <c r="D264" s="283" t="n">
        <f aca="false">OperatingCurve!I260</f>
        <v>69.225</v>
      </c>
      <c r="E264" s="293"/>
      <c r="F264" s="283" t="n">
        <f aca="false">OperatingCurve!M260</f>
        <v>0</v>
      </c>
      <c r="G264" s="283" t="n">
        <f aca="false">OperatingCurve!L260</f>
        <v>0</v>
      </c>
      <c r="H264" s="283" t="n">
        <f aca="false">OperatingCurve!N260</f>
        <v>0</v>
      </c>
      <c r="J264" s="284" t="n">
        <f aca="false">OperatingCurve!V289</f>
        <v>44682</v>
      </c>
      <c r="K264" s="285" t="n">
        <f aca="false">OperatingCurve!Z289</f>
        <v>0</v>
      </c>
      <c r="L264" s="285" t="n">
        <f aca="false">OperatingCurve!Y289</f>
        <v>0</v>
      </c>
      <c r="M264" s="285" t="n">
        <f aca="false">OperatingCurve!AA289</f>
        <v>0</v>
      </c>
      <c r="O264" s="285" t="n">
        <f aca="false">OperatingCurve!AE289</f>
        <v>0</v>
      </c>
      <c r="P264" s="285" t="n">
        <f aca="false">OperatingCurve!AD289</f>
        <v>0</v>
      </c>
      <c r="Q264" s="285" t="n">
        <f aca="false">OperatingCurve!AF289</f>
        <v>0</v>
      </c>
      <c r="S264" s="285" t="n">
        <f aca="false">OperatingCurve!AJ289</f>
        <v>0</v>
      </c>
      <c r="T264" s="285" t="n">
        <f aca="false">OperatingCurve!AI289</f>
        <v>0</v>
      </c>
      <c r="U264" s="285" t="n">
        <f aca="false">OperatingCurve!AK289</f>
        <v>0</v>
      </c>
      <c r="W264" s="285" t="n">
        <f aca="false">OperatingCurve!AO289</f>
        <v>0</v>
      </c>
      <c r="X264" s="285" t="n">
        <f aca="false">OperatingCurve!AN289</f>
        <v>0</v>
      </c>
      <c r="Y264" s="285" t="n">
        <f aca="false">OperatingCurve!AP289</f>
        <v>0</v>
      </c>
      <c r="AA264" s="285" t="n">
        <f aca="false">OperatingCurve!AR289</f>
        <v>0</v>
      </c>
      <c r="AB264" s="285" t="n">
        <f aca="false">OperatingCurve!AQ289</f>
        <v>0</v>
      </c>
      <c r="AC264" s="285" t="n">
        <f aca="false">OperatingCurve!AS289</f>
        <v>0</v>
      </c>
      <c r="AE264" s="285" t="n">
        <f aca="false">OperatingCurve!AU289</f>
        <v>-0.419655399211954</v>
      </c>
      <c r="AF264" s="285" t="n">
        <f aca="false">OperatingCurve!AT289</f>
        <v>6.71448638739126</v>
      </c>
      <c r="AG264" s="285" t="n">
        <f aca="false">OperatingCurve!AV289</f>
        <v>8.39310798423907</v>
      </c>
      <c r="AI264" s="285" t="n">
        <f aca="false">OperatingCurve!AX289</f>
        <v>-0.6499125</v>
      </c>
      <c r="AJ264" s="285" t="n">
        <f aca="false">OperatingCurve!AW289</f>
        <v>10.3986</v>
      </c>
      <c r="AK264" s="285" t="n">
        <f aca="false">OperatingCurve!AY289</f>
        <v>12.99825</v>
      </c>
      <c r="AM264" s="286" t="n">
        <f aca="false">OperatingCurve!AL289</f>
        <v>74</v>
      </c>
      <c r="AN264" s="287" t="n">
        <f aca="false">OperatingCurve!AM289</f>
        <v>0.4</v>
      </c>
    </row>
    <row r="265" customFormat="false" ht="12.75" hidden="false" customHeight="false" outlineLevel="0" collapsed="false">
      <c r="A265" s="282" t="n">
        <f aca="false">OperatingCurve!D261</f>
        <v>43831</v>
      </c>
      <c r="B265" s="283" t="n">
        <f aca="false">OperatingCurve!H261</f>
        <v>28.784</v>
      </c>
      <c r="C265" s="283" t="n">
        <f aca="false">OperatingCurve!G261</f>
        <v>34.089</v>
      </c>
      <c r="D265" s="283" t="n">
        <f aca="false">OperatingCurve!I261</f>
        <v>71.489</v>
      </c>
      <c r="E265" s="293"/>
      <c r="F265" s="283" t="n">
        <f aca="false">OperatingCurve!M261</f>
        <v>0</v>
      </c>
      <c r="G265" s="283" t="n">
        <f aca="false">OperatingCurve!L261</f>
        <v>0</v>
      </c>
      <c r="H265" s="283" t="n">
        <f aca="false">OperatingCurve!N261</f>
        <v>0</v>
      </c>
      <c r="J265" s="284" t="n">
        <f aca="false">OperatingCurve!V290</f>
        <v>44713</v>
      </c>
      <c r="K265" s="285" t="n">
        <f aca="false">OperatingCurve!Z290</f>
        <v>0</v>
      </c>
      <c r="L265" s="285" t="n">
        <f aca="false">OperatingCurve!Y290</f>
        <v>0</v>
      </c>
      <c r="M265" s="285" t="n">
        <f aca="false">OperatingCurve!AA290</f>
        <v>0</v>
      </c>
      <c r="O265" s="285" t="n">
        <f aca="false">OperatingCurve!AE290</f>
        <v>0</v>
      </c>
      <c r="P265" s="285" t="n">
        <f aca="false">OperatingCurve!AD290</f>
        <v>0</v>
      </c>
      <c r="Q265" s="285" t="n">
        <f aca="false">OperatingCurve!AF290</f>
        <v>0</v>
      </c>
      <c r="S265" s="285" t="n">
        <f aca="false">OperatingCurve!AJ290</f>
        <v>0</v>
      </c>
      <c r="T265" s="285" t="n">
        <f aca="false">OperatingCurve!AI290</f>
        <v>0</v>
      </c>
      <c r="U265" s="285" t="n">
        <f aca="false">OperatingCurve!AK290</f>
        <v>0</v>
      </c>
      <c r="W265" s="285" t="n">
        <f aca="false">OperatingCurve!AO290</f>
        <v>0</v>
      </c>
      <c r="X265" s="285" t="n">
        <f aca="false">OperatingCurve!AN290</f>
        <v>0</v>
      </c>
      <c r="Y265" s="285" t="n">
        <f aca="false">OperatingCurve!AP290</f>
        <v>0</v>
      </c>
      <c r="AA265" s="285" t="n">
        <f aca="false">OperatingCurve!AR290</f>
        <v>0</v>
      </c>
      <c r="AB265" s="285" t="n">
        <f aca="false">OperatingCurve!AQ290</f>
        <v>0</v>
      </c>
      <c r="AC265" s="285" t="n">
        <f aca="false">OperatingCurve!AS290</f>
        <v>0</v>
      </c>
      <c r="AE265" s="285" t="n">
        <f aca="false">OperatingCurve!AU290</f>
        <v>-0.517091326059428</v>
      </c>
      <c r="AF265" s="285" t="n">
        <f aca="false">OperatingCurve!AT290</f>
        <v>8.27346121695085</v>
      </c>
      <c r="AG265" s="285" t="n">
        <f aca="false">OperatingCurve!AV290</f>
        <v>10.3418265211886</v>
      </c>
      <c r="AI265" s="285" t="n">
        <f aca="false">OperatingCurve!AX290</f>
        <v>-0.6087</v>
      </c>
      <c r="AJ265" s="285" t="n">
        <f aca="false">OperatingCurve!AW290</f>
        <v>9.7392</v>
      </c>
      <c r="AK265" s="285" t="n">
        <f aca="false">OperatingCurve!AY290</f>
        <v>12.174</v>
      </c>
      <c r="AM265" s="286" t="n">
        <f aca="false">OperatingCurve!AL290</f>
        <v>74</v>
      </c>
      <c r="AN265" s="287" t="n">
        <f aca="false">OperatingCurve!AM290</f>
        <v>0.4</v>
      </c>
    </row>
    <row r="266" customFormat="false" ht="12.75" hidden="false" customHeight="false" outlineLevel="0" collapsed="false">
      <c r="A266" s="282" t="n">
        <f aca="false">OperatingCurve!D262</f>
        <v>43862</v>
      </c>
      <c r="B266" s="283" t="n">
        <f aca="false">OperatingCurve!H262</f>
        <v>25.625</v>
      </c>
      <c r="C266" s="283" t="n">
        <f aca="false">OperatingCurve!G262</f>
        <v>30.9</v>
      </c>
      <c r="D266" s="283" t="n">
        <f aca="false">OperatingCurve!I262</f>
        <v>68.096</v>
      </c>
      <c r="E266" s="293"/>
      <c r="F266" s="283" t="n">
        <f aca="false">OperatingCurve!M262</f>
        <v>0</v>
      </c>
      <c r="G266" s="283" t="n">
        <f aca="false">OperatingCurve!L262</f>
        <v>0</v>
      </c>
      <c r="H266" s="283" t="n">
        <f aca="false">OperatingCurve!N262</f>
        <v>0</v>
      </c>
      <c r="J266" s="284" t="n">
        <f aca="false">OperatingCurve!V291</f>
        <v>44743</v>
      </c>
      <c r="K266" s="285" t="n">
        <f aca="false">OperatingCurve!Z291</f>
        <v>0</v>
      </c>
      <c r="L266" s="285" t="n">
        <f aca="false">OperatingCurve!Y291</f>
        <v>0</v>
      </c>
      <c r="M266" s="285" t="n">
        <f aca="false">OperatingCurve!AA291</f>
        <v>0</v>
      </c>
      <c r="O266" s="285" t="n">
        <f aca="false">OperatingCurve!AE291</f>
        <v>0</v>
      </c>
      <c r="P266" s="285" t="n">
        <f aca="false">OperatingCurve!AD291</f>
        <v>0</v>
      </c>
      <c r="Q266" s="285" t="n">
        <f aca="false">OperatingCurve!AF291</f>
        <v>0</v>
      </c>
      <c r="S266" s="285" t="n">
        <f aca="false">OperatingCurve!AJ291</f>
        <v>0</v>
      </c>
      <c r="T266" s="285" t="n">
        <f aca="false">OperatingCurve!AI291</f>
        <v>0</v>
      </c>
      <c r="U266" s="285" t="n">
        <f aca="false">OperatingCurve!AK291</f>
        <v>0</v>
      </c>
      <c r="W266" s="285" t="n">
        <f aca="false">OperatingCurve!AO291</f>
        <v>0</v>
      </c>
      <c r="X266" s="285" t="n">
        <f aca="false">OperatingCurve!AN291</f>
        <v>0</v>
      </c>
      <c r="Y266" s="285" t="n">
        <f aca="false">OperatingCurve!AP291</f>
        <v>0</v>
      </c>
      <c r="AA266" s="285" t="n">
        <f aca="false">OperatingCurve!AR291</f>
        <v>0</v>
      </c>
      <c r="AB266" s="285" t="n">
        <f aca="false">OperatingCurve!AQ291</f>
        <v>0</v>
      </c>
      <c r="AC266" s="285" t="n">
        <f aca="false">OperatingCurve!AS291</f>
        <v>0</v>
      </c>
      <c r="AE266" s="285" t="n">
        <f aca="false">OperatingCurve!AU291</f>
        <v>-0.517091326059428</v>
      </c>
      <c r="AF266" s="285" t="n">
        <f aca="false">OperatingCurve!AT291</f>
        <v>8.27346121695085</v>
      </c>
      <c r="AG266" s="285" t="n">
        <f aca="false">OperatingCurve!AV291</f>
        <v>10.3418265211886</v>
      </c>
      <c r="AI266" s="285" t="n">
        <f aca="false">OperatingCurve!AX291</f>
        <v>-0.6087</v>
      </c>
      <c r="AJ266" s="285" t="n">
        <f aca="false">OperatingCurve!AW291</f>
        <v>9.7392</v>
      </c>
      <c r="AK266" s="285" t="n">
        <f aca="false">OperatingCurve!AY291</f>
        <v>12.174</v>
      </c>
      <c r="AM266" s="286" t="n">
        <f aca="false">OperatingCurve!AL291</f>
        <v>74</v>
      </c>
      <c r="AN266" s="287" t="n">
        <f aca="false">OperatingCurve!AM291</f>
        <v>0.4</v>
      </c>
    </row>
    <row r="267" customFormat="false" ht="12.75" hidden="false" customHeight="false" outlineLevel="0" collapsed="false">
      <c r="A267" s="282" t="n">
        <f aca="false">OperatingCurve!D263</f>
        <v>43891</v>
      </c>
      <c r="B267" s="283" t="n">
        <f aca="false">OperatingCurve!H263</f>
        <v>24.576</v>
      </c>
      <c r="C267" s="283" t="n">
        <f aca="false">OperatingCurve!G263</f>
        <v>29.841</v>
      </c>
      <c r="D267" s="283" t="n">
        <f aca="false">OperatingCurve!I263</f>
        <v>66.969</v>
      </c>
      <c r="E267" s="293"/>
      <c r="F267" s="283" t="n">
        <f aca="false">OperatingCurve!M263</f>
        <v>0</v>
      </c>
      <c r="G267" s="283" t="n">
        <f aca="false">OperatingCurve!L263</f>
        <v>0</v>
      </c>
      <c r="H267" s="283" t="n">
        <f aca="false">OperatingCurve!N263</f>
        <v>0</v>
      </c>
      <c r="J267" s="284" t="n">
        <f aca="false">OperatingCurve!V292</f>
        <v>44774</v>
      </c>
      <c r="K267" s="285" t="n">
        <f aca="false">OperatingCurve!Z292</f>
        <v>0</v>
      </c>
      <c r="L267" s="285" t="n">
        <f aca="false">OperatingCurve!Y292</f>
        <v>0</v>
      </c>
      <c r="M267" s="285" t="n">
        <f aca="false">OperatingCurve!AA292</f>
        <v>0</v>
      </c>
      <c r="O267" s="285" t="n">
        <f aca="false">OperatingCurve!AE292</f>
        <v>0</v>
      </c>
      <c r="P267" s="285" t="n">
        <f aca="false">OperatingCurve!AD292</f>
        <v>0</v>
      </c>
      <c r="Q267" s="285" t="n">
        <f aca="false">OperatingCurve!AF292</f>
        <v>0</v>
      </c>
      <c r="S267" s="285" t="n">
        <f aca="false">OperatingCurve!AJ292</f>
        <v>0</v>
      </c>
      <c r="T267" s="285" t="n">
        <f aca="false">OperatingCurve!AI292</f>
        <v>0</v>
      </c>
      <c r="U267" s="285" t="n">
        <f aca="false">OperatingCurve!AK292</f>
        <v>0</v>
      </c>
      <c r="W267" s="285" t="n">
        <f aca="false">OperatingCurve!AO292</f>
        <v>0</v>
      </c>
      <c r="X267" s="285" t="n">
        <f aca="false">OperatingCurve!AN292</f>
        <v>0</v>
      </c>
      <c r="Y267" s="285" t="n">
        <f aca="false">OperatingCurve!AP292</f>
        <v>0</v>
      </c>
      <c r="AA267" s="285" t="n">
        <f aca="false">OperatingCurve!AR292</f>
        <v>0</v>
      </c>
      <c r="AB267" s="285" t="n">
        <f aca="false">OperatingCurve!AQ292</f>
        <v>0</v>
      </c>
      <c r="AC267" s="285" t="n">
        <f aca="false">OperatingCurve!AS292</f>
        <v>0</v>
      </c>
      <c r="AE267" s="285" t="n">
        <f aca="false">OperatingCurve!AU292</f>
        <v>-0.552146177512111</v>
      </c>
      <c r="AF267" s="285" t="n">
        <f aca="false">OperatingCurve!AT292</f>
        <v>8.83433884019377</v>
      </c>
      <c r="AG267" s="285" t="n">
        <f aca="false">OperatingCurve!AV292</f>
        <v>11.0429235502422</v>
      </c>
      <c r="AI267" s="285" t="n">
        <f aca="false">OperatingCurve!AX292</f>
        <v>-0.596925</v>
      </c>
      <c r="AJ267" s="285" t="n">
        <f aca="false">OperatingCurve!AW292</f>
        <v>9.5508</v>
      </c>
      <c r="AK267" s="285" t="n">
        <f aca="false">OperatingCurve!AY292</f>
        <v>11.9385</v>
      </c>
      <c r="AM267" s="286" t="n">
        <f aca="false">OperatingCurve!AL292</f>
        <v>74</v>
      </c>
      <c r="AN267" s="287" t="n">
        <f aca="false">OperatingCurve!AM292</f>
        <v>0.4</v>
      </c>
    </row>
    <row r="268" customFormat="false" ht="12.75" hidden="false" customHeight="false" outlineLevel="0" collapsed="false">
      <c r="A268" s="282" t="n">
        <f aca="false">OperatingCurve!D264</f>
        <v>43922</v>
      </c>
      <c r="B268" s="283" t="n">
        <f aca="false">OperatingCurve!H264</f>
        <v>24.576</v>
      </c>
      <c r="C268" s="283" t="n">
        <f aca="false">OperatingCurve!G264</f>
        <v>29.841</v>
      </c>
      <c r="D268" s="283" t="n">
        <f aca="false">OperatingCurve!I264</f>
        <v>66.969</v>
      </c>
      <c r="E268" s="293"/>
      <c r="F268" s="283" t="n">
        <f aca="false">OperatingCurve!M264</f>
        <v>0</v>
      </c>
      <c r="G268" s="283" t="n">
        <f aca="false">OperatingCurve!L264</f>
        <v>0</v>
      </c>
      <c r="H268" s="283" t="n">
        <f aca="false">OperatingCurve!N264</f>
        <v>0</v>
      </c>
      <c r="J268" s="284" t="n">
        <f aca="false">OperatingCurve!V293</f>
        <v>44805</v>
      </c>
      <c r="K268" s="285" t="n">
        <f aca="false">OperatingCurve!Z293</f>
        <v>0</v>
      </c>
      <c r="L268" s="285" t="n">
        <f aca="false">OperatingCurve!Y293</f>
        <v>0</v>
      </c>
      <c r="M268" s="285" t="n">
        <f aca="false">OperatingCurve!AA293</f>
        <v>0</v>
      </c>
      <c r="O268" s="285" t="n">
        <f aca="false">OperatingCurve!AE293</f>
        <v>0</v>
      </c>
      <c r="P268" s="285" t="n">
        <f aca="false">OperatingCurve!AD293</f>
        <v>0</v>
      </c>
      <c r="Q268" s="285" t="n">
        <f aca="false">OperatingCurve!AF293</f>
        <v>0</v>
      </c>
      <c r="S268" s="285" t="n">
        <f aca="false">OperatingCurve!AJ293</f>
        <v>0</v>
      </c>
      <c r="T268" s="285" t="n">
        <f aca="false">OperatingCurve!AI293</f>
        <v>0</v>
      </c>
      <c r="U268" s="285" t="n">
        <f aca="false">OperatingCurve!AK293</f>
        <v>0</v>
      </c>
      <c r="W268" s="285" t="n">
        <f aca="false">OperatingCurve!AO293</f>
        <v>0</v>
      </c>
      <c r="X268" s="285" t="n">
        <f aca="false">OperatingCurve!AN293</f>
        <v>0</v>
      </c>
      <c r="Y268" s="285" t="n">
        <f aca="false">OperatingCurve!AP293</f>
        <v>0</v>
      </c>
      <c r="AA268" s="285" t="n">
        <f aca="false">OperatingCurve!AR293</f>
        <v>0</v>
      </c>
      <c r="AB268" s="285" t="n">
        <f aca="false">OperatingCurve!AQ293</f>
        <v>0</v>
      </c>
      <c r="AC268" s="285" t="n">
        <f aca="false">OperatingCurve!AS293</f>
        <v>0</v>
      </c>
      <c r="AE268" s="285" t="n">
        <f aca="false">OperatingCurve!AU293</f>
        <v>-0.455637578174882</v>
      </c>
      <c r="AF268" s="285" t="n">
        <f aca="false">OperatingCurve!AT293</f>
        <v>7.29020125079811</v>
      </c>
      <c r="AG268" s="285" t="n">
        <f aca="false">OperatingCurve!AV293</f>
        <v>9.11275156349763</v>
      </c>
      <c r="AI268" s="285" t="n">
        <f aca="false">OperatingCurve!AX293</f>
        <v>-0.63225</v>
      </c>
      <c r="AJ268" s="285" t="n">
        <f aca="false">OperatingCurve!AW293</f>
        <v>10.116</v>
      </c>
      <c r="AK268" s="285" t="n">
        <f aca="false">OperatingCurve!AY293</f>
        <v>12.645</v>
      </c>
      <c r="AM268" s="286" t="n">
        <f aca="false">OperatingCurve!AL293</f>
        <v>74</v>
      </c>
      <c r="AN268" s="287" t="n">
        <f aca="false">OperatingCurve!AM293</f>
        <v>0.4</v>
      </c>
    </row>
    <row r="269" customFormat="false" ht="12.75" hidden="false" customHeight="false" outlineLevel="0" collapsed="false">
      <c r="A269" s="282" t="n">
        <f aca="false">OperatingCurve!D265</f>
        <v>43952</v>
      </c>
      <c r="B269" s="283" t="n">
        <f aca="false">OperatingCurve!H265</f>
        <v>27.729</v>
      </c>
      <c r="C269" s="283" t="n">
        <f aca="false">OperatingCurve!G265</f>
        <v>33.024</v>
      </c>
      <c r="D269" s="283" t="n">
        <f aca="false">OperatingCurve!I265</f>
        <v>70.356</v>
      </c>
      <c r="E269" s="293"/>
      <c r="F269" s="283" t="n">
        <f aca="false">OperatingCurve!M265</f>
        <v>0</v>
      </c>
      <c r="G269" s="283" t="n">
        <f aca="false">OperatingCurve!L265</f>
        <v>0</v>
      </c>
      <c r="H269" s="283" t="n">
        <f aca="false">OperatingCurve!N265</f>
        <v>0</v>
      </c>
      <c r="J269" s="284" t="n">
        <f aca="false">OperatingCurve!V294</f>
        <v>44835</v>
      </c>
      <c r="K269" s="285" t="n">
        <f aca="false">OperatingCurve!Z294</f>
        <v>0</v>
      </c>
      <c r="L269" s="285" t="n">
        <f aca="false">OperatingCurve!Y294</f>
        <v>0</v>
      </c>
      <c r="M269" s="285" t="n">
        <f aca="false">OperatingCurve!AA294</f>
        <v>0</v>
      </c>
      <c r="O269" s="285" t="n">
        <f aca="false">OperatingCurve!AE294</f>
        <v>0</v>
      </c>
      <c r="P269" s="285" t="n">
        <f aca="false">OperatingCurve!AD294</f>
        <v>0</v>
      </c>
      <c r="Q269" s="285" t="n">
        <f aca="false">OperatingCurve!AF294</f>
        <v>0</v>
      </c>
      <c r="S269" s="285" t="n">
        <f aca="false">OperatingCurve!AJ294</f>
        <v>0</v>
      </c>
      <c r="T269" s="285" t="n">
        <f aca="false">OperatingCurve!AI294</f>
        <v>0</v>
      </c>
      <c r="U269" s="285" t="n">
        <f aca="false">OperatingCurve!AK294</f>
        <v>0</v>
      </c>
      <c r="W269" s="285" t="n">
        <f aca="false">OperatingCurve!AO294</f>
        <v>0</v>
      </c>
      <c r="X269" s="285" t="n">
        <f aca="false">OperatingCurve!AN294</f>
        <v>0</v>
      </c>
      <c r="Y269" s="285" t="n">
        <f aca="false">OperatingCurve!AP294</f>
        <v>0</v>
      </c>
      <c r="AA269" s="285" t="n">
        <f aca="false">OperatingCurve!AR294</f>
        <v>0</v>
      </c>
      <c r="AB269" s="285" t="n">
        <f aca="false">OperatingCurve!AQ294</f>
        <v>0</v>
      </c>
      <c r="AC269" s="285" t="n">
        <f aca="false">OperatingCurve!AS294</f>
        <v>0</v>
      </c>
      <c r="AE269" s="285" t="n">
        <f aca="false">OperatingCurve!AU294</f>
        <v>-0.484735205974953</v>
      </c>
      <c r="AF269" s="285" t="n">
        <f aca="false">OperatingCurve!AT294</f>
        <v>7.75576329559925</v>
      </c>
      <c r="AG269" s="285" t="n">
        <f aca="false">OperatingCurve!AV294</f>
        <v>9.69470411949907</v>
      </c>
      <c r="AI269" s="285" t="n">
        <f aca="false">OperatingCurve!AX294</f>
        <v>-0.620475</v>
      </c>
      <c r="AJ269" s="285" t="n">
        <f aca="false">OperatingCurve!AW294</f>
        <v>9.9276</v>
      </c>
      <c r="AK269" s="285" t="n">
        <f aca="false">OperatingCurve!AY294</f>
        <v>12.4095</v>
      </c>
      <c r="AM269" s="286" t="n">
        <f aca="false">OperatingCurve!AL294</f>
        <v>74</v>
      </c>
      <c r="AN269" s="287" t="n">
        <f aca="false">OperatingCurve!AM294</f>
        <v>0.4</v>
      </c>
    </row>
    <row r="270" customFormat="false" ht="12.75" hidden="false" customHeight="false" outlineLevel="0" collapsed="false">
      <c r="A270" s="282" t="n">
        <f aca="false">OperatingCurve!D266</f>
        <v>43983</v>
      </c>
      <c r="B270" s="283" t="n">
        <f aca="false">OperatingCurve!H266</f>
        <v>35.156</v>
      </c>
      <c r="C270" s="283" t="n">
        <f aca="false">OperatingCurve!G266</f>
        <v>40.521</v>
      </c>
      <c r="D270" s="283" t="n">
        <f aca="false">OperatingCurve!I266</f>
        <v>78.329</v>
      </c>
      <c r="E270" s="293"/>
      <c r="F270" s="283" t="n">
        <f aca="false">OperatingCurve!M266</f>
        <v>0</v>
      </c>
      <c r="G270" s="283" t="n">
        <f aca="false">OperatingCurve!L266</f>
        <v>0</v>
      </c>
      <c r="H270" s="283" t="n">
        <f aca="false">OperatingCurve!N266</f>
        <v>0</v>
      </c>
      <c r="J270" s="284" t="n">
        <f aca="false">OperatingCurve!V295</f>
        <v>44866</v>
      </c>
      <c r="K270" s="285" t="n">
        <f aca="false">OperatingCurve!Z295</f>
        <v>0</v>
      </c>
      <c r="L270" s="285" t="n">
        <f aca="false">OperatingCurve!Y295</f>
        <v>0</v>
      </c>
      <c r="M270" s="285" t="n">
        <f aca="false">OperatingCurve!AA295</f>
        <v>0</v>
      </c>
      <c r="O270" s="285" t="n">
        <f aca="false">OperatingCurve!AE295</f>
        <v>0</v>
      </c>
      <c r="P270" s="285" t="n">
        <f aca="false">OperatingCurve!AD295</f>
        <v>0</v>
      </c>
      <c r="Q270" s="285" t="n">
        <f aca="false">OperatingCurve!AF295</f>
        <v>0</v>
      </c>
      <c r="S270" s="285" t="n">
        <f aca="false">OperatingCurve!AJ295</f>
        <v>0</v>
      </c>
      <c r="T270" s="285" t="n">
        <f aca="false">OperatingCurve!AI295</f>
        <v>0</v>
      </c>
      <c r="U270" s="285" t="n">
        <f aca="false">OperatingCurve!AK295</f>
        <v>0</v>
      </c>
      <c r="W270" s="285" t="n">
        <f aca="false">OperatingCurve!AO295</f>
        <v>0</v>
      </c>
      <c r="X270" s="285" t="n">
        <f aca="false">OperatingCurve!AN295</f>
        <v>0</v>
      </c>
      <c r="Y270" s="285" t="n">
        <f aca="false">OperatingCurve!AP295</f>
        <v>0</v>
      </c>
      <c r="AA270" s="285" t="n">
        <f aca="false">OperatingCurve!AR295</f>
        <v>0</v>
      </c>
      <c r="AB270" s="285" t="n">
        <f aca="false">OperatingCurve!AQ295</f>
        <v>0</v>
      </c>
      <c r="AC270" s="285" t="n">
        <f aca="false">OperatingCurve!AS295</f>
        <v>0</v>
      </c>
      <c r="AE270" s="285" t="n">
        <f aca="false">OperatingCurve!AU295</f>
        <v>-0.410147476715089</v>
      </c>
      <c r="AF270" s="285" t="n">
        <f aca="false">OperatingCurve!AT295</f>
        <v>6.56235962744143</v>
      </c>
      <c r="AG270" s="285" t="n">
        <f aca="false">OperatingCurve!AV295</f>
        <v>8.20294953430178</v>
      </c>
      <c r="AI270" s="285" t="n">
        <f aca="false">OperatingCurve!AX295</f>
        <v>-0.6558</v>
      </c>
      <c r="AJ270" s="285" t="n">
        <f aca="false">OperatingCurve!AW295</f>
        <v>10.4928</v>
      </c>
      <c r="AK270" s="285" t="n">
        <f aca="false">OperatingCurve!AY295</f>
        <v>13.116</v>
      </c>
      <c r="AM270" s="286" t="n">
        <f aca="false">OperatingCurve!AL295</f>
        <v>74</v>
      </c>
      <c r="AN270" s="287" t="n">
        <f aca="false">OperatingCurve!AM295</f>
        <v>0.4</v>
      </c>
    </row>
    <row r="271" customFormat="false" ht="12.75" hidden="false" customHeight="false" outlineLevel="0" collapsed="false">
      <c r="A271" s="282" t="n">
        <f aca="false">OperatingCurve!D267</f>
        <v>44013</v>
      </c>
      <c r="B271" s="283" t="n">
        <f aca="false">OperatingCurve!H267</f>
        <v>35.156</v>
      </c>
      <c r="C271" s="283" t="n">
        <f aca="false">OperatingCurve!G267</f>
        <v>40.521</v>
      </c>
      <c r="D271" s="283" t="n">
        <f aca="false">OperatingCurve!I267</f>
        <v>78.329</v>
      </c>
      <c r="E271" s="293"/>
      <c r="F271" s="283" t="n">
        <f aca="false">OperatingCurve!M267</f>
        <v>0</v>
      </c>
      <c r="G271" s="283" t="n">
        <f aca="false">OperatingCurve!L267</f>
        <v>0</v>
      </c>
      <c r="H271" s="283" t="n">
        <f aca="false">OperatingCurve!N267</f>
        <v>0</v>
      </c>
      <c r="J271" s="284" t="n">
        <f aca="false">OperatingCurve!V296</f>
        <v>44896</v>
      </c>
      <c r="K271" s="285" t="n">
        <f aca="false">OperatingCurve!Z296</f>
        <v>0</v>
      </c>
      <c r="L271" s="285" t="n">
        <f aca="false">OperatingCurve!Y296</f>
        <v>0</v>
      </c>
      <c r="M271" s="285" t="n">
        <f aca="false">OperatingCurve!AA296</f>
        <v>0</v>
      </c>
      <c r="O271" s="285" t="n">
        <f aca="false">OperatingCurve!AE296</f>
        <v>0</v>
      </c>
      <c r="P271" s="285" t="n">
        <f aca="false">OperatingCurve!AD296</f>
        <v>0</v>
      </c>
      <c r="Q271" s="285" t="n">
        <f aca="false">OperatingCurve!AF296</f>
        <v>0</v>
      </c>
      <c r="S271" s="285" t="n">
        <f aca="false">OperatingCurve!AJ296</f>
        <v>0</v>
      </c>
      <c r="T271" s="285" t="n">
        <f aca="false">OperatingCurve!AI296</f>
        <v>0</v>
      </c>
      <c r="U271" s="285" t="n">
        <f aca="false">OperatingCurve!AK296</f>
        <v>0</v>
      </c>
      <c r="W271" s="285" t="n">
        <f aca="false">OperatingCurve!AO296</f>
        <v>0</v>
      </c>
      <c r="X271" s="285" t="n">
        <f aca="false">OperatingCurve!AN296</f>
        <v>0</v>
      </c>
      <c r="Y271" s="285" t="n">
        <f aca="false">OperatingCurve!AP296</f>
        <v>0</v>
      </c>
      <c r="AA271" s="285" t="n">
        <f aca="false">OperatingCurve!AR296</f>
        <v>0</v>
      </c>
      <c r="AB271" s="285" t="n">
        <f aca="false">OperatingCurve!AQ296</f>
        <v>0</v>
      </c>
      <c r="AC271" s="285" t="n">
        <f aca="false">OperatingCurve!AS296</f>
        <v>0</v>
      </c>
      <c r="AE271" s="285" t="n">
        <f aca="false">OperatingCurve!AU296</f>
        <v>-0.419655399211954</v>
      </c>
      <c r="AF271" s="285" t="n">
        <f aca="false">OperatingCurve!AT296</f>
        <v>6.71448638739126</v>
      </c>
      <c r="AG271" s="285" t="n">
        <f aca="false">OperatingCurve!AV296</f>
        <v>8.39310798423907</v>
      </c>
      <c r="AI271" s="285" t="n">
        <f aca="false">OperatingCurve!AX296</f>
        <v>-0.667575</v>
      </c>
      <c r="AJ271" s="285" t="n">
        <f aca="false">OperatingCurve!AW296</f>
        <v>10.6812</v>
      </c>
      <c r="AK271" s="285" t="n">
        <f aca="false">OperatingCurve!AY296</f>
        <v>13.3515</v>
      </c>
      <c r="AM271" s="286" t="n">
        <f aca="false">OperatingCurve!AL296</f>
        <v>74</v>
      </c>
      <c r="AN271" s="287" t="n">
        <f aca="false">OperatingCurve!AM296</f>
        <v>0.4</v>
      </c>
    </row>
    <row r="272" customFormat="false" ht="12.75" hidden="false" customHeight="false" outlineLevel="0" collapsed="false">
      <c r="A272" s="282" t="n">
        <f aca="false">OperatingCurve!D268</f>
        <v>44044</v>
      </c>
      <c r="B272" s="283" t="n">
        <f aca="false">OperatingCurve!H268</f>
        <v>37.296</v>
      </c>
      <c r="C272" s="283" t="n">
        <f aca="false">OperatingCurve!G268</f>
        <v>42.681</v>
      </c>
      <c r="D272" s="283" t="n">
        <f aca="false">OperatingCurve!I268</f>
        <v>80.625</v>
      </c>
      <c r="E272" s="293"/>
      <c r="F272" s="283" t="n">
        <f aca="false">OperatingCurve!M268</f>
        <v>0</v>
      </c>
      <c r="G272" s="283" t="n">
        <f aca="false">OperatingCurve!L268</f>
        <v>0</v>
      </c>
      <c r="H272" s="283" t="n">
        <f aca="false">OperatingCurve!N268</f>
        <v>0</v>
      </c>
      <c r="J272" s="284" t="n">
        <f aca="false">OperatingCurve!V297</f>
        <v>44927</v>
      </c>
      <c r="K272" s="285" t="n">
        <f aca="false">OperatingCurve!Z297</f>
        <v>0</v>
      </c>
      <c r="L272" s="285" t="n">
        <f aca="false">OperatingCurve!Y297</f>
        <v>0</v>
      </c>
      <c r="M272" s="285" t="n">
        <f aca="false">OperatingCurve!AA297</f>
        <v>0</v>
      </c>
      <c r="O272" s="285" t="n">
        <f aca="false">OperatingCurve!AE297</f>
        <v>0</v>
      </c>
      <c r="P272" s="285" t="n">
        <f aca="false">OperatingCurve!AD297</f>
        <v>0</v>
      </c>
      <c r="Q272" s="285" t="n">
        <f aca="false">OperatingCurve!AF297</f>
        <v>0</v>
      </c>
      <c r="S272" s="285" t="n">
        <f aca="false">OperatingCurve!AJ297</f>
        <v>0</v>
      </c>
      <c r="T272" s="285" t="n">
        <f aca="false">OperatingCurve!AI297</f>
        <v>0</v>
      </c>
      <c r="U272" s="285" t="n">
        <f aca="false">OperatingCurve!AK297</f>
        <v>0</v>
      </c>
      <c r="W272" s="285" t="n">
        <f aca="false">OperatingCurve!AO297</f>
        <v>0</v>
      </c>
      <c r="X272" s="285" t="n">
        <f aca="false">OperatingCurve!AN297</f>
        <v>0</v>
      </c>
      <c r="Y272" s="285" t="n">
        <f aca="false">OperatingCurve!AP297</f>
        <v>0</v>
      </c>
      <c r="AA272" s="285" t="n">
        <f aca="false">OperatingCurve!AR297</f>
        <v>0</v>
      </c>
      <c r="AB272" s="285" t="n">
        <f aca="false">OperatingCurve!AQ297</f>
        <v>0</v>
      </c>
      <c r="AC272" s="285" t="n">
        <f aca="false">OperatingCurve!AS297</f>
        <v>0</v>
      </c>
      <c r="AE272" s="285" t="n">
        <f aca="false">OperatingCurve!AU297</f>
        <v>-0.43048858158097</v>
      </c>
      <c r="AF272" s="285" t="n">
        <f aca="false">OperatingCurve!AT297</f>
        <v>6.88781730529552</v>
      </c>
      <c r="AG272" s="285" t="n">
        <f aca="false">OperatingCurve!AV297</f>
        <v>8.60977163161941</v>
      </c>
      <c r="AI272" s="285" t="n">
        <f aca="false">OperatingCurve!AX297</f>
        <v>-0.6558</v>
      </c>
      <c r="AJ272" s="285" t="n">
        <f aca="false">OperatingCurve!AW297</f>
        <v>10.4928</v>
      </c>
      <c r="AK272" s="285" t="n">
        <f aca="false">OperatingCurve!AY297</f>
        <v>13.116</v>
      </c>
      <c r="AM272" s="286" t="n">
        <f aca="false">OperatingCurve!AL297</f>
        <v>74</v>
      </c>
      <c r="AN272" s="287" t="n">
        <f aca="false">OperatingCurve!AM297</f>
        <v>0.4</v>
      </c>
    </row>
    <row r="273" customFormat="false" ht="12.75" hidden="false" customHeight="false" outlineLevel="0" collapsed="false">
      <c r="A273" s="282" t="n">
        <f aca="false">OperatingCurve!D269</f>
        <v>44075</v>
      </c>
      <c r="B273" s="283" t="n">
        <f aca="false">OperatingCurve!H269</f>
        <v>30.9</v>
      </c>
      <c r="C273" s="283" t="n">
        <f aca="false">OperatingCurve!G269</f>
        <v>36.225</v>
      </c>
      <c r="D273" s="283" t="n">
        <f aca="false">OperatingCurve!I269</f>
        <v>73.761</v>
      </c>
      <c r="E273" s="293"/>
      <c r="F273" s="283" t="n">
        <f aca="false">OperatingCurve!M269</f>
        <v>0</v>
      </c>
      <c r="G273" s="283" t="n">
        <f aca="false">OperatingCurve!L269</f>
        <v>0</v>
      </c>
      <c r="H273" s="283" t="n">
        <f aca="false">OperatingCurve!N269</f>
        <v>0</v>
      </c>
      <c r="J273" s="284" t="n">
        <f aca="false">OperatingCurve!V298</f>
        <v>44958</v>
      </c>
      <c r="K273" s="285" t="n">
        <f aca="false">OperatingCurve!Z298</f>
        <v>0</v>
      </c>
      <c r="L273" s="285" t="n">
        <f aca="false">OperatingCurve!Y298</f>
        <v>0</v>
      </c>
      <c r="M273" s="285" t="n">
        <f aca="false">OperatingCurve!AA298</f>
        <v>0</v>
      </c>
      <c r="O273" s="285" t="n">
        <f aca="false">OperatingCurve!AE298</f>
        <v>0</v>
      </c>
      <c r="P273" s="285" t="n">
        <f aca="false">OperatingCurve!AD298</f>
        <v>0</v>
      </c>
      <c r="Q273" s="285" t="n">
        <f aca="false">OperatingCurve!AF298</f>
        <v>0</v>
      </c>
      <c r="S273" s="285" t="n">
        <f aca="false">OperatingCurve!AJ298</f>
        <v>0</v>
      </c>
      <c r="T273" s="285" t="n">
        <f aca="false">OperatingCurve!AI298</f>
        <v>0</v>
      </c>
      <c r="U273" s="285" t="n">
        <f aca="false">OperatingCurve!AK298</f>
        <v>0</v>
      </c>
      <c r="W273" s="285" t="n">
        <f aca="false">OperatingCurve!AO298</f>
        <v>0</v>
      </c>
      <c r="X273" s="285" t="n">
        <f aca="false">OperatingCurve!AN298</f>
        <v>0</v>
      </c>
      <c r="Y273" s="285" t="n">
        <f aca="false">OperatingCurve!AP298</f>
        <v>0</v>
      </c>
      <c r="AA273" s="285" t="n">
        <f aca="false">OperatingCurve!AR298</f>
        <v>0</v>
      </c>
      <c r="AB273" s="285" t="n">
        <f aca="false">OperatingCurve!AQ298</f>
        <v>0</v>
      </c>
      <c r="AC273" s="285" t="n">
        <f aca="false">OperatingCurve!AS298</f>
        <v>0</v>
      </c>
      <c r="AE273" s="285" t="n">
        <f aca="false">OperatingCurve!AU298</f>
        <v>-0.402107379613998</v>
      </c>
      <c r="AF273" s="285" t="n">
        <f aca="false">OperatingCurve!AT298</f>
        <v>6.43371807382396</v>
      </c>
      <c r="AG273" s="285" t="n">
        <f aca="false">OperatingCurve!AV298</f>
        <v>8.04214759227995</v>
      </c>
      <c r="AI273" s="285" t="n">
        <f aca="false">OperatingCurve!AX298</f>
        <v>-0.6616875</v>
      </c>
      <c r="AJ273" s="285" t="n">
        <f aca="false">OperatingCurve!AW298</f>
        <v>10.587</v>
      </c>
      <c r="AK273" s="285" t="n">
        <f aca="false">OperatingCurve!AY298</f>
        <v>13.23375</v>
      </c>
      <c r="AM273" s="286" t="n">
        <f aca="false">OperatingCurve!AL298</f>
        <v>74</v>
      </c>
      <c r="AN273" s="287" t="n">
        <f aca="false">OperatingCurve!AM298</f>
        <v>0.4</v>
      </c>
    </row>
    <row r="274" customFormat="false" ht="12.75" hidden="false" customHeight="false" outlineLevel="0" collapsed="false">
      <c r="A274" s="282" t="n">
        <f aca="false">OperatingCurve!D270</f>
        <v>44105</v>
      </c>
      <c r="B274" s="283" t="n">
        <f aca="false">OperatingCurve!H270</f>
        <v>33.024</v>
      </c>
      <c r="C274" s="283" t="n">
        <f aca="false">OperatingCurve!G270</f>
        <v>38.369</v>
      </c>
      <c r="D274" s="283" t="n">
        <f aca="false">OperatingCurve!I270</f>
        <v>76.041</v>
      </c>
      <c r="E274" s="293"/>
      <c r="F274" s="283" t="n">
        <f aca="false">OperatingCurve!M270</f>
        <v>0</v>
      </c>
      <c r="G274" s="283" t="n">
        <f aca="false">OperatingCurve!L270</f>
        <v>0</v>
      </c>
      <c r="H274" s="283" t="n">
        <f aca="false">OperatingCurve!N270</f>
        <v>0</v>
      </c>
      <c r="J274" s="284" t="n">
        <f aca="false">OperatingCurve!V299</f>
        <v>44986</v>
      </c>
      <c r="K274" s="285" t="n">
        <f aca="false">OperatingCurve!Z299</f>
        <v>0</v>
      </c>
      <c r="L274" s="285" t="n">
        <f aca="false">OperatingCurve!Y299</f>
        <v>0</v>
      </c>
      <c r="M274" s="285" t="n">
        <f aca="false">OperatingCurve!AA299</f>
        <v>0</v>
      </c>
      <c r="O274" s="285" t="n">
        <f aca="false">OperatingCurve!AE299</f>
        <v>0</v>
      </c>
      <c r="P274" s="285" t="n">
        <f aca="false">OperatingCurve!AD299</f>
        <v>0</v>
      </c>
      <c r="Q274" s="285" t="n">
        <f aca="false">OperatingCurve!AF299</f>
        <v>0</v>
      </c>
      <c r="S274" s="285" t="n">
        <f aca="false">OperatingCurve!AJ299</f>
        <v>0</v>
      </c>
      <c r="T274" s="285" t="n">
        <f aca="false">OperatingCurve!AI299</f>
        <v>0</v>
      </c>
      <c r="U274" s="285" t="n">
        <f aca="false">OperatingCurve!AK299</f>
        <v>0</v>
      </c>
      <c r="W274" s="285" t="n">
        <f aca="false">OperatingCurve!AO299</f>
        <v>0</v>
      </c>
      <c r="X274" s="285" t="n">
        <f aca="false">OperatingCurve!AN299</f>
        <v>0</v>
      </c>
      <c r="Y274" s="285" t="n">
        <f aca="false">OperatingCurve!AP299</f>
        <v>0</v>
      </c>
      <c r="AA274" s="285" t="n">
        <f aca="false">OperatingCurve!AR299</f>
        <v>0</v>
      </c>
      <c r="AB274" s="285" t="n">
        <f aca="false">OperatingCurve!AQ299</f>
        <v>0</v>
      </c>
      <c r="AC274" s="285" t="n">
        <f aca="false">OperatingCurve!AS299</f>
        <v>0</v>
      </c>
      <c r="AE274" s="285" t="n">
        <f aca="false">OperatingCurve!AU299</f>
        <v>-0.395696014851329</v>
      </c>
      <c r="AF274" s="285" t="n">
        <f aca="false">OperatingCurve!AT299</f>
        <v>6.33113623762127</v>
      </c>
      <c r="AG274" s="285" t="n">
        <f aca="false">OperatingCurve!AV299</f>
        <v>7.91392029702658</v>
      </c>
      <c r="AI274" s="285" t="n">
        <f aca="false">OperatingCurve!AX299</f>
        <v>-0.667575</v>
      </c>
      <c r="AJ274" s="285" t="n">
        <f aca="false">OperatingCurve!AW299</f>
        <v>10.6812</v>
      </c>
      <c r="AK274" s="285" t="n">
        <f aca="false">OperatingCurve!AY299</f>
        <v>13.3515</v>
      </c>
      <c r="AM274" s="286" t="n">
        <f aca="false">OperatingCurve!AL299</f>
        <v>74</v>
      </c>
      <c r="AN274" s="287" t="n">
        <f aca="false">OperatingCurve!AM299</f>
        <v>0.4</v>
      </c>
    </row>
    <row r="275" customFormat="false" ht="12.75" hidden="false" customHeight="false" outlineLevel="0" collapsed="false">
      <c r="A275" s="282" t="n">
        <f aca="false">OperatingCurve!D271</f>
        <v>44136</v>
      </c>
      <c r="B275" s="283" t="n">
        <f aca="false">OperatingCurve!H271</f>
        <v>26.676</v>
      </c>
      <c r="C275" s="283" t="n">
        <f aca="false">OperatingCurve!G271</f>
        <v>31.961</v>
      </c>
      <c r="D275" s="283" t="n">
        <f aca="false">OperatingCurve!I271</f>
        <v>69.225</v>
      </c>
      <c r="E275" s="293"/>
      <c r="F275" s="283" t="n">
        <f aca="false">OperatingCurve!M271</f>
        <v>0</v>
      </c>
      <c r="G275" s="283" t="n">
        <f aca="false">OperatingCurve!L271</f>
        <v>0</v>
      </c>
      <c r="H275" s="283" t="n">
        <f aca="false">OperatingCurve!N271</f>
        <v>0</v>
      </c>
      <c r="J275" s="284" t="n">
        <f aca="false">OperatingCurve!V300</f>
        <v>45017</v>
      </c>
      <c r="K275" s="285" t="n">
        <f aca="false">OperatingCurve!Z300</f>
        <v>0</v>
      </c>
      <c r="L275" s="285" t="n">
        <f aca="false">OperatingCurve!Y300</f>
        <v>0</v>
      </c>
      <c r="M275" s="285" t="n">
        <f aca="false">OperatingCurve!AA300</f>
        <v>0</v>
      </c>
      <c r="O275" s="285" t="n">
        <f aca="false">OperatingCurve!AE300</f>
        <v>0</v>
      </c>
      <c r="P275" s="285" t="n">
        <f aca="false">OperatingCurve!AD300</f>
        <v>0</v>
      </c>
      <c r="Q275" s="285" t="n">
        <f aca="false">OperatingCurve!AF300</f>
        <v>0</v>
      </c>
      <c r="S275" s="285" t="n">
        <f aca="false">OperatingCurve!AJ300</f>
        <v>0</v>
      </c>
      <c r="T275" s="285" t="n">
        <f aca="false">OperatingCurve!AI300</f>
        <v>0</v>
      </c>
      <c r="U275" s="285" t="n">
        <f aca="false">OperatingCurve!AK300</f>
        <v>0</v>
      </c>
      <c r="W275" s="285" t="n">
        <f aca="false">OperatingCurve!AO300</f>
        <v>0</v>
      </c>
      <c r="X275" s="285" t="n">
        <f aca="false">OperatingCurve!AN300</f>
        <v>0</v>
      </c>
      <c r="Y275" s="285" t="n">
        <f aca="false">OperatingCurve!AP300</f>
        <v>0</v>
      </c>
      <c r="AA275" s="285" t="n">
        <f aca="false">OperatingCurve!AR300</f>
        <v>0</v>
      </c>
      <c r="AB275" s="285" t="n">
        <f aca="false">OperatingCurve!AQ300</f>
        <v>0</v>
      </c>
      <c r="AC275" s="285" t="n">
        <f aca="false">OperatingCurve!AS300</f>
        <v>0</v>
      </c>
      <c r="AE275" s="285" t="n">
        <f aca="false">OperatingCurve!AU300</f>
        <v>-0.395696014851329</v>
      </c>
      <c r="AF275" s="285" t="n">
        <f aca="false">OperatingCurve!AT300</f>
        <v>6.33113623762127</v>
      </c>
      <c r="AG275" s="285" t="n">
        <f aca="false">OperatingCurve!AV300</f>
        <v>7.91392029702658</v>
      </c>
      <c r="AI275" s="285" t="n">
        <f aca="false">OperatingCurve!AX300</f>
        <v>-0.667575</v>
      </c>
      <c r="AJ275" s="285" t="n">
        <f aca="false">OperatingCurve!AW300</f>
        <v>10.6812</v>
      </c>
      <c r="AK275" s="285" t="n">
        <f aca="false">OperatingCurve!AY300</f>
        <v>13.3515</v>
      </c>
      <c r="AM275" s="286" t="n">
        <f aca="false">OperatingCurve!AL300</f>
        <v>74</v>
      </c>
      <c r="AN275" s="287" t="n">
        <f aca="false">OperatingCurve!AM300</f>
        <v>0.4</v>
      </c>
    </row>
    <row r="276" customFormat="false" ht="12.75" hidden="false" customHeight="false" outlineLevel="0" collapsed="false">
      <c r="A276" s="282" t="n">
        <f aca="false">OperatingCurve!D272</f>
        <v>44166</v>
      </c>
      <c r="B276" s="283" t="n">
        <f aca="false">OperatingCurve!H272</f>
        <v>27.729</v>
      </c>
      <c r="C276" s="283" t="n">
        <f aca="false">OperatingCurve!G272</f>
        <v>33.024</v>
      </c>
      <c r="D276" s="283" t="n">
        <f aca="false">OperatingCurve!I272</f>
        <v>70.356</v>
      </c>
      <c r="E276" s="293"/>
      <c r="F276" s="283" t="n">
        <f aca="false">OperatingCurve!M272</f>
        <v>0</v>
      </c>
      <c r="G276" s="283" t="n">
        <f aca="false">OperatingCurve!L272</f>
        <v>0</v>
      </c>
      <c r="H276" s="283" t="n">
        <f aca="false">OperatingCurve!N272</f>
        <v>0</v>
      </c>
      <c r="J276" s="284" t="n">
        <f aca="false">OperatingCurve!V301</f>
        <v>45047</v>
      </c>
      <c r="K276" s="285" t="n">
        <f aca="false">OperatingCurve!Z301</f>
        <v>0</v>
      </c>
      <c r="L276" s="285" t="n">
        <f aca="false">OperatingCurve!Y301</f>
        <v>0</v>
      </c>
      <c r="M276" s="285" t="n">
        <f aca="false">OperatingCurve!AA301</f>
        <v>0</v>
      </c>
      <c r="O276" s="285" t="n">
        <f aca="false">OperatingCurve!AE301</f>
        <v>0</v>
      </c>
      <c r="P276" s="285" t="n">
        <f aca="false">OperatingCurve!AD301</f>
        <v>0</v>
      </c>
      <c r="Q276" s="285" t="n">
        <f aca="false">OperatingCurve!AF301</f>
        <v>0</v>
      </c>
      <c r="S276" s="285" t="n">
        <f aca="false">OperatingCurve!AJ301</f>
        <v>0</v>
      </c>
      <c r="T276" s="285" t="n">
        <f aca="false">OperatingCurve!AI301</f>
        <v>0</v>
      </c>
      <c r="U276" s="285" t="n">
        <f aca="false">OperatingCurve!AK301</f>
        <v>0</v>
      </c>
      <c r="W276" s="285" t="n">
        <f aca="false">OperatingCurve!AO301</f>
        <v>0</v>
      </c>
      <c r="X276" s="285" t="n">
        <f aca="false">OperatingCurve!AN301</f>
        <v>0</v>
      </c>
      <c r="Y276" s="285" t="n">
        <f aca="false">OperatingCurve!AP301</f>
        <v>0</v>
      </c>
      <c r="AA276" s="285" t="n">
        <f aca="false">OperatingCurve!AR301</f>
        <v>0</v>
      </c>
      <c r="AB276" s="285" t="n">
        <f aca="false">OperatingCurve!AQ301</f>
        <v>0</v>
      </c>
      <c r="AC276" s="285" t="n">
        <f aca="false">OperatingCurve!AS301</f>
        <v>0</v>
      </c>
      <c r="AE276" s="285" t="n">
        <f aca="false">OperatingCurve!AU301</f>
        <v>-0.419655399211954</v>
      </c>
      <c r="AF276" s="285" t="n">
        <f aca="false">OperatingCurve!AT301</f>
        <v>6.71448638739126</v>
      </c>
      <c r="AG276" s="285" t="n">
        <f aca="false">OperatingCurve!AV301</f>
        <v>8.39310798423907</v>
      </c>
      <c r="AI276" s="285" t="n">
        <f aca="false">OperatingCurve!AX301</f>
        <v>-0.6499125</v>
      </c>
      <c r="AJ276" s="285" t="n">
        <f aca="false">OperatingCurve!AW301</f>
        <v>10.3986</v>
      </c>
      <c r="AK276" s="285" t="n">
        <f aca="false">OperatingCurve!AY301</f>
        <v>12.99825</v>
      </c>
      <c r="AM276" s="286" t="n">
        <f aca="false">OperatingCurve!AL301</f>
        <v>74</v>
      </c>
      <c r="AN276" s="287" t="n">
        <f aca="false">OperatingCurve!AM301</f>
        <v>0.4</v>
      </c>
    </row>
    <row r="277" customFormat="false" ht="12.75" hidden="false" customHeight="false" outlineLevel="0" collapsed="false">
      <c r="A277" s="282" t="n">
        <f aca="false">OperatingCurve!D273</f>
        <v>44197</v>
      </c>
      <c r="B277" s="283" t="n">
        <f aca="false">OperatingCurve!H273</f>
        <v>28.784</v>
      </c>
      <c r="C277" s="283" t="n">
        <f aca="false">OperatingCurve!G273</f>
        <v>34.089</v>
      </c>
      <c r="D277" s="283" t="n">
        <f aca="false">OperatingCurve!I273</f>
        <v>71.489</v>
      </c>
      <c r="E277" s="293"/>
      <c r="F277" s="283" t="n">
        <f aca="false">OperatingCurve!M273</f>
        <v>0</v>
      </c>
      <c r="G277" s="283" t="n">
        <f aca="false">OperatingCurve!L273</f>
        <v>0</v>
      </c>
      <c r="H277" s="283" t="n">
        <f aca="false">OperatingCurve!N273</f>
        <v>0</v>
      </c>
      <c r="J277" s="284" t="n">
        <f aca="false">OperatingCurve!V302</f>
        <v>45078</v>
      </c>
      <c r="K277" s="285" t="n">
        <f aca="false">OperatingCurve!Z302</f>
        <v>0</v>
      </c>
      <c r="L277" s="285" t="n">
        <f aca="false">OperatingCurve!Y302</f>
        <v>0</v>
      </c>
      <c r="M277" s="285" t="n">
        <f aca="false">OperatingCurve!AA302</f>
        <v>0</v>
      </c>
      <c r="O277" s="285" t="n">
        <f aca="false">OperatingCurve!AE302</f>
        <v>0</v>
      </c>
      <c r="P277" s="285" t="n">
        <f aca="false">OperatingCurve!AD302</f>
        <v>0</v>
      </c>
      <c r="Q277" s="285" t="n">
        <f aca="false">OperatingCurve!AF302</f>
        <v>0</v>
      </c>
      <c r="S277" s="285" t="n">
        <f aca="false">OperatingCurve!AJ302</f>
        <v>0</v>
      </c>
      <c r="T277" s="285" t="n">
        <f aca="false">OperatingCurve!AI302</f>
        <v>0</v>
      </c>
      <c r="U277" s="285" t="n">
        <f aca="false">OperatingCurve!AK302</f>
        <v>0</v>
      </c>
      <c r="W277" s="285" t="n">
        <f aca="false">OperatingCurve!AO302</f>
        <v>0</v>
      </c>
      <c r="X277" s="285" t="n">
        <f aca="false">OperatingCurve!AN302</f>
        <v>0</v>
      </c>
      <c r="Y277" s="285" t="n">
        <f aca="false">OperatingCurve!AP302</f>
        <v>0</v>
      </c>
      <c r="AA277" s="285" t="n">
        <f aca="false">OperatingCurve!AR302</f>
        <v>0</v>
      </c>
      <c r="AB277" s="285" t="n">
        <f aca="false">OperatingCurve!AQ302</f>
        <v>0</v>
      </c>
      <c r="AC277" s="285" t="n">
        <f aca="false">OperatingCurve!AS302</f>
        <v>0</v>
      </c>
      <c r="AE277" s="285" t="n">
        <f aca="false">OperatingCurve!AU302</f>
        <v>-0.517091326059428</v>
      </c>
      <c r="AF277" s="285" t="n">
        <f aca="false">OperatingCurve!AT302</f>
        <v>8.27346121695085</v>
      </c>
      <c r="AG277" s="285" t="n">
        <f aca="false">OperatingCurve!AV302</f>
        <v>10.3418265211886</v>
      </c>
      <c r="AI277" s="285" t="n">
        <f aca="false">OperatingCurve!AX302</f>
        <v>-0.6087</v>
      </c>
      <c r="AJ277" s="285" t="n">
        <f aca="false">OperatingCurve!AW302</f>
        <v>9.7392</v>
      </c>
      <c r="AK277" s="285" t="n">
        <f aca="false">OperatingCurve!AY302</f>
        <v>12.174</v>
      </c>
      <c r="AM277" s="286" t="n">
        <f aca="false">OperatingCurve!AL302</f>
        <v>74</v>
      </c>
      <c r="AN277" s="287" t="n">
        <f aca="false">OperatingCurve!AM302</f>
        <v>0.4</v>
      </c>
    </row>
    <row r="278" customFormat="false" ht="12.75" hidden="false" customHeight="false" outlineLevel="0" collapsed="false">
      <c r="A278" s="282" t="n">
        <f aca="false">OperatingCurve!D274</f>
        <v>44228</v>
      </c>
      <c r="B278" s="283" t="n">
        <f aca="false">OperatingCurve!H274</f>
        <v>25.625</v>
      </c>
      <c r="C278" s="283" t="n">
        <f aca="false">OperatingCurve!G274</f>
        <v>30.9</v>
      </c>
      <c r="D278" s="283" t="n">
        <f aca="false">OperatingCurve!I274</f>
        <v>68.096</v>
      </c>
      <c r="E278" s="293"/>
      <c r="F278" s="283" t="n">
        <f aca="false">OperatingCurve!M274</f>
        <v>0</v>
      </c>
      <c r="G278" s="283" t="n">
        <f aca="false">OperatingCurve!L274</f>
        <v>0</v>
      </c>
      <c r="H278" s="283" t="n">
        <f aca="false">OperatingCurve!N274</f>
        <v>0</v>
      </c>
      <c r="J278" s="284" t="n">
        <f aca="false">OperatingCurve!V303</f>
        <v>45108</v>
      </c>
      <c r="K278" s="285" t="n">
        <f aca="false">OperatingCurve!Z303</f>
        <v>0</v>
      </c>
      <c r="L278" s="285" t="n">
        <f aca="false">OperatingCurve!Y303</f>
        <v>0</v>
      </c>
      <c r="M278" s="285" t="n">
        <f aca="false">OperatingCurve!AA303</f>
        <v>0</v>
      </c>
      <c r="O278" s="285" t="n">
        <f aca="false">OperatingCurve!AE303</f>
        <v>0</v>
      </c>
      <c r="P278" s="285" t="n">
        <f aca="false">OperatingCurve!AD303</f>
        <v>0</v>
      </c>
      <c r="Q278" s="285" t="n">
        <f aca="false">OperatingCurve!AF303</f>
        <v>0</v>
      </c>
      <c r="S278" s="285" t="n">
        <f aca="false">OperatingCurve!AJ303</f>
        <v>0</v>
      </c>
      <c r="T278" s="285" t="n">
        <f aca="false">OperatingCurve!AI303</f>
        <v>0</v>
      </c>
      <c r="U278" s="285" t="n">
        <f aca="false">OperatingCurve!AK303</f>
        <v>0</v>
      </c>
      <c r="W278" s="285" t="n">
        <f aca="false">OperatingCurve!AO303</f>
        <v>0</v>
      </c>
      <c r="X278" s="285" t="n">
        <f aca="false">OperatingCurve!AN303</f>
        <v>0</v>
      </c>
      <c r="Y278" s="285" t="n">
        <f aca="false">OperatingCurve!AP303</f>
        <v>0</v>
      </c>
      <c r="AA278" s="285" t="n">
        <f aca="false">OperatingCurve!AR303</f>
        <v>0</v>
      </c>
      <c r="AB278" s="285" t="n">
        <f aca="false">OperatingCurve!AQ303</f>
        <v>0</v>
      </c>
      <c r="AC278" s="285" t="n">
        <f aca="false">OperatingCurve!AS303</f>
        <v>0</v>
      </c>
      <c r="AE278" s="285" t="n">
        <f aca="false">OperatingCurve!AU303</f>
        <v>-0.517091326059428</v>
      </c>
      <c r="AF278" s="285" t="n">
        <f aca="false">OperatingCurve!AT303</f>
        <v>8.27346121695085</v>
      </c>
      <c r="AG278" s="285" t="n">
        <f aca="false">OperatingCurve!AV303</f>
        <v>10.3418265211886</v>
      </c>
      <c r="AI278" s="285" t="n">
        <f aca="false">OperatingCurve!AX303</f>
        <v>-0.6087</v>
      </c>
      <c r="AJ278" s="285" t="n">
        <f aca="false">OperatingCurve!AW303</f>
        <v>9.7392</v>
      </c>
      <c r="AK278" s="285" t="n">
        <f aca="false">OperatingCurve!AY303</f>
        <v>12.174</v>
      </c>
      <c r="AM278" s="286" t="n">
        <f aca="false">OperatingCurve!AL303</f>
        <v>74</v>
      </c>
      <c r="AN278" s="287" t="n">
        <f aca="false">OperatingCurve!AM303</f>
        <v>0.4</v>
      </c>
    </row>
    <row r="279" customFormat="false" ht="12.75" hidden="false" customHeight="false" outlineLevel="0" collapsed="false">
      <c r="A279" s="282" t="n">
        <f aca="false">OperatingCurve!D275</f>
        <v>44256</v>
      </c>
      <c r="B279" s="283" t="n">
        <f aca="false">OperatingCurve!H275</f>
        <v>24.576</v>
      </c>
      <c r="C279" s="283" t="n">
        <f aca="false">OperatingCurve!G275</f>
        <v>29.841</v>
      </c>
      <c r="D279" s="283" t="n">
        <f aca="false">OperatingCurve!I275</f>
        <v>66.969</v>
      </c>
      <c r="E279" s="293"/>
      <c r="F279" s="283" t="n">
        <f aca="false">OperatingCurve!M275</f>
        <v>0</v>
      </c>
      <c r="G279" s="283" t="n">
        <f aca="false">OperatingCurve!L275</f>
        <v>0</v>
      </c>
      <c r="H279" s="283" t="n">
        <f aca="false">OperatingCurve!N275</f>
        <v>0</v>
      </c>
      <c r="J279" s="284" t="n">
        <f aca="false">OperatingCurve!V304</f>
        <v>45139</v>
      </c>
      <c r="K279" s="285" t="n">
        <f aca="false">OperatingCurve!Z304</f>
        <v>0</v>
      </c>
      <c r="L279" s="285" t="n">
        <f aca="false">OperatingCurve!Y304</f>
        <v>0</v>
      </c>
      <c r="M279" s="285" t="n">
        <f aca="false">OperatingCurve!AA304</f>
        <v>0</v>
      </c>
      <c r="O279" s="285" t="n">
        <f aca="false">OperatingCurve!AE304</f>
        <v>0</v>
      </c>
      <c r="P279" s="285" t="n">
        <f aca="false">OperatingCurve!AD304</f>
        <v>0</v>
      </c>
      <c r="Q279" s="285" t="n">
        <f aca="false">OperatingCurve!AF304</f>
        <v>0</v>
      </c>
      <c r="S279" s="285" t="n">
        <f aca="false">OperatingCurve!AJ304</f>
        <v>0</v>
      </c>
      <c r="T279" s="285" t="n">
        <f aca="false">OperatingCurve!AI304</f>
        <v>0</v>
      </c>
      <c r="U279" s="285" t="n">
        <f aca="false">OperatingCurve!AK304</f>
        <v>0</v>
      </c>
      <c r="W279" s="285" t="n">
        <f aca="false">OperatingCurve!AO304</f>
        <v>0</v>
      </c>
      <c r="X279" s="285" t="n">
        <f aca="false">OperatingCurve!AN304</f>
        <v>0</v>
      </c>
      <c r="Y279" s="285" t="n">
        <f aca="false">OperatingCurve!AP304</f>
        <v>0</v>
      </c>
      <c r="AA279" s="285" t="n">
        <f aca="false">OperatingCurve!AR304</f>
        <v>0</v>
      </c>
      <c r="AB279" s="285" t="n">
        <f aca="false">OperatingCurve!AQ304</f>
        <v>0</v>
      </c>
      <c r="AC279" s="285" t="n">
        <f aca="false">OperatingCurve!AS304</f>
        <v>0</v>
      </c>
      <c r="AE279" s="285" t="n">
        <f aca="false">OperatingCurve!AU304</f>
        <v>-0.552146177512111</v>
      </c>
      <c r="AF279" s="285" t="n">
        <f aca="false">OperatingCurve!AT304</f>
        <v>8.83433884019377</v>
      </c>
      <c r="AG279" s="285" t="n">
        <f aca="false">OperatingCurve!AV304</f>
        <v>11.0429235502422</v>
      </c>
      <c r="AI279" s="285" t="n">
        <f aca="false">OperatingCurve!AX304</f>
        <v>-0.596925</v>
      </c>
      <c r="AJ279" s="285" t="n">
        <f aca="false">OperatingCurve!AW304</f>
        <v>9.5508</v>
      </c>
      <c r="AK279" s="285" t="n">
        <f aca="false">OperatingCurve!AY304</f>
        <v>11.9385</v>
      </c>
      <c r="AM279" s="286" t="n">
        <f aca="false">OperatingCurve!AL304</f>
        <v>74</v>
      </c>
      <c r="AN279" s="287" t="n">
        <f aca="false">OperatingCurve!AM304</f>
        <v>0.4</v>
      </c>
    </row>
    <row r="280" customFormat="false" ht="12.75" hidden="false" customHeight="false" outlineLevel="0" collapsed="false">
      <c r="A280" s="282" t="n">
        <f aca="false">OperatingCurve!D276</f>
        <v>44287</v>
      </c>
      <c r="B280" s="283" t="n">
        <f aca="false">OperatingCurve!H276</f>
        <v>24.576</v>
      </c>
      <c r="C280" s="283" t="n">
        <f aca="false">OperatingCurve!G276</f>
        <v>29.841</v>
      </c>
      <c r="D280" s="283" t="n">
        <f aca="false">OperatingCurve!I276</f>
        <v>66.969</v>
      </c>
      <c r="E280" s="293"/>
      <c r="F280" s="283" t="n">
        <f aca="false">OperatingCurve!M276</f>
        <v>0</v>
      </c>
      <c r="G280" s="283" t="n">
        <f aca="false">OperatingCurve!L276</f>
        <v>0</v>
      </c>
      <c r="H280" s="283" t="n">
        <f aca="false">OperatingCurve!N276</f>
        <v>0</v>
      </c>
      <c r="J280" s="284" t="n">
        <f aca="false">OperatingCurve!V305</f>
        <v>45170</v>
      </c>
      <c r="K280" s="285" t="n">
        <f aca="false">OperatingCurve!Z305</f>
        <v>0</v>
      </c>
      <c r="L280" s="285" t="n">
        <f aca="false">OperatingCurve!Y305</f>
        <v>0</v>
      </c>
      <c r="M280" s="285" t="n">
        <f aca="false">OperatingCurve!AA305</f>
        <v>0</v>
      </c>
      <c r="O280" s="285" t="n">
        <f aca="false">OperatingCurve!AE305</f>
        <v>0</v>
      </c>
      <c r="P280" s="285" t="n">
        <f aca="false">OperatingCurve!AD305</f>
        <v>0</v>
      </c>
      <c r="Q280" s="285" t="n">
        <f aca="false">OperatingCurve!AF305</f>
        <v>0</v>
      </c>
      <c r="S280" s="285" t="n">
        <f aca="false">OperatingCurve!AJ305</f>
        <v>0</v>
      </c>
      <c r="T280" s="285" t="n">
        <f aca="false">OperatingCurve!AI305</f>
        <v>0</v>
      </c>
      <c r="U280" s="285" t="n">
        <f aca="false">OperatingCurve!AK305</f>
        <v>0</v>
      </c>
      <c r="W280" s="285" t="n">
        <f aca="false">OperatingCurve!AO305</f>
        <v>0</v>
      </c>
      <c r="X280" s="285" t="n">
        <f aca="false">OperatingCurve!AN305</f>
        <v>0</v>
      </c>
      <c r="Y280" s="285" t="n">
        <f aca="false">OperatingCurve!AP305</f>
        <v>0</v>
      </c>
      <c r="AA280" s="285" t="n">
        <f aca="false">OperatingCurve!AR305</f>
        <v>0</v>
      </c>
      <c r="AB280" s="285" t="n">
        <f aca="false">OperatingCurve!AQ305</f>
        <v>0</v>
      </c>
      <c r="AC280" s="285" t="n">
        <f aca="false">OperatingCurve!AS305</f>
        <v>0</v>
      </c>
      <c r="AE280" s="285" t="n">
        <f aca="false">OperatingCurve!AU305</f>
        <v>-0.455637578174882</v>
      </c>
      <c r="AF280" s="285" t="n">
        <f aca="false">OperatingCurve!AT305</f>
        <v>7.29020125079811</v>
      </c>
      <c r="AG280" s="285" t="n">
        <f aca="false">OperatingCurve!AV305</f>
        <v>9.11275156349763</v>
      </c>
      <c r="AI280" s="285" t="n">
        <f aca="false">OperatingCurve!AX305</f>
        <v>-0.63225</v>
      </c>
      <c r="AJ280" s="285" t="n">
        <f aca="false">OperatingCurve!AW305</f>
        <v>10.116</v>
      </c>
      <c r="AK280" s="285" t="n">
        <f aca="false">OperatingCurve!AY305</f>
        <v>12.645</v>
      </c>
      <c r="AM280" s="286" t="n">
        <f aca="false">OperatingCurve!AL305</f>
        <v>74</v>
      </c>
      <c r="AN280" s="287" t="n">
        <f aca="false">OperatingCurve!AM305</f>
        <v>0.4</v>
      </c>
    </row>
    <row r="281" customFormat="false" ht="12.75" hidden="false" customHeight="false" outlineLevel="0" collapsed="false">
      <c r="A281" s="282" t="n">
        <f aca="false">OperatingCurve!D277</f>
        <v>44317</v>
      </c>
      <c r="B281" s="283" t="n">
        <f aca="false">OperatingCurve!H277</f>
        <v>27.729</v>
      </c>
      <c r="C281" s="283" t="n">
        <f aca="false">OperatingCurve!G277</f>
        <v>33.024</v>
      </c>
      <c r="D281" s="283" t="n">
        <f aca="false">OperatingCurve!I277</f>
        <v>70.356</v>
      </c>
      <c r="E281" s="293"/>
      <c r="F281" s="283" t="n">
        <f aca="false">OperatingCurve!M277</f>
        <v>0</v>
      </c>
      <c r="G281" s="283" t="n">
        <f aca="false">OperatingCurve!L277</f>
        <v>0</v>
      </c>
      <c r="H281" s="283" t="n">
        <f aca="false">OperatingCurve!N277</f>
        <v>0</v>
      </c>
      <c r="J281" s="284" t="n">
        <f aca="false">OperatingCurve!V306</f>
        <v>45200</v>
      </c>
      <c r="K281" s="285" t="n">
        <f aca="false">OperatingCurve!Z306</f>
        <v>0</v>
      </c>
      <c r="L281" s="285" t="n">
        <f aca="false">OperatingCurve!Y306</f>
        <v>0</v>
      </c>
      <c r="M281" s="285" t="n">
        <f aca="false">OperatingCurve!AA306</f>
        <v>0</v>
      </c>
      <c r="O281" s="285" t="n">
        <f aca="false">OperatingCurve!AE306</f>
        <v>0</v>
      </c>
      <c r="P281" s="285" t="n">
        <f aca="false">OperatingCurve!AD306</f>
        <v>0</v>
      </c>
      <c r="Q281" s="285" t="n">
        <f aca="false">OperatingCurve!AF306</f>
        <v>0</v>
      </c>
      <c r="S281" s="285" t="n">
        <f aca="false">OperatingCurve!AJ306</f>
        <v>0</v>
      </c>
      <c r="T281" s="285" t="n">
        <f aca="false">OperatingCurve!AI306</f>
        <v>0</v>
      </c>
      <c r="U281" s="285" t="n">
        <f aca="false">OperatingCurve!AK306</f>
        <v>0</v>
      </c>
      <c r="W281" s="285" t="n">
        <f aca="false">OperatingCurve!AO306</f>
        <v>0</v>
      </c>
      <c r="X281" s="285" t="n">
        <f aca="false">OperatingCurve!AN306</f>
        <v>0</v>
      </c>
      <c r="Y281" s="285" t="n">
        <f aca="false">OperatingCurve!AP306</f>
        <v>0</v>
      </c>
      <c r="AA281" s="285" t="n">
        <f aca="false">OperatingCurve!AR306</f>
        <v>0</v>
      </c>
      <c r="AB281" s="285" t="n">
        <f aca="false">OperatingCurve!AQ306</f>
        <v>0</v>
      </c>
      <c r="AC281" s="285" t="n">
        <f aca="false">OperatingCurve!AS306</f>
        <v>0</v>
      </c>
      <c r="AE281" s="285" t="n">
        <f aca="false">OperatingCurve!AU306</f>
        <v>-0.484735205974953</v>
      </c>
      <c r="AF281" s="285" t="n">
        <f aca="false">OperatingCurve!AT306</f>
        <v>7.75576329559925</v>
      </c>
      <c r="AG281" s="285" t="n">
        <f aca="false">OperatingCurve!AV306</f>
        <v>9.69470411949907</v>
      </c>
      <c r="AI281" s="285" t="n">
        <f aca="false">OperatingCurve!AX306</f>
        <v>-0.620475</v>
      </c>
      <c r="AJ281" s="285" t="n">
        <f aca="false">OperatingCurve!AW306</f>
        <v>9.9276</v>
      </c>
      <c r="AK281" s="285" t="n">
        <f aca="false">OperatingCurve!AY306</f>
        <v>12.4095</v>
      </c>
      <c r="AM281" s="286" t="n">
        <f aca="false">OperatingCurve!AL306</f>
        <v>74</v>
      </c>
      <c r="AN281" s="287" t="n">
        <f aca="false">OperatingCurve!AM306</f>
        <v>0.4</v>
      </c>
    </row>
    <row r="282" customFormat="false" ht="12.75" hidden="false" customHeight="false" outlineLevel="0" collapsed="false">
      <c r="A282" s="282" t="n">
        <f aca="false">OperatingCurve!D278</f>
        <v>44348</v>
      </c>
      <c r="B282" s="283" t="n">
        <f aca="false">OperatingCurve!H278</f>
        <v>35.156</v>
      </c>
      <c r="C282" s="283" t="n">
        <f aca="false">OperatingCurve!G278</f>
        <v>40.521</v>
      </c>
      <c r="D282" s="283" t="n">
        <f aca="false">OperatingCurve!I278</f>
        <v>78.329</v>
      </c>
      <c r="E282" s="293"/>
      <c r="F282" s="283" t="n">
        <f aca="false">OperatingCurve!M278</f>
        <v>0</v>
      </c>
      <c r="G282" s="283" t="n">
        <f aca="false">OperatingCurve!L278</f>
        <v>0</v>
      </c>
      <c r="H282" s="283" t="n">
        <f aca="false">OperatingCurve!N278</f>
        <v>0</v>
      </c>
      <c r="J282" s="284" t="n">
        <f aca="false">OperatingCurve!V307</f>
        <v>45231</v>
      </c>
      <c r="K282" s="285" t="n">
        <f aca="false">OperatingCurve!Z307</f>
        <v>0</v>
      </c>
      <c r="L282" s="285" t="n">
        <f aca="false">OperatingCurve!Y307</f>
        <v>0</v>
      </c>
      <c r="M282" s="285" t="n">
        <f aca="false">OperatingCurve!AA307</f>
        <v>0</v>
      </c>
      <c r="O282" s="285" t="n">
        <f aca="false">OperatingCurve!AE307</f>
        <v>0</v>
      </c>
      <c r="P282" s="285" t="n">
        <f aca="false">OperatingCurve!AD307</f>
        <v>0</v>
      </c>
      <c r="Q282" s="285" t="n">
        <f aca="false">OperatingCurve!AF307</f>
        <v>0</v>
      </c>
      <c r="S282" s="285" t="n">
        <f aca="false">OperatingCurve!AJ307</f>
        <v>0</v>
      </c>
      <c r="T282" s="285" t="n">
        <f aca="false">OperatingCurve!AI307</f>
        <v>0</v>
      </c>
      <c r="U282" s="285" t="n">
        <f aca="false">OperatingCurve!AK307</f>
        <v>0</v>
      </c>
      <c r="W282" s="285" t="n">
        <f aca="false">OperatingCurve!AO307</f>
        <v>0</v>
      </c>
      <c r="X282" s="285" t="n">
        <f aca="false">OperatingCurve!AN307</f>
        <v>0</v>
      </c>
      <c r="Y282" s="285" t="n">
        <f aca="false">OperatingCurve!AP307</f>
        <v>0</v>
      </c>
      <c r="AA282" s="285" t="n">
        <f aca="false">OperatingCurve!AR307</f>
        <v>0</v>
      </c>
      <c r="AB282" s="285" t="n">
        <f aca="false">OperatingCurve!AQ307</f>
        <v>0</v>
      </c>
      <c r="AC282" s="285" t="n">
        <f aca="false">OperatingCurve!AS307</f>
        <v>0</v>
      </c>
      <c r="AE282" s="285" t="n">
        <f aca="false">OperatingCurve!AU307</f>
        <v>-0.410147476715089</v>
      </c>
      <c r="AF282" s="285" t="n">
        <f aca="false">OperatingCurve!AT307</f>
        <v>6.56235962744143</v>
      </c>
      <c r="AG282" s="285" t="n">
        <f aca="false">OperatingCurve!AV307</f>
        <v>8.20294953430178</v>
      </c>
      <c r="AI282" s="285" t="n">
        <f aca="false">OperatingCurve!AX307</f>
        <v>-0.6558</v>
      </c>
      <c r="AJ282" s="285" t="n">
        <f aca="false">OperatingCurve!AW307</f>
        <v>10.4928</v>
      </c>
      <c r="AK282" s="285" t="n">
        <f aca="false">OperatingCurve!AY307</f>
        <v>13.116</v>
      </c>
      <c r="AM282" s="286" t="n">
        <f aca="false">OperatingCurve!AL307</f>
        <v>74</v>
      </c>
      <c r="AN282" s="287" t="n">
        <f aca="false">OperatingCurve!AM307</f>
        <v>0.4</v>
      </c>
    </row>
    <row r="283" customFormat="false" ht="12.75" hidden="false" customHeight="false" outlineLevel="0" collapsed="false">
      <c r="A283" s="282" t="n">
        <f aca="false">OperatingCurve!D279</f>
        <v>44378</v>
      </c>
      <c r="B283" s="283" t="n">
        <f aca="false">OperatingCurve!H279</f>
        <v>35.156</v>
      </c>
      <c r="C283" s="283" t="n">
        <f aca="false">OperatingCurve!G279</f>
        <v>40.521</v>
      </c>
      <c r="D283" s="283" t="n">
        <f aca="false">OperatingCurve!I279</f>
        <v>78.329</v>
      </c>
      <c r="E283" s="293"/>
      <c r="F283" s="283" t="n">
        <f aca="false">OperatingCurve!M279</f>
        <v>0</v>
      </c>
      <c r="G283" s="283" t="n">
        <f aca="false">OperatingCurve!L279</f>
        <v>0</v>
      </c>
      <c r="H283" s="283" t="n">
        <f aca="false">OperatingCurve!N279</f>
        <v>0</v>
      </c>
      <c r="J283" s="284" t="n">
        <f aca="false">OperatingCurve!V308</f>
        <v>45261</v>
      </c>
      <c r="K283" s="285" t="n">
        <f aca="false">OperatingCurve!Z308</f>
        <v>0</v>
      </c>
      <c r="L283" s="285" t="n">
        <f aca="false">OperatingCurve!Y308</f>
        <v>0</v>
      </c>
      <c r="M283" s="285" t="n">
        <f aca="false">OperatingCurve!AA308</f>
        <v>0</v>
      </c>
      <c r="O283" s="285" t="n">
        <f aca="false">OperatingCurve!AE308</f>
        <v>0</v>
      </c>
      <c r="P283" s="285" t="n">
        <f aca="false">OperatingCurve!AD308</f>
        <v>0</v>
      </c>
      <c r="Q283" s="285" t="n">
        <f aca="false">OperatingCurve!AF308</f>
        <v>0</v>
      </c>
      <c r="S283" s="285" t="n">
        <f aca="false">OperatingCurve!AJ308</f>
        <v>0</v>
      </c>
      <c r="T283" s="285" t="n">
        <f aca="false">OperatingCurve!AI308</f>
        <v>0</v>
      </c>
      <c r="U283" s="285" t="n">
        <f aca="false">OperatingCurve!AK308</f>
        <v>0</v>
      </c>
      <c r="W283" s="285" t="n">
        <f aca="false">OperatingCurve!AO308</f>
        <v>0</v>
      </c>
      <c r="X283" s="285" t="n">
        <f aca="false">OperatingCurve!AN308</f>
        <v>0</v>
      </c>
      <c r="Y283" s="285" t="n">
        <f aca="false">OperatingCurve!AP308</f>
        <v>0</v>
      </c>
      <c r="AA283" s="285" t="n">
        <f aca="false">OperatingCurve!AR308</f>
        <v>0</v>
      </c>
      <c r="AB283" s="285" t="n">
        <f aca="false">OperatingCurve!AQ308</f>
        <v>0</v>
      </c>
      <c r="AC283" s="285" t="n">
        <f aca="false">OperatingCurve!AS308</f>
        <v>0</v>
      </c>
      <c r="AE283" s="285" t="n">
        <f aca="false">OperatingCurve!AU308</f>
        <v>-0.419655399211954</v>
      </c>
      <c r="AF283" s="285" t="n">
        <f aca="false">OperatingCurve!AT308</f>
        <v>6.71448638739126</v>
      </c>
      <c r="AG283" s="285" t="n">
        <f aca="false">OperatingCurve!AV308</f>
        <v>8.39310798423907</v>
      </c>
      <c r="AI283" s="285" t="n">
        <f aca="false">OperatingCurve!AX308</f>
        <v>-0.667575</v>
      </c>
      <c r="AJ283" s="285" t="n">
        <f aca="false">OperatingCurve!AW308</f>
        <v>10.6812</v>
      </c>
      <c r="AK283" s="285" t="n">
        <f aca="false">OperatingCurve!AY308</f>
        <v>13.3515</v>
      </c>
      <c r="AM283" s="286" t="n">
        <f aca="false">OperatingCurve!AL308</f>
        <v>74</v>
      </c>
      <c r="AN283" s="287" t="n">
        <f aca="false">OperatingCurve!AM308</f>
        <v>0.4</v>
      </c>
    </row>
    <row r="284" customFormat="false" ht="12.75" hidden="false" customHeight="false" outlineLevel="0" collapsed="false">
      <c r="A284" s="282" t="n">
        <f aca="false">OperatingCurve!D280</f>
        <v>44409</v>
      </c>
      <c r="B284" s="283" t="n">
        <f aca="false">OperatingCurve!H280</f>
        <v>37.296</v>
      </c>
      <c r="C284" s="283" t="n">
        <f aca="false">OperatingCurve!G280</f>
        <v>42.681</v>
      </c>
      <c r="D284" s="283" t="n">
        <f aca="false">OperatingCurve!I280</f>
        <v>80.625</v>
      </c>
      <c r="E284" s="293"/>
      <c r="F284" s="283" t="n">
        <f aca="false">OperatingCurve!M280</f>
        <v>0</v>
      </c>
      <c r="G284" s="283" t="n">
        <f aca="false">OperatingCurve!L280</f>
        <v>0</v>
      </c>
      <c r="H284" s="283" t="n">
        <f aca="false">OperatingCurve!N280</f>
        <v>0</v>
      </c>
      <c r="J284" s="284" t="n">
        <f aca="false">OperatingCurve!V309</f>
        <v>45292</v>
      </c>
      <c r="K284" s="285" t="n">
        <f aca="false">OperatingCurve!Z309</f>
        <v>0</v>
      </c>
      <c r="L284" s="285" t="n">
        <f aca="false">OperatingCurve!Y309</f>
        <v>0</v>
      </c>
      <c r="M284" s="285" t="n">
        <f aca="false">OperatingCurve!AA309</f>
        <v>0</v>
      </c>
      <c r="O284" s="285" t="n">
        <f aca="false">OperatingCurve!AE309</f>
        <v>0</v>
      </c>
      <c r="P284" s="285" t="n">
        <f aca="false">OperatingCurve!AD309</f>
        <v>0</v>
      </c>
      <c r="Q284" s="285" t="n">
        <f aca="false">OperatingCurve!AF309</f>
        <v>0</v>
      </c>
      <c r="S284" s="285" t="n">
        <f aca="false">OperatingCurve!AJ309</f>
        <v>0</v>
      </c>
      <c r="T284" s="285" t="n">
        <f aca="false">OperatingCurve!AI309</f>
        <v>0</v>
      </c>
      <c r="U284" s="285" t="n">
        <f aca="false">OperatingCurve!AK309</f>
        <v>0</v>
      </c>
      <c r="W284" s="285" t="n">
        <f aca="false">OperatingCurve!AO309</f>
        <v>0</v>
      </c>
      <c r="X284" s="285" t="n">
        <f aca="false">OperatingCurve!AN309</f>
        <v>0</v>
      </c>
      <c r="Y284" s="285" t="n">
        <f aca="false">OperatingCurve!AP309</f>
        <v>0</v>
      </c>
      <c r="AA284" s="285" t="n">
        <f aca="false">OperatingCurve!AR309</f>
        <v>0</v>
      </c>
      <c r="AB284" s="285" t="n">
        <f aca="false">OperatingCurve!AQ309</f>
        <v>0</v>
      </c>
      <c r="AC284" s="285" t="n">
        <f aca="false">OperatingCurve!AS309</f>
        <v>0</v>
      </c>
      <c r="AE284" s="285" t="n">
        <f aca="false">OperatingCurve!AU309</f>
        <v>-0.43048858158097</v>
      </c>
      <c r="AF284" s="285" t="n">
        <f aca="false">OperatingCurve!AT309</f>
        <v>6.88781730529552</v>
      </c>
      <c r="AG284" s="285" t="n">
        <f aca="false">OperatingCurve!AV309</f>
        <v>8.60977163161941</v>
      </c>
      <c r="AI284" s="285" t="n">
        <f aca="false">OperatingCurve!AX309</f>
        <v>-0.6558</v>
      </c>
      <c r="AJ284" s="285" t="n">
        <f aca="false">OperatingCurve!AW309</f>
        <v>10.4928</v>
      </c>
      <c r="AK284" s="285" t="n">
        <f aca="false">OperatingCurve!AY309</f>
        <v>13.116</v>
      </c>
      <c r="AM284" s="286" t="n">
        <f aca="false">OperatingCurve!AL309</f>
        <v>74</v>
      </c>
      <c r="AN284" s="287" t="n">
        <f aca="false">OperatingCurve!AM309</f>
        <v>0.4</v>
      </c>
    </row>
    <row r="285" customFormat="false" ht="12.75" hidden="false" customHeight="false" outlineLevel="0" collapsed="false">
      <c r="A285" s="282" t="n">
        <f aca="false">OperatingCurve!D281</f>
        <v>44440</v>
      </c>
      <c r="B285" s="283" t="n">
        <f aca="false">OperatingCurve!H281</f>
        <v>30.9</v>
      </c>
      <c r="C285" s="283" t="n">
        <f aca="false">OperatingCurve!G281</f>
        <v>36.225</v>
      </c>
      <c r="D285" s="283" t="n">
        <f aca="false">OperatingCurve!I281</f>
        <v>73.761</v>
      </c>
      <c r="E285" s="293"/>
      <c r="F285" s="283" t="n">
        <f aca="false">OperatingCurve!M281</f>
        <v>0</v>
      </c>
      <c r="G285" s="283" t="n">
        <f aca="false">OperatingCurve!L281</f>
        <v>0</v>
      </c>
      <c r="H285" s="283" t="n">
        <f aca="false">OperatingCurve!N281</f>
        <v>0</v>
      </c>
      <c r="J285" s="284" t="n">
        <f aca="false">OperatingCurve!V310</f>
        <v>45323</v>
      </c>
      <c r="K285" s="285" t="n">
        <f aca="false">OperatingCurve!Z310</f>
        <v>0</v>
      </c>
      <c r="L285" s="285" t="n">
        <f aca="false">OperatingCurve!Y310</f>
        <v>0</v>
      </c>
      <c r="M285" s="285" t="n">
        <f aca="false">OperatingCurve!AA310</f>
        <v>0</v>
      </c>
      <c r="O285" s="285" t="n">
        <f aca="false">OperatingCurve!AE310</f>
        <v>0</v>
      </c>
      <c r="P285" s="285" t="n">
        <f aca="false">OperatingCurve!AD310</f>
        <v>0</v>
      </c>
      <c r="Q285" s="285" t="n">
        <f aca="false">OperatingCurve!AF310</f>
        <v>0</v>
      </c>
      <c r="S285" s="285" t="n">
        <f aca="false">OperatingCurve!AJ310</f>
        <v>0</v>
      </c>
      <c r="T285" s="285" t="n">
        <f aca="false">OperatingCurve!AI310</f>
        <v>0</v>
      </c>
      <c r="U285" s="285" t="n">
        <f aca="false">OperatingCurve!AK310</f>
        <v>0</v>
      </c>
      <c r="W285" s="285" t="n">
        <f aca="false">OperatingCurve!AO310</f>
        <v>0</v>
      </c>
      <c r="X285" s="285" t="n">
        <f aca="false">OperatingCurve!AN310</f>
        <v>0</v>
      </c>
      <c r="Y285" s="285" t="n">
        <f aca="false">OperatingCurve!AP310</f>
        <v>0</v>
      </c>
      <c r="AA285" s="285" t="n">
        <f aca="false">OperatingCurve!AR310</f>
        <v>0</v>
      </c>
      <c r="AB285" s="285" t="n">
        <f aca="false">OperatingCurve!AQ310</f>
        <v>0</v>
      </c>
      <c r="AC285" s="285" t="n">
        <f aca="false">OperatingCurve!AS310</f>
        <v>0</v>
      </c>
      <c r="AE285" s="285" t="n">
        <f aca="false">OperatingCurve!AU310</f>
        <v>-0.402107379613998</v>
      </c>
      <c r="AF285" s="285" t="n">
        <f aca="false">OperatingCurve!AT310</f>
        <v>6.43371807382396</v>
      </c>
      <c r="AG285" s="285" t="n">
        <f aca="false">OperatingCurve!AV310</f>
        <v>8.04214759227995</v>
      </c>
      <c r="AI285" s="285" t="n">
        <f aca="false">OperatingCurve!AX310</f>
        <v>-0.6616875</v>
      </c>
      <c r="AJ285" s="285" t="n">
        <f aca="false">OperatingCurve!AW310</f>
        <v>10.587</v>
      </c>
      <c r="AK285" s="285" t="n">
        <f aca="false">OperatingCurve!AY310</f>
        <v>13.23375</v>
      </c>
      <c r="AM285" s="286" t="n">
        <f aca="false">OperatingCurve!AL310</f>
        <v>74</v>
      </c>
      <c r="AN285" s="287" t="n">
        <f aca="false">OperatingCurve!AM310</f>
        <v>0.4</v>
      </c>
    </row>
    <row r="286" customFormat="false" ht="12.75" hidden="false" customHeight="false" outlineLevel="0" collapsed="false">
      <c r="A286" s="282" t="n">
        <f aca="false">OperatingCurve!D282</f>
        <v>44470</v>
      </c>
      <c r="B286" s="283" t="n">
        <f aca="false">OperatingCurve!H282</f>
        <v>33.024</v>
      </c>
      <c r="C286" s="283" t="n">
        <f aca="false">OperatingCurve!G282</f>
        <v>38.369</v>
      </c>
      <c r="D286" s="283" t="n">
        <f aca="false">OperatingCurve!I282</f>
        <v>76.041</v>
      </c>
      <c r="E286" s="293"/>
      <c r="F286" s="283" t="n">
        <f aca="false">OperatingCurve!M282</f>
        <v>0</v>
      </c>
      <c r="G286" s="283" t="n">
        <f aca="false">OperatingCurve!L282</f>
        <v>0</v>
      </c>
      <c r="H286" s="283" t="n">
        <f aca="false">OperatingCurve!N282</f>
        <v>0</v>
      </c>
      <c r="J286" s="284" t="n">
        <f aca="false">OperatingCurve!V311</f>
        <v>45352</v>
      </c>
      <c r="K286" s="285" t="n">
        <f aca="false">OperatingCurve!Z311</f>
        <v>0</v>
      </c>
      <c r="L286" s="285" t="n">
        <f aca="false">OperatingCurve!Y311</f>
        <v>0</v>
      </c>
      <c r="M286" s="285" t="n">
        <f aca="false">OperatingCurve!AA311</f>
        <v>0</v>
      </c>
      <c r="O286" s="285" t="n">
        <f aca="false">OperatingCurve!AE311</f>
        <v>0</v>
      </c>
      <c r="P286" s="285" t="n">
        <f aca="false">OperatingCurve!AD311</f>
        <v>0</v>
      </c>
      <c r="Q286" s="285" t="n">
        <f aca="false">OperatingCurve!AF311</f>
        <v>0</v>
      </c>
      <c r="S286" s="285" t="n">
        <f aca="false">OperatingCurve!AJ311</f>
        <v>0</v>
      </c>
      <c r="T286" s="285" t="n">
        <f aca="false">OperatingCurve!AI311</f>
        <v>0</v>
      </c>
      <c r="U286" s="285" t="n">
        <f aca="false">OperatingCurve!AK311</f>
        <v>0</v>
      </c>
      <c r="W286" s="285" t="n">
        <f aca="false">OperatingCurve!AO311</f>
        <v>0</v>
      </c>
      <c r="X286" s="285" t="n">
        <f aca="false">OperatingCurve!AN311</f>
        <v>0</v>
      </c>
      <c r="Y286" s="285" t="n">
        <f aca="false">OperatingCurve!AP311</f>
        <v>0</v>
      </c>
      <c r="AA286" s="285" t="n">
        <f aca="false">OperatingCurve!AR311</f>
        <v>0</v>
      </c>
      <c r="AB286" s="285" t="n">
        <f aca="false">OperatingCurve!AQ311</f>
        <v>0</v>
      </c>
      <c r="AC286" s="285" t="n">
        <f aca="false">OperatingCurve!AS311</f>
        <v>0</v>
      </c>
      <c r="AE286" s="285" t="n">
        <f aca="false">OperatingCurve!AU311</f>
        <v>-0.395696014851329</v>
      </c>
      <c r="AF286" s="285" t="n">
        <f aca="false">OperatingCurve!AT311</f>
        <v>6.33113623762127</v>
      </c>
      <c r="AG286" s="285" t="n">
        <f aca="false">OperatingCurve!AV311</f>
        <v>7.91392029702658</v>
      </c>
      <c r="AI286" s="285" t="n">
        <f aca="false">OperatingCurve!AX311</f>
        <v>-0.667575</v>
      </c>
      <c r="AJ286" s="285" t="n">
        <f aca="false">OperatingCurve!AW311</f>
        <v>10.6812</v>
      </c>
      <c r="AK286" s="285" t="n">
        <f aca="false">OperatingCurve!AY311</f>
        <v>13.3515</v>
      </c>
      <c r="AM286" s="286" t="n">
        <f aca="false">OperatingCurve!AL311</f>
        <v>74</v>
      </c>
      <c r="AN286" s="287" t="n">
        <f aca="false">OperatingCurve!AM311</f>
        <v>0.4</v>
      </c>
    </row>
    <row r="287" customFormat="false" ht="12.75" hidden="false" customHeight="false" outlineLevel="0" collapsed="false">
      <c r="A287" s="282" t="n">
        <f aca="false">OperatingCurve!D283</f>
        <v>44501</v>
      </c>
      <c r="B287" s="283" t="n">
        <f aca="false">OperatingCurve!H283</f>
        <v>26.676</v>
      </c>
      <c r="C287" s="283" t="n">
        <f aca="false">OperatingCurve!G283</f>
        <v>31.961</v>
      </c>
      <c r="D287" s="283" t="n">
        <f aca="false">OperatingCurve!I283</f>
        <v>69.225</v>
      </c>
      <c r="E287" s="293"/>
      <c r="F287" s="283" t="n">
        <f aca="false">OperatingCurve!M283</f>
        <v>0</v>
      </c>
      <c r="G287" s="283" t="n">
        <f aca="false">OperatingCurve!L283</f>
        <v>0</v>
      </c>
      <c r="H287" s="283" t="n">
        <f aca="false">OperatingCurve!N283</f>
        <v>0</v>
      </c>
      <c r="J287" s="284" t="n">
        <f aca="false">OperatingCurve!V312</f>
        <v>45383</v>
      </c>
      <c r="K287" s="285" t="n">
        <f aca="false">OperatingCurve!Z312</f>
        <v>0</v>
      </c>
      <c r="L287" s="285" t="n">
        <f aca="false">OperatingCurve!Y312</f>
        <v>0</v>
      </c>
      <c r="M287" s="285" t="n">
        <f aca="false">OperatingCurve!AA312</f>
        <v>0</v>
      </c>
      <c r="O287" s="285" t="n">
        <f aca="false">OperatingCurve!AE312</f>
        <v>0</v>
      </c>
      <c r="P287" s="285" t="n">
        <f aca="false">OperatingCurve!AD312</f>
        <v>0</v>
      </c>
      <c r="Q287" s="285" t="n">
        <f aca="false">OperatingCurve!AF312</f>
        <v>0</v>
      </c>
      <c r="S287" s="285" t="n">
        <f aca="false">OperatingCurve!AJ312</f>
        <v>0</v>
      </c>
      <c r="T287" s="285" t="n">
        <f aca="false">OperatingCurve!AI312</f>
        <v>0</v>
      </c>
      <c r="U287" s="285" t="n">
        <f aca="false">OperatingCurve!AK312</f>
        <v>0</v>
      </c>
      <c r="W287" s="285" t="n">
        <f aca="false">OperatingCurve!AO312</f>
        <v>0</v>
      </c>
      <c r="X287" s="285" t="n">
        <f aca="false">OperatingCurve!AN312</f>
        <v>0</v>
      </c>
      <c r="Y287" s="285" t="n">
        <f aca="false">OperatingCurve!AP312</f>
        <v>0</v>
      </c>
      <c r="AA287" s="285" t="n">
        <f aca="false">OperatingCurve!AR312</f>
        <v>0</v>
      </c>
      <c r="AB287" s="285" t="n">
        <f aca="false">OperatingCurve!AQ312</f>
        <v>0</v>
      </c>
      <c r="AC287" s="285" t="n">
        <f aca="false">OperatingCurve!AS312</f>
        <v>0</v>
      </c>
      <c r="AE287" s="285" t="n">
        <f aca="false">OperatingCurve!AU312</f>
        <v>-0.395696014851329</v>
      </c>
      <c r="AF287" s="285" t="n">
        <f aca="false">OperatingCurve!AT312</f>
        <v>6.33113623762127</v>
      </c>
      <c r="AG287" s="285" t="n">
        <f aca="false">OperatingCurve!AV312</f>
        <v>7.91392029702658</v>
      </c>
      <c r="AI287" s="285" t="n">
        <f aca="false">OperatingCurve!AX312</f>
        <v>-0.667575</v>
      </c>
      <c r="AJ287" s="285" t="n">
        <f aca="false">OperatingCurve!AW312</f>
        <v>10.6812</v>
      </c>
      <c r="AK287" s="285" t="n">
        <f aca="false">OperatingCurve!AY312</f>
        <v>13.3515</v>
      </c>
      <c r="AM287" s="286" t="n">
        <f aca="false">OperatingCurve!AL312</f>
        <v>74</v>
      </c>
      <c r="AN287" s="287" t="n">
        <f aca="false">OperatingCurve!AM312</f>
        <v>0.4</v>
      </c>
    </row>
    <row r="288" customFormat="false" ht="12.75" hidden="false" customHeight="false" outlineLevel="0" collapsed="false">
      <c r="A288" s="282" t="n">
        <f aca="false">OperatingCurve!D284</f>
        <v>44531</v>
      </c>
      <c r="B288" s="283" t="n">
        <f aca="false">OperatingCurve!H284</f>
        <v>27.729</v>
      </c>
      <c r="C288" s="283" t="n">
        <f aca="false">OperatingCurve!G284</f>
        <v>33.024</v>
      </c>
      <c r="D288" s="283" t="n">
        <f aca="false">OperatingCurve!I284</f>
        <v>70.356</v>
      </c>
      <c r="E288" s="293"/>
      <c r="F288" s="283" t="n">
        <f aca="false">OperatingCurve!M284</f>
        <v>0</v>
      </c>
      <c r="G288" s="283" t="n">
        <f aca="false">OperatingCurve!L284</f>
        <v>0</v>
      </c>
      <c r="H288" s="283" t="n">
        <f aca="false">OperatingCurve!N284</f>
        <v>0</v>
      </c>
      <c r="J288" s="284" t="n">
        <f aca="false">OperatingCurve!V313</f>
        <v>45413</v>
      </c>
      <c r="K288" s="285" t="n">
        <f aca="false">OperatingCurve!Z313</f>
        <v>0</v>
      </c>
      <c r="L288" s="285" t="n">
        <f aca="false">OperatingCurve!Y313</f>
        <v>0</v>
      </c>
      <c r="M288" s="285" t="n">
        <f aca="false">OperatingCurve!AA313</f>
        <v>0</v>
      </c>
      <c r="O288" s="285" t="n">
        <f aca="false">OperatingCurve!AE313</f>
        <v>0</v>
      </c>
      <c r="P288" s="285" t="n">
        <f aca="false">OperatingCurve!AD313</f>
        <v>0</v>
      </c>
      <c r="Q288" s="285" t="n">
        <f aca="false">OperatingCurve!AF313</f>
        <v>0</v>
      </c>
      <c r="S288" s="285" t="n">
        <f aca="false">OperatingCurve!AJ313</f>
        <v>0</v>
      </c>
      <c r="T288" s="285" t="n">
        <f aca="false">OperatingCurve!AI313</f>
        <v>0</v>
      </c>
      <c r="U288" s="285" t="n">
        <f aca="false">OperatingCurve!AK313</f>
        <v>0</v>
      </c>
      <c r="W288" s="285" t="n">
        <f aca="false">OperatingCurve!AO313</f>
        <v>0</v>
      </c>
      <c r="X288" s="285" t="n">
        <f aca="false">OperatingCurve!AN313</f>
        <v>0</v>
      </c>
      <c r="Y288" s="285" t="n">
        <f aca="false">OperatingCurve!AP313</f>
        <v>0</v>
      </c>
      <c r="AA288" s="285" t="n">
        <f aca="false">OperatingCurve!AR313</f>
        <v>0</v>
      </c>
      <c r="AB288" s="285" t="n">
        <f aca="false">OperatingCurve!AQ313</f>
        <v>0</v>
      </c>
      <c r="AC288" s="285" t="n">
        <f aca="false">OperatingCurve!AS313</f>
        <v>0</v>
      </c>
      <c r="AE288" s="285" t="n">
        <f aca="false">OperatingCurve!AU313</f>
        <v>-0.419655399211954</v>
      </c>
      <c r="AF288" s="285" t="n">
        <f aca="false">OperatingCurve!AT313</f>
        <v>6.71448638739126</v>
      </c>
      <c r="AG288" s="285" t="n">
        <f aca="false">OperatingCurve!AV313</f>
        <v>8.39310798423907</v>
      </c>
      <c r="AI288" s="285" t="n">
        <f aca="false">OperatingCurve!AX313</f>
        <v>-0.6499125</v>
      </c>
      <c r="AJ288" s="285" t="n">
        <f aca="false">OperatingCurve!AW313</f>
        <v>10.3986</v>
      </c>
      <c r="AK288" s="285" t="n">
        <f aca="false">OperatingCurve!AY313</f>
        <v>12.99825</v>
      </c>
      <c r="AM288" s="286" t="n">
        <f aca="false">OperatingCurve!AL313</f>
        <v>74</v>
      </c>
      <c r="AN288" s="287" t="n">
        <f aca="false">OperatingCurve!AM313</f>
        <v>0.4</v>
      </c>
    </row>
    <row r="289" customFormat="false" ht="12.75" hidden="false" customHeight="false" outlineLevel="0" collapsed="false">
      <c r="A289" s="282" t="n">
        <f aca="false">OperatingCurve!D285</f>
        <v>44562</v>
      </c>
      <c r="B289" s="283" t="n">
        <f aca="false">OperatingCurve!H285</f>
        <v>28.784</v>
      </c>
      <c r="C289" s="283" t="n">
        <f aca="false">OperatingCurve!G285</f>
        <v>34.089</v>
      </c>
      <c r="D289" s="283" t="n">
        <f aca="false">OperatingCurve!I285</f>
        <v>71.489</v>
      </c>
      <c r="E289" s="293"/>
      <c r="F289" s="283" t="n">
        <f aca="false">OperatingCurve!M285</f>
        <v>0</v>
      </c>
      <c r="G289" s="283" t="n">
        <f aca="false">OperatingCurve!L285</f>
        <v>0</v>
      </c>
      <c r="H289" s="283" t="n">
        <f aca="false">OperatingCurve!N285</f>
        <v>0</v>
      </c>
      <c r="J289" s="284" t="n">
        <f aca="false">OperatingCurve!V314</f>
        <v>45444</v>
      </c>
      <c r="K289" s="285" t="n">
        <f aca="false">OperatingCurve!Z314</f>
        <v>0</v>
      </c>
      <c r="L289" s="285" t="n">
        <f aca="false">OperatingCurve!Y314</f>
        <v>0</v>
      </c>
      <c r="M289" s="285" t="n">
        <f aca="false">OperatingCurve!AA314</f>
        <v>0</v>
      </c>
      <c r="O289" s="285" t="n">
        <f aca="false">OperatingCurve!AE314</f>
        <v>0</v>
      </c>
      <c r="P289" s="285" t="n">
        <f aca="false">OperatingCurve!AD314</f>
        <v>0</v>
      </c>
      <c r="Q289" s="285" t="n">
        <f aca="false">OperatingCurve!AF314</f>
        <v>0</v>
      </c>
      <c r="S289" s="285" t="n">
        <f aca="false">OperatingCurve!AJ314</f>
        <v>0</v>
      </c>
      <c r="T289" s="285" t="n">
        <f aca="false">OperatingCurve!AI314</f>
        <v>0</v>
      </c>
      <c r="U289" s="285" t="n">
        <f aca="false">OperatingCurve!AK314</f>
        <v>0</v>
      </c>
      <c r="W289" s="285" t="n">
        <f aca="false">OperatingCurve!AO314</f>
        <v>0</v>
      </c>
      <c r="X289" s="285" t="n">
        <f aca="false">OperatingCurve!AN314</f>
        <v>0</v>
      </c>
      <c r="Y289" s="285" t="n">
        <f aca="false">OperatingCurve!AP314</f>
        <v>0</v>
      </c>
      <c r="AA289" s="285" t="n">
        <f aca="false">OperatingCurve!AR314</f>
        <v>0</v>
      </c>
      <c r="AB289" s="285" t="n">
        <f aca="false">OperatingCurve!AQ314</f>
        <v>0</v>
      </c>
      <c r="AC289" s="285" t="n">
        <f aca="false">OperatingCurve!AS314</f>
        <v>0</v>
      </c>
      <c r="AE289" s="285" t="n">
        <f aca="false">OperatingCurve!AU314</f>
        <v>-0.517091326059428</v>
      </c>
      <c r="AF289" s="285" t="n">
        <f aca="false">OperatingCurve!AT314</f>
        <v>8.27346121695085</v>
      </c>
      <c r="AG289" s="285" t="n">
        <f aca="false">OperatingCurve!AV314</f>
        <v>10.3418265211886</v>
      </c>
      <c r="AI289" s="285" t="n">
        <f aca="false">OperatingCurve!AX314</f>
        <v>-0.6087</v>
      </c>
      <c r="AJ289" s="285" t="n">
        <f aca="false">OperatingCurve!AW314</f>
        <v>9.7392</v>
      </c>
      <c r="AK289" s="285" t="n">
        <f aca="false">OperatingCurve!AY314</f>
        <v>12.174</v>
      </c>
      <c r="AM289" s="286" t="n">
        <f aca="false">OperatingCurve!AL314</f>
        <v>74</v>
      </c>
      <c r="AN289" s="287" t="n">
        <f aca="false">OperatingCurve!AM314</f>
        <v>0.4</v>
      </c>
    </row>
    <row r="290" customFormat="false" ht="12.75" hidden="false" customHeight="false" outlineLevel="0" collapsed="false">
      <c r="A290" s="282" t="n">
        <f aca="false">OperatingCurve!D286</f>
        <v>44593</v>
      </c>
      <c r="B290" s="283" t="n">
        <f aca="false">OperatingCurve!H286</f>
        <v>25.625</v>
      </c>
      <c r="C290" s="283" t="n">
        <f aca="false">OperatingCurve!G286</f>
        <v>30.9</v>
      </c>
      <c r="D290" s="283" t="n">
        <f aca="false">OperatingCurve!I286</f>
        <v>68.096</v>
      </c>
      <c r="E290" s="293"/>
      <c r="F290" s="283" t="n">
        <f aca="false">OperatingCurve!M286</f>
        <v>0</v>
      </c>
      <c r="G290" s="283" t="n">
        <f aca="false">OperatingCurve!L286</f>
        <v>0</v>
      </c>
      <c r="H290" s="283" t="n">
        <f aca="false">OperatingCurve!N286</f>
        <v>0</v>
      </c>
      <c r="J290" s="284" t="n">
        <f aca="false">OperatingCurve!V315</f>
        <v>45474</v>
      </c>
      <c r="K290" s="285" t="n">
        <f aca="false">OperatingCurve!Z315</f>
        <v>0</v>
      </c>
      <c r="L290" s="285" t="n">
        <f aca="false">OperatingCurve!Y315</f>
        <v>0</v>
      </c>
      <c r="M290" s="285" t="n">
        <f aca="false">OperatingCurve!AA315</f>
        <v>0</v>
      </c>
      <c r="O290" s="285" t="n">
        <f aca="false">OperatingCurve!AE315</f>
        <v>0</v>
      </c>
      <c r="P290" s="285" t="n">
        <f aca="false">OperatingCurve!AD315</f>
        <v>0</v>
      </c>
      <c r="Q290" s="285" t="n">
        <f aca="false">OperatingCurve!AF315</f>
        <v>0</v>
      </c>
      <c r="S290" s="285" t="n">
        <f aca="false">OperatingCurve!AJ315</f>
        <v>0</v>
      </c>
      <c r="T290" s="285" t="n">
        <f aca="false">OperatingCurve!AI315</f>
        <v>0</v>
      </c>
      <c r="U290" s="285" t="n">
        <f aca="false">OperatingCurve!AK315</f>
        <v>0</v>
      </c>
      <c r="W290" s="285" t="n">
        <f aca="false">OperatingCurve!AO315</f>
        <v>0</v>
      </c>
      <c r="X290" s="285" t="n">
        <f aca="false">OperatingCurve!AN315</f>
        <v>0</v>
      </c>
      <c r="Y290" s="285" t="n">
        <f aca="false">OperatingCurve!AP315</f>
        <v>0</v>
      </c>
      <c r="AA290" s="285" t="n">
        <f aca="false">OperatingCurve!AR315</f>
        <v>0</v>
      </c>
      <c r="AB290" s="285" t="n">
        <f aca="false">OperatingCurve!AQ315</f>
        <v>0</v>
      </c>
      <c r="AC290" s="285" t="n">
        <f aca="false">OperatingCurve!AS315</f>
        <v>0</v>
      </c>
      <c r="AE290" s="285" t="n">
        <f aca="false">OperatingCurve!AU315</f>
        <v>-0.517091326059428</v>
      </c>
      <c r="AF290" s="285" t="n">
        <f aca="false">OperatingCurve!AT315</f>
        <v>8.27346121695085</v>
      </c>
      <c r="AG290" s="285" t="n">
        <f aca="false">OperatingCurve!AV315</f>
        <v>10.3418265211886</v>
      </c>
      <c r="AI290" s="285" t="n">
        <f aca="false">OperatingCurve!AX315</f>
        <v>-0.6087</v>
      </c>
      <c r="AJ290" s="285" t="n">
        <f aca="false">OperatingCurve!AW315</f>
        <v>9.7392</v>
      </c>
      <c r="AK290" s="285" t="n">
        <f aca="false">OperatingCurve!AY315</f>
        <v>12.174</v>
      </c>
      <c r="AM290" s="286" t="n">
        <f aca="false">OperatingCurve!AL315</f>
        <v>74</v>
      </c>
      <c r="AN290" s="287" t="n">
        <f aca="false">OperatingCurve!AM315</f>
        <v>0.4</v>
      </c>
    </row>
    <row r="291" customFormat="false" ht="12.75" hidden="false" customHeight="false" outlineLevel="0" collapsed="false">
      <c r="A291" s="282" t="n">
        <f aca="false">OperatingCurve!D287</f>
        <v>44621</v>
      </c>
      <c r="B291" s="283" t="n">
        <f aca="false">OperatingCurve!H287</f>
        <v>24.576</v>
      </c>
      <c r="C291" s="283" t="n">
        <f aca="false">OperatingCurve!G287</f>
        <v>29.841</v>
      </c>
      <c r="D291" s="283" t="n">
        <f aca="false">OperatingCurve!I287</f>
        <v>66.969</v>
      </c>
      <c r="E291" s="293"/>
      <c r="F291" s="283" t="n">
        <f aca="false">OperatingCurve!M287</f>
        <v>0</v>
      </c>
      <c r="G291" s="283" t="n">
        <f aca="false">OperatingCurve!L287</f>
        <v>0</v>
      </c>
      <c r="H291" s="283" t="n">
        <f aca="false">OperatingCurve!N287</f>
        <v>0</v>
      </c>
      <c r="J291" s="284" t="n">
        <f aca="false">OperatingCurve!V316</f>
        <v>45505</v>
      </c>
      <c r="K291" s="285" t="n">
        <f aca="false">OperatingCurve!Z316</f>
        <v>0</v>
      </c>
      <c r="L291" s="285" t="n">
        <f aca="false">OperatingCurve!Y316</f>
        <v>0</v>
      </c>
      <c r="M291" s="285" t="n">
        <f aca="false">OperatingCurve!AA316</f>
        <v>0</v>
      </c>
      <c r="O291" s="285" t="n">
        <f aca="false">OperatingCurve!AE316</f>
        <v>0</v>
      </c>
      <c r="P291" s="285" t="n">
        <f aca="false">OperatingCurve!AD316</f>
        <v>0</v>
      </c>
      <c r="Q291" s="285" t="n">
        <f aca="false">OperatingCurve!AF316</f>
        <v>0</v>
      </c>
      <c r="S291" s="285" t="n">
        <f aca="false">OperatingCurve!AJ316</f>
        <v>0</v>
      </c>
      <c r="T291" s="285" t="n">
        <f aca="false">OperatingCurve!AI316</f>
        <v>0</v>
      </c>
      <c r="U291" s="285" t="n">
        <f aca="false">OperatingCurve!AK316</f>
        <v>0</v>
      </c>
      <c r="W291" s="285" t="n">
        <f aca="false">OperatingCurve!AO316</f>
        <v>0</v>
      </c>
      <c r="X291" s="285" t="n">
        <f aca="false">OperatingCurve!AN316</f>
        <v>0</v>
      </c>
      <c r="Y291" s="285" t="n">
        <f aca="false">OperatingCurve!AP316</f>
        <v>0</v>
      </c>
      <c r="AA291" s="285" t="n">
        <f aca="false">OperatingCurve!AR316</f>
        <v>0</v>
      </c>
      <c r="AB291" s="285" t="n">
        <f aca="false">OperatingCurve!AQ316</f>
        <v>0</v>
      </c>
      <c r="AC291" s="285" t="n">
        <f aca="false">OperatingCurve!AS316</f>
        <v>0</v>
      </c>
      <c r="AE291" s="285" t="n">
        <f aca="false">OperatingCurve!AU316</f>
        <v>-0.552146177512111</v>
      </c>
      <c r="AF291" s="285" t="n">
        <f aca="false">OperatingCurve!AT316</f>
        <v>8.83433884019377</v>
      </c>
      <c r="AG291" s="285" t="n">
        <f aca="false">OperatingCurve!AV316</f>
        <v>11.0429235502422</v>
      </c>
      <c r="AI291" s="285" t="n">
        <f aca="false">OperatingCurve!AX316</f>
        <v>-0.596925</v>
      </c>
      <c r="AJ291" s="285" t="n">
        <f aca="false">OperatingCurve!AW316</f>
        <v>9.5508</v>
      </c>
      <c r="AK291" s="285" t="n">
        <f aca="false">OperatingCurve!AY316</f>
        <v>11.9385</v>
      </c>
      <c r="AM291" s="286" t="n">
        <f aca="false">OperatingCurve!AL316</f>
        <v>74</v>
      </c>
      <c r="AN291" s="287" t="n">
        <f aca="false">OperatingCurve!AM316</f>
        <v>0.4</v>
      </c>
    </row>
    <row r="292" customFormat="false" ht="12.75" hidden="false" customHeight="false" outlineLevel="0" collapsed="false">
      <c r="A292" s="282" t="n">
        <f aca="false">OperatingCurve!D288</f>
        <v>44652</v>
      </c>
      <c r="B292" s="283" t="n">
        <f aca="false">OperatingCurve!H288</f>
        <v>24.576</v>
      </c>
      <c r="C292" s="283" t="n">
        <f aca="false">OperatingCurve!G288</f>
        <v>29.841</v>
      </c>
      <c r="D292" s="283" t="n">
        <f aca="false">OperatingCurve!I288</f>
        <v>66.969</v>
      </c>
      <c r="E292" s="293"/>
      <c r="F292" s="283" t="n">
        <f aca="false">OperatingCurve!M288</f>
        <v>0</v>
      </c>
      <c r="G292" s="283" t="n">
        <f aca="false">OperatingCurve!L288</f>
        <v>0</v>
      </c>
      <c r="H292" s="283" t="n">
        <f aca="false">OperatingCurve!N288</f>
        <v>0</v>
      </c>
      <c r="J292" s="284" t="n">
        <f aca="false">OperatingCurve!V317</f>
        <v>45536</v>
      </c>
      <c r="K292" s="285" t="n">
        <f aca="false">OperatingCurve!Z317</f>
        <v>0</v>
      </c>
      <c r="L292" s="285" t="n">
        <f aca="false">OperatingCurve!Y317</f>
        <v>0</v>
      </c>
      <c r="M292" s="285" t="n">
        <f aca="false">OperatingCurve!AA317</f>
        <v>0</v>
      </c>
      <c r="O292" s="285" t="n">
        <f aca="false">OperatingCurve!AE317</f>
        <v>0</v>
      </c>
      <c r="P292" s="285" t="n">
        <f aca="false">OperatingCurve!AD317</f>
        <v>0</v>
      </c>
      <c r="Q292" s="285" t="n">
        <f aca="false">OperatingCurve!AF317</f>
        <v>0</v>
      </c>
      <c r="S292" s="285" t="n">
        <f aca="false">OperatingCurve!AJ317</f>
        <v>0</v>
      </c>
      <c r="T292" s="285" t="n">
        <f aca="false">OperatingCurve!AI317</f>
        <v>0</v>
      </c>
      <c r="U292" s="285" t="n">
        <f aca="false">OperatingCurve!AK317</f>
        <v>0</v>
      </c>
      <c r="W292" s="285" t="n">
        <f aca="false">OperatingCurve!AO317</f>
        <v>0</v>
      </c>
      <c r="X292" s="285" t="n">
        <f aca="false">OperatingCurve!AN317</f>
        <v>0</v>
      </c>
      <c r="Y292" s="285" t="n">
        <f aca="false">OperatingCurve!AP317</f>
        <v>0</v>
      </c>
      <c r="AA292" s="285" t="n">
        <f aca="false">OperatingCurve!AR317</f>
        <v>0</v>
      </c>
      <c r="AB292" s="285" t="n">
        <f aca="false">OperatingCurve!AQ317</f>
        <v>0</v>
      </c>
      <c r="AC292" s="285" t="n">
        <f aca="false">OperatingCurve!AS317</f>
        <v>0</v>
      </c>
      <c r="AE292" s="285" t="n">
        <f aca="false">OperatingCurve!AU317</f>
        <v>-0.455637578174882</v>
      </c>
      <c r="AF292" s="285" t="n">
        <f aca="false">OperatingCurve!AT317</f>
        <v>7.29020125079811</v>
      </c>
      <c r="AG292" s="285" t="n">
        <f aca="false">OperatingCurve!AV317</f>
        <v>9.11275156349763</v>
      </c>
      <c r="AI292" s="285" t="n">
        <f aca="false">OperatingCurve!AX317</f>
        <v>-0.63225</v>
      </c>
      <c r="AJ292" s="285" t="n">
        <f aca="false">OperatingCurve!AW317</f>
        <v>10.116</v>
      </c>
      <c r="AK292" s="285" t="n">
        <f aca="false">OperatingCurve!AY317</f>
        <v>12.645</v>
      </c>
      <c r="AM292" s="286" t="n">
        <f aca="false">OperatingCurve!AL317</f>
        <v>74</v>
      </c>
      <c r="AN292" s="287" t="n">
        <f aca="false">OperatingCurve!AM317</f>
        <v>0.4</v>
      </c>
    </row>
    <row r="293" customFormat="false" ht="12.75" hidden="false" customHeight="false" outlineLevel="0" collapsed="false">
      <c r="A293" s="282" t="n">
        <f aca="false">OperatingCurve!D289</f>
        <v>44682</v>
      </c>
      <c r="B293" s="283" t="n">
        <f aca="false">OperatingCurve!H289</f>
        <v>27.729</v>
      </c>
      <c r="C293" s="283" t="n">
        <f aca="false">OperatingCurve!G289</f>
        <v>33.024</v>
      </c>
      <c r="D293" s="283" t="n">
        <f aca="false">OperatingCurve!I289</f>
        <v>70.356</v>
      </c>
      <c r="E293" s="293"/>
      <c r="F293" s="283" t="n">
        <f aca="false">OperatingCurve!M289</f>
        <v>0</v>
      </c>
      <c r="G293" s="283" t="n">
        <f aca="false">OperatingCurve!L289</f>
        <v>0</v>
      </c>
      <c r="H293" s="283" t="n">
        <f aca="false">OperatingCurve!N289</f>
        <v>0</v>
      </c>
      <c r="J293" s="284" t="n">
        <f aca="false">OperatingCurve!V318</f>
        <v>45566</v>
      </c>
      <c r="K293" s="285" t="n">
        <f aca="false">OperatingCurve!Z318</f>
        <v>0</v>
      </c>
      <c r="L293" s="285" t="n">
        <f aca="false">OperatingCurve!Y318</f>
        <v>0</v>
      </c>
      <c r="M293" s="285" t="n">
        <f aca="false">OperatingCurve!AA318</f>
        <v>0</v>
      </c>
      <c r="O293" s="285" t="n">
        <f aca="false">OperatingCurve!AE318</f>
        <v>0</v>
      </c>
      <c r="P293" s="285" t="n">
        <f aca="false">OperatingCurve!AD318</f>
        <v>0</v>
      </c>
      <c r="Q293" s="285" t="n">
        <f aca="false">OperatingCurve!AF318</f>
        <v>0</v>
      </c>
      <c r="S293" s="285" t="n">
        <f aca="false">OperatingCurve!AJ318</f>
        <v>0</v>
      </c>
      <c r="T293" s="285" t="n">
        <f aca="false">OperatingCurve!AI318</f>
        <v>0</v>
      </c>
      <c r="U293" s="285" t="n">
        <f aca="false">OperatingCurve!AK318</f>
        <v>0</v>
      </c>
      <c r="W293" s="285" t="n">
        <f aca="false">OperatingCurve!AO318</f>
        <v>0</v>
      </c>
      <c r="X293" s="285" t="n">
        <f aca="false">OperatingCurve!AN318</f>
        <v>0</v>
      </c>
      <c r="Y293" s="285" t="n">
        <f aca="false">OperatingCurve!AP318</f>
        <v>0</v>
      </c>
      <c r="AA293" s="285" t="n">
        <f aca="false">OperatingCurve!AR318</f>
        <v>0</v>
      </c>
      <c r="AB293" s="285" t="n">
        <f aca="false">OperatingCurve!AQ318</f>
        <v>0</v>
      </c>
      <c r="AC293" s="285" t="n">
        <f aca="false">OperatingCurve!AS318</f>
        <v>0</v>
      </c>
      <c r="AE293" s="285" t="n">
        <f aca="false">OperatingCurve!AU318</f>
        <v>-0.484735205974953</v>
      </c>
      <c r="AF293" s="285" t="n">
        <f aca="false">OperatingCurve!AT318</f>
        <v>7.75576329559925</v>
      </c>
      <c r="AG293" s="285" t="n">
        <f aca="false">OperatingCurve!AV318</f>
        <v>9.69470411949907</v>
      </c>
      <c r="AI293" s="285" t="n">
        <f aca="false">OperatingCurve!AX318</f>
        <v>-0.620475</v>
      </c>
      <c r="AJ293" s="285" t="n">
        <f aca="false">OperatingCurve!AW318</f>
        <v>9.9276</v>
      </c>
      <c r="AK293" s="285" t="n">
        <f aca="false">OperatingCurve!AY318</f>
        <v>12.4095</v>
      </c>
      <c r="AM293" s="286" t="n">
        <f aca="false">OperatingCurve!AL318</f>
        <v>74</v>
      </c>
      <c r="AN293" s="287" t="n">
        <f aca="false">OperatingCurve!AM318</f>
        <v>0.4</v>
      </c>
    </row>
    <row r="294" customFormat="false" ht="12.75" hidden="false" customHeight="false" outlineLevel="0" collapsed="false">
      <c r="A294" s="282" t="n">
        <f aca="false">OperatingCurve!D290</f>
        <v>44713</v>
      </c>
      <c r="B294" s="283" t="n">
        <f aca="false">OperatingCurve!H290</f>
        <v>35.156</v>
      </c>
      <c r="C294" s="283" t="n">
        <f aca="false">OperatingCurve!G290</f>
        <v>40.521</v>
      </c>
      <c r="D294" s="283" t="n">
        <f aca="false">OperatingCurve!I290</f>
        <v>78.329</v>
      </c>
      <c r="E294" s="293"/>
      <c r="F294" s="283" t="n">
        <f aca="false">OperatingCurve!M290</f>
        <v>0</v>
      </c>
      <c r="G294" s="283" t="n">
        <f aca="false">OperatingCurve!L290</f>
        <v>0</v>
      </c>
      <c r="H294" s="283" t="n">
        <f aca="false">OperatingCurve!N290</f>
        <v>0</v>
      </c>
      <c r="J294" s="284" t="n">
        <f aca="false">OperatingCurve!V319</f>
        <v>45597</v>
      </c>
      <c r="K294" s="285" t="n">
        <f aca="false">OperatingCurve!Z319</f>
        <v>0</v>
      </c>
      <c r="L294" s="285" t="n">
        <f aca="false">OperatingCurve!Y319</f>
        <v>0</v>
      </c>
      <c r="M294" s="285" t="n">
        <f aca="false">OperatingCurve!AA319</f>
        <v>0</v>
      </c>
      <c r="O294" s="285" t="n">
        <f aca="false">OperatingCurve!AE319</f>
        <v>0</v>
      </c>
      <c r="P294" s="285" t="n">
        <f aca="false">OperatingCurve!AD319</f>
        <v>0</v>
      </c>
      <c r="Q294" s="285" t="n">
        <f aca="false">OperatingCurve!AF319</f>
        <v>0</v>
      </c>
      <c r="S294" s="285" t="n">
        <f aca="false">OperatingCurve!AJ319</f>
        <v>0</v>
      </c>
      <c r="T294" s="285" t="n">
        <f aca="false">OperatingCurve!AI319</f>
        <v>0</v>
      </c>
      <c r="U294" s="285" t="n">
        <f aca="false">OperatingCurve!AK319</f>
        <v>0</v>
      </c>
      <c r="W294" s="285" t="n">
        <f aca="false">OperatingCurve!AO319</f>
        <v>0</v>
      </c>
      <c r="X294" s="285" t="n">
        <f aca="false">OperatingCurve!AN319</f>
        <v>0</v>
      </c>
      <c r="Y294" s="285" t="n">
        <f aca="false">OperatingCurve!AP319</f>
        <v>0</v>
      </c>
      <c r="AA294" s="285" t="n">
        <f aca="false">OperatingCurve!AR319</f>
        <v>0</v>
      </c>
      <c r="AB294" s="285" t="n">
        <f aca="false">OperatingCurve!AQ319</f>
        <v>0</v>
      </c>
      <c r="AC294" s="285" t="n">
        <f aca="false">OperatingCurve!AS319</f>
        <v>0</v>
      </c>
      <c r="AE294" s="285" t="n">
        <f aca="false">OperatingCurve!AU319</f>
        <v>-0.410147476715089</v>
      </c>
      <c r="AF294" s="285" t="n">
        <f aca="false">OperatingCurve!AT319</f>
        <v>6.56235962744143</v>
      </c>
      <c r="AG294" s="285" t="n">
        <f aca="false">OperatingCurve!AV319</f>
        <v>8.20294953430178</v>
      </c>
      <c r="AI294" s="285" t="n">
        <f aca="false">OperatingCurve!AX319</f>
        <v>-0.6558</v>
      </c>
      <c r="AJ294" s="285" t="n">
        <f aca="false">OperatingCurve!AW319</f>
        <v>10.4928</v>
      </c>
      <c r="AK294" s="285" t="n">
        <f aca="false">OperatingCurve!AY319</f>
        <v>13.116</v>
      </c>
      <c r="AM294" s="286" t="n">
        <f aca="false">OperatingCurve!AL319</f>
        <v>74</v>
      </c>
      <c r="AN294" s="287" t="n">
        <f aca="false">OperatingCurve!AM319</f>
        <v>0.4</v>
      </c>
    </row>
    <row r="295" customFormat="false" ht="12.75" hidden="false" customHeight="false" outlineLevel="0" collapsed="false">
      <c r="A295" s="282" t="n">
        <f aca="false">OperatingCurve!D291</f>
        <v>44743</v>
      </c>
      <c r="B295" s="283" t="n">
        <f aca="false">OperatingCurve!H291</f>
        <v>35.156</v>
      </c>
      <c r="C295" s="283" t="n">
        <f aca="false">OperatingCurve!G291</f>
        <v>40.521</v>
      </c>
      <c r="D295" s="283" t="n">
        <f aca="false">OperatingCurve!I291</f>
        <v>78.329</v>
      </c>
      <c r="E295" s="293"/>
      <c r="F295" s="283" t="n">
        <f aca="false">OperatingCurve!M291</f>
        <v>0</v>
      </c>
      <c r="G295" s="283" t="n">
        <f aca="false">OperatingCurve!L291</f>
        <v>0</v>
      </c>
      <c r="H295" s="283" t="n">
        <f aca="false">OperatingCurve!N291</f>
        <v>0</v>
      </c>
      <c r="J295" s="284" t="n">
        <f aca="false">OperatingCurve!V320</f>
        <v>45627</v>
      </c>
      <c r="K295" s="285" t="n">
        <f aca="false">OperatingCurve!Z320</f>
        <v>0</v>
      </c>
      <c r="L295" s="285" t="n">
        <f aca="false">OperatingCurve!Y320</f>
        <v>0</v>
      </c>
      <c r="M295" s="285" t="n">
        <f aca="false">OperatingCurve!AA320</f>
        <v>0</v>
      </c>
      <c r="O295" s="285" t="n">
        <f aca="false">OperatingCurve!AE320</f>
        <v>0</v>
      </c>
      <c r="P295" s="285" t="n">
        <f aca="false">OperatingCurve!AD320</f>
        <v>0</v>
      </c>
      <c r="Q295" s="285" t="n">
        <f aca="false">OperatingCurve!AF320</f>
        <v>0</v>
      </c>
      <c r="S295" s="285" t="n">
        <f aca="false">OperatingCurve!AJ320</f>
        <v>0</v>
      </c>
      <c r="T295" s="285" t="n">
        <f aca="false">OperatingCurve!AI320</f>
        <v>0</v>
      </c>
      <c r="U295" s="285" t="n">
        <f aca="false">OperatingCurve!AK320</f>
        <v>0</v>
      </c>
      <c r="W295" s="285" t="n">
        <f aca="false">OperatingCurve!AO320</f>
        <v>0</v>
      </c>
      <c r="X295" s="285" t="n">
        <f aca="false">OperatingCurve!AN320</f>
        <v>0</v>
      </c>
      <c r="Y295" s="285" t="n">
        <f aca="false">OperatingCurve!AP320</f>
        <v>0</v>
      </c>
      <c r="AA295" s="285" t="n">
        <f aca="false">OperatingCurve!AR320</f>
        <v>0</v>
      </c>
      <c r="AB295" s="285" t="n">
        <f aca="false">OperatingCurve!AQ320</f>
        <v>0</v>
      </c>
      <c r="AC295" s="285" t="n">
        <f aca="false">OperatingCurve!AS320</f>
        <v>0</v>
      </c>
      <c r="AE295" s="285" t="n">
        <f aca="false">OperatingCurve!AU320</f>
        <v>-0.419655399211954</v>
      </c>
      <c r="AF295" s="285" t="n">
        <f aca="false">OperatingCurve!AT320</f>
        <v>6.71448638739126</v>
      </c>
      <c r="AG295" s="285" t="n">
        <f aca="false">OperatingCurve!AV320</f>
        <v>8.39310798423907</v>
      </c>
      <c r="AI295" s="285" t="n">
        <f aca="false">OperatingCurve!AX320</f>
        <v>-0.667575</v>
      </c>
      <c r="AJ295" s="285" t="n">
        <f aca="false">OperatingCurve!AW320</f>
        <v>10.6812</v>
      </c>
      <c r="AK295" s="285" t="n">
        <f aca="false">OperatingCurve!AY320</f>
        <v>13.3515</v>
      </c>
      <c r="AM295" s="286" t="n">
        <f aca="false">OperatingCurve!AL320</f>
        <v>74</v>
      </c>
      <c r="AN295" s="287" t="n">
        <f aca="false">OperatingCurve!AM320</f>
        <v>0.4</v>
      </c>
    </row>
    <row r="296" customFormat="false" ht="12.75" hidden="false" customHeight="false" outlineLevel="0" collapsed="false">
      <c r="A296" s="282" t="n">
        <f aca="false">OperatingCurve!D292</f>
        <v>44774</v>
      </c>
      <c r="B296" s="283" t="n">
        <f aca="false">OperatingCurve!H292</f>
        <v>37.296</v>
      </c>
      <c r="C296" s="283" t="n">
        <f aca="false">OperatingCurve!G292</f>
        <v>42.681</v>
      </c>
      <c r="D296" s="283" t="n">
        <f aca="false">OperatingCurve!I292</f>
        <v>80.625</v>
      </c>
      <c r="E296" s="293"/>
      <c r="F296" s="283" t="n">
        <f aca="false">OperatingCurve!M292</f>
        <v>0</v>
      </c>
      <c r="G296" s="283" t="n">
        <f aca="false">OperatingCurve!L292</f>
        <v>0</v>
      </c>
      <c r="H296" s="283" t="n">
        <f aca="false">OperatingCurve!N292</f>
        <v>0</v>
      </c>
      <c r="J296" s="284" t="n">
        <f aca="false">OperatingCurve!V321</f>
        <v>45658</v>
      </c>
      <c r="K296" s="285" t="n">
        <f aca="false">OperatingCurve!Z321</f>
        <v>0</v>
      </c>
      <c r="L296" s="285" t="n">
        <f aca="false">OperatingCurve!Y321</f>
        <v>0</v>
      </c>
      <c r="M296" s="285" t="n">
        <f aca="false">OperatingCurve!AA321</f>
        <v>0</v>
      </c>
      <c r="O296" s="285" t="n">
        <f aca="false">OperatingCurve!AE321</f>
        <v>0</v>
      </c>
      <c r="P296" s="285" t="n">
        <f aca="false">OperatingCurve!AD321</f>
        <v>0</v>
      </c>
      <c r="Q296" s="285" t="n">
        <f aca="false">OperatingCurve!AF321</f>
        <v>0</v>
      </c>
      <c r="S296" s="285" t="n">
        <f aca="false">OperatingCurve!AJ321</f>
        <v>0</v>
      </c>
      <c r="T296" s="285" t="n">
        <f aca="false">OperatingCurve!AI321</f>
        <v>0</v>
      </c>
      <c r="U296" s="285" t="n">
        <f aca="false">OperatingCurve!AK321</f>
        <v>0</v>
      </c>
      <c r="W296" s="285" t="n">
        <f aca="false">OperatingCurve!AO321</f>
        <v>0</v>
      </c>
      <c r="X296" s="285" t="n">
        <f aca="false">OperatingCurve!AN321</f>
        <v>0</v>
      </c>
      <c r="Y296" s="285" t="n">
        <f aca="false">OperatingCurve!AP321</f>
        <v>0</v>
      </c>
      <c r="AA296" s="285" t="n">
        <f aca="false">OperatingCurve!AR321</f>
        <v>0</v>
      </c>
      <c r="AB296" s="285" t="n">
        <f aca="false">OperatingCurve!AQ321</f>
        <v>0</v>
      </c>
      <c r="AC296" s="285" t="n">
        <f aca="false">OperatingCurve!AS321</f>
        <v>0</v>
      </c>
      <c r="AE296" s="285" t="n">
        <f aca="false">OperatingCurve!AU321</f>
        <v>-0.43048858158097</v>
      </c>
      <c r="AF296" s="285" t="n">
        <f aca="false">OperatingCurve!AT321</f>
        <v>6.88781730529552</v>
      </c>
      <c r="AG296" s="285" t="n">
        <f aca="false">OperatingCurve!AV321</f>
        <v>8.60977163161941</v>
      </c>
      <c r="AI296" s="285" t="n">
        <f aca="false">OperatingCurve!AX321</f>
        <v>-0.6558</v>
      </c>
      <c r="AJ296" s="285" t="n">
        <f aca="false">OperatingCurve!AW321</f>
        <v>10.4928</v>
      </c>
      <c r="AK296" s="285" t="n">
        <f aca="false">OperatingCurve!AY321</f>
        <v>13.116</v>
      </c>
      <c r="AM296" s="286" t="n">
        <f aca="false">OperatingCurve!AL321</f>
        <v>74</v>
      </c>
      <c r="AN296" s="287" t="n">
        <f aca="false">OperatingCurve!AM321</f>
        <v>0.4</v>
      </c>
    </row>
    <row r="297" customFormat="false" ht="12.75" hidden="false" customHeight="false" outlineLevel="0" collapsed="false">
      <c r="A297" s="282" t="n">
        <f aca="false">OperatingCurve!D293</f>
        <v>44805</v>
      </c>
      <c r="B297" s="283" t="n">
        <f aca="false">OperatingCurve!H293</f>
        <v>30.9</v>
      </c>
      <c r="C297" s="283" t="n">
        <f aca="false">OperatingCurve!G293</f>
        <v>36.225</v>
      </c>
      <c r="D297" s="283" t="n">
        <f aca="false">OperatingCurve!I293</f>
        <v>73.761</v>
      </c>
      <c r="E297" s="293"/>
      <c r="F297" s="283" t="n">
        <f aca="false">OperatingCurve!M293</f>
        <v>0</v>
      </c>
      <c r="G297" s="283" t="n">
        <f aca="false">OperatingCurve!L293</f>
        <v>0</v>
      </c>
      <c r="H297" s="283" t="n">
        <f aca="false">OperatingCurve!N293</f>
        <v>0</v>
      </c>
      <c r="J297" s="284" t="n">
        <f aca="false">OperatingCurve!V322</f>
        <v>45689</v>
      </c>
      <c r="K297" s="285" t="n">
        <f aca="false">OperatingCurve!Z322</f>
        <v>0</v>
      </c>
      <c r="L297" s="285" t="n">
        <f aca="false">OperatingCurve!Y322</f>
        <v>0</v>
      </c>
      <c r="M297" s="285" t="n">
        <f aca="false">OperatingCurve!AA322</f>
        <v>0</v>
      </c>
      <c r="O297" s="285" t="n">
        <f aca="false">OperatingCurve!AE322</f>
        <v>0</v>
      </c>
      <c r="P297" s="285" t="n">
        <f aca="false">OperatingCurve!AD322</f>
        <v>0</v>
      </c>
      <c r="Q297" s="285" t="n">
        <f aca="false">OperatingCurve!AF322</f>
        <v>0</v>
      </c>
      <c r="S297" s="285" t="n">
        <f aca="false">OperatingCurve!AJ322</f>
        <v>0</v>
      </c>
      <c r="T297" s="285" t="n">
        <f aca="false">OperatingCurve!AI322</f>
        <v>0</v>
      </c>
      <c r="U297" s="285" t="n">
        <f aca="false">OperatingCurve!AK322</f>
        <v>0</v>
      </c>
      <c r="W297" s="285" t="n">
        <f aca="false">OperatingCurve!AO322</f>
        <v>0</v>
      </c>
      <c r="X297" s="285" t="n">
        <f aca="false">OperatingCurve!AN322</f>
        <v>0</v>
      </c>
      <c r="Y297" s="285" t="n">
        <f aca="false">OperatingCurve!AP322</f>
        <v>0</v>
      </c>
      <c r="AA297" s="285" t="n">
        <f aca="false">OperatingCurve!AR322</f>
        <v>0</v>
      </c>
      <c r="AB297" s="285" t="n">
        <f aca="false">OperatingCurve!AQ322</f>
        <v>0</v>
      </c>
      <c r="AC297" s="285" t="n">
        <f aca="false">OperatingCurve!AS322</f>
        <v>0</v>
      </c>
      <c r="AE297" s="285" t="n">
        <f aca="false">OperatingCurve!AU322</f>
        <v>-0.402107379613998</v>
      </c>
      <c r="AF297" s="285" t="n">
        <f aca="false">OperatingCurve!AT322</f>
        <v>6.43371807382396</v>
      </c>
      <c r="AG297" s="285" t="n">
        <f aca="false">OperatingCurve!AV322</f>
        <v>8.04214759227995</v>
      </c>
      <c r="AI297" s="285" t="n">
        <f aca="false">OperatingCurve!AX322</f>
        <v>-0.6616875</v>
      </c>
      <c r="AJ297" s="285" t="n">
        <f aca="false">OperatingCurve!AW322</f>
        <v>10.587</v>
      </c>
      <c r="AK297" s="285" t="n">
        <f aca="false">OperatingCurve!AY322</f>
        <v>13.23375</v>
      </c>
      <c r="AM297" s="286" t="n">
        <f aca="false">OperatingCurve!AL322</f>
        <v>74</v>
      </c>
      <c r="AN297" s="287" t="n">
        <f aca="false">OperatingCurve!AM322</f>
        <v>0.4</v>
      </c>
    </row>
    <row r="298" customFormat="false" ht="12.75" hidden="false" customHeight="false" outlineLevel="0" collapsed="false">
      <c r="A298" s="282" t="n">
        <f aca="false">OperatingCurve!D294</f>
        <v>44835</v>
      </c>
      <c r="B298" s="283" t="n">
        <f aca="false">OperatingCurve!H294</f>
        <v>33.024</v>
      </c>
      <c r="C298" s="283" t="n">
        <f aca="false">OperatingCurve!G294</f>
        <v>38.369</v>
      </c>
      <c r="D298" s="283" t="n">
        <f aca="false">OperatingCurve!I294</f>
        <v>76.041</v>
      </c>
      <c r="E298" s="293"/>
      <c r="F298" s="283" t="n">
        <f aca="false">OperatingCurve!M294</f>
        <v>0</v>
      </c>
      <c r="G298" s="283" t="n">
        <f aca="false">OperatingCurve!L294</f>
        <v>0</v>
      </c>
      <c r="H298" s="283" t="n">
        <f aca="false">OperatingCurve!N294</f>
        <v>0</v>
      </c>
      <c r="J298" s="284" t="n">
        <f aca="false">OperatingCurve!V323</f>
        <v>0</v>
      </c>
      <c r="K298" s="285" t="n">
        <f aca="false">OperatingCurve!Z323</f>
        <v>0</v>
      </c>
      <c r="L298" s="285" t="n">
        <f aca="false">OperatingCurve!Y323</f>
        <v>0</v>
      </c>
      <c r="M298" s="285" t="n">
        <f aca="false">OperatingCurve!AA323</f>
        <v>0</v>
      </c>
      <c r="O298" s="285" t="n">
        <f aca="false">OperatingCurve!AE323</f>
        <v>0</v>
      </c>
      <c r="P298" s="285" t="n">
        <f aca="false">OperatingCurve!AD323</f>
        <v>0</v>
      </c>
      <c r="Q298" s="285" t="n">
        <f aca="false">OperatingCurve!AF323</f>
        <v>0</v>
      </c>
      <c r="S298" s="285" t="n">
        <f aca="false">OperatingCurve!AJ323</f>
        <v>0</v>
      </c>
      <c r="T298" s="285" t="n">
        <f aca="false">OperatingCurve!AI323</f>
        <v>0</v>
      </c>
      <c r="U298" s="285" t="n">
        <f aca="false">OperatingCurve!AK323</f>
        <v>0</v>
      </c>
      <c r="W298" s="285" t="n">
        <f aca="false">OperatingCurve!AO323</f>
        <v>0</v>
      </c>
      <c r="X298" s="285" t="n">
        <f aca="false">OperatingCurve!AN323</f>
        <v>0</v>
      </c>
      <c r="Y298" s="285" t="n">
        <f aca="false">OperatingCurve!AP323</f>
        <v>0</v>
      </c>
      <c r="AA298" s="285" t="n">
        <f aca="false">OperatingCurve!AR323</f>
        <v>0</v>
      </c>
      <c r="AB298" s="285" t="n">
        <f aca="false">OperatingCurve!AQ323</f>
        <v>0</v>
      </c>
      <c r="AC298" s="285" t="n">
        <f aca="false">OperatingCurve!AS323</f>
        <v>0</v>
      </c>
      <c r="AE298" s="285" t="n">
        <f aca="false">OperatingCurve!AU323</f>
        <v>0</v>
      </c>
      <c r="AF298" s="285" t="n">
        <f aca="false">OperatingCurve!AT323</f>
        <v>0</v>
      </c>
      <c r="AG298" s="285" t="n">
        <f aca="false">OperatingCurve!AV323</f>
        <v>0</v>
      </c>
      <c r="AI298" s="285" t="n">
        <f aca="false">OperatingCurve!AX323</f>
        <v>0</v>
      </c>
      <c r="AJ298" s="285" t="n">
        <f aca="false">OperatingCurve!AW323</f>
        <v>0</v>
      </c>
      <c r="AK298" s="285" t="n">
        <f aca="false">OperatingCurve!AY323</f>
        <v>0</v>
      </c>
      <c r="AM298" s="286" t="n">
        <f aca="false">OperatingCurve!AL323</f>
        <v>0</v>
      </c>
      <c r="AN298" s="287" t="n">
        <f aca="false">OperatingCurve!AM323</f>
        <v>0</v>
      </c>
    </row>
    <row r="299" customFormat="false" ht="12.75" hidden="false" customHeight="false" outlineLevel="0" collapsed="false">
      <c r="A299" s="282" t="n">
        <f aca="false">OperatingCurve!D295</f>
        <v>44866</v>
      </c>
      <c r="B299" s="283" t="n">
        <f aca="false">OperatingCurve!H295</f>
        <v>26.676</v>
      </c>
      <c r="C299" s="283" t="n">
        <f aca="false">OperatingCurve!G295</f>
        <v>31.961</v>
      </c>
      <c r="D299" s="283" t="n">
        <f aca="false">OperatingCurve!I295</f>
        <v>69.225</v>
      </c>
      <c r="E299" s="293"/>
      <c r="F299" s="283" t="n">
        <f aca="false">OperatingCurve!M295</f>
        <v>0</v>
      </c>
      <c r="G299" s="283" t="n">
        <f aca="false">OperatingCurve!L295</f>
        <v>0</v>
      </c>
      <c r="H299" s="283" t="n">
        <f aca="false">OperatingCurve!N295</f>
        <v>0</v>
      </c>
      <c r="J299" s="284" t="n">
        <f aca="false">OperatingCurve!V324</f>
        <v>0</v>
      </c>
      <c r="K299" s="285" t="n">
        <f aca="false">OperatingCurve!Z324</f>
        <v>0</v>
      </c>
      <c r="L299" s="285" t="n">
        <f aca="false">OperatingCurve!Y324</f>
        <v>0</v>
      </c>
      <c r="M299" s="285" t="n">
        <f aca="false">OperatingCurve!AA324</f>
        <v>0</v>
      </c>
      <c r="O299" s="285" t="n">
        <f aca="false">OperatingCurve!AE324</f>
        <v>0</v>
      </c>
      <c r="P299" s="285" t="n">
        <f aca="false">OperatingCurve!AD324</f>
        <v>0</v>
      </c>
      <c r="Q299" s="285" t="n">
        <f aca="false">OperatingCurve!AF324</f>
        <v>0</v>
      </c>
      <c r="S299" s="285" t="n">
        <f aca="false">OperatingCurve!AJ324</f>
        <v>0</v>
      </c>
      <c r="T299" s="285" t="n">
        <f aca="false">OperatingCurve!AI324</f>
        <v>0</v>
      </c>
      <c r="U299" s="285" t="n">
        <f aca="false">OperatingCurve!AK324</f>
        <v>0</v>
      </c>
      <c r="W299" s="285" t="n">
        <f aca="false">OperatingCurve!AO324</f>
        <v>0</v>
      </c>
      <c r="X299" s="285" t="n">
        <f aca="false">OperatingCurve!AN324</f>
        <v>0</v>
      </c>
      <c r="Y299" s="285" t="n">
        <f aca="false">OperatingCurve!AP324</f>
        <v>0</v>
      </c>
      <c r="AA299" s="285" t="n">
        <f aca="false">OperatingCurve!AR324</f>
        <v>0</v>
      </c>
      <c r="AB299" s="285" t="n">
        <f aca="false">OperatingCurve!AQ324</f>
        <v>0</v>
      </c>
      <c r="AC299" s="285" t="n">
        <f aca="false">OperatingCurve!AS324</f>
        <v>0</v>
      </c>
      <c r="AE299" s="285" t="n">
        <f aca="false">OperatingCurve!AU324</f>
        <v>0</v>
      </c>
      <c r="AF299" s="285" t="n">
        <f aca="false">OperatingCurve!AT324</f>
        <v>0</v>
      </c>
      <c r="AG299" s="285" t="n">
        <f aca="false">OperatingCurve!AV324</f>
        <v>0</v>
      </c>
      <c r="AI299" s="285" t="n">
        <f aca="false">OperatingCurve!AX324</f>
        <v>0</v>
      </c>
      <c r="AJ299" s="285" t="n">
        <f aca="false">OperatingCurve!AW324</f>
        <v>0</v>
      </c>
      <c r="AK299" s="285" t="n">
        <f aca="false">OperatingCurve!AY324</f>
        <v>0</v>
      </c>
      <c r="AM299" s="286" t="n">
        <f aca="false">OperatingCurve!AL324</f>
        <v>0</v>
      </c>
      <c r="AN299" s="287" t="n">
        <f aca="false">OperatingCurve!AM324</f>
        <v>0</v>
      </c>
    </row>
    <row r="300" customFormat="false" ht="12.75" hidden="false" customHeight="false" outlineLevel="0" collapsed="false">
      <c r="A300" s="282" t="n">
        <f aca="false">OperatingCurve!D296</f>
        <v>44896</v>
      </c>
      <c r="B300" s="283" t="n">
        <f aca="false">OperatingCurve!H296</f>
        <v>27.729</v>
      </c>
      <c r="C300" s="283" t="n">
        <f aca="false">OperatingCurve!G296</f>
        <v>33.024</v>
      </c>
      <c r="D300" s="283" t="n">
        <f aca="false">OperatingCurve!I296</f>
        <v>70.356</v>
      </c>
      <c r="E300" s="293"/>
      <c r="F300" s="283" t="n">
        <f aca="false">OperatingCurve!M296</f>
        <v>0</v>
      </c>
      <c r="G300" s="283" t="n">
        <f aca="false">OperatingCurve!L296</f>
        <v>0</v>
      </c>
      <c r="H300" s="283" t="n">
        <f aca="false">OperatingCurve!N296</f>
        <v>0</v>
      </c>
      <c r="J300" s="284" t="n">
        <f aca="false">OperatingCurve!V325</f>
        <v>0</v>
      </c>
      <c r="K300" s="285" t="n">
        <f aca="false">OperatingCurve!Z325</f>
        <v>0</v>
      </c>
      <c r="L300" s="285" t="n">
        <f aca="false">OperatingCurve!Y325</f>
        <v>0</v>
      </c>
      <c r="M300" s="285" t="n">
        <f aca="false">OperatingCurve!AA325</f>
        <v>0</v>
      </c>
      <c r="O300" s="285" t="n">
        <f aca="false">OperatingCurve!AE325</f>
        <v>0</v>
      </c>
      <c r="P300" s="285" t="n">
        <f aca="false">OperatingCurve!AD325</f>
        <v>0</v>
      </c>
      <c r="Q300" s="285" t="n">
        <f aca="false">OperatingCurve!AF325</f>
        <v>0</v>
      </c>
      <c r="S300" s="285" t="n">
        <f aca="false">OperatingCurve!AJ325</f>
        <v>0</v>
      </c>
      <c r="T300" s="285" t="n">
        <f aca="false">OperatingCurve!AI325</f>
        <v>0</v>
      </c>
      <c r="U300" s="285" t="n">
        <f aca="false">OperatingCurve!AK325</f>
        <v>0</v>
      </c>
      <c r="W300" s="285" t="n">
        <f aca="false">OperatingCurve!AO325</f>
        <v>0</v>
      </c>
      <c r="X300" s="285" t="n">
        <f aca="false">OperatingCurve!AN325</f>
        <v>0</v>
      </c>
      <c r="Y300" s="285" t="n">
        <f aca="false">OperatingCurve!AP325</f>
        <v>0</v>
      </c>
      <c r="AA300" s="285" t="n">
        <f aca="false">OperatingCurve!AR325</f>
        <v>0</v>
      </c>
      <c r="AB300" s="285" t="n">
        <f aca="false">OperatingCurve!AQ325</f>
        <v>0</v>
      </c>
      <c r="AC300" s="285" t="n">
        <f aca="false">OperatingCurve!AS325</f>
        <v>0</v>
      </c>
      <c r="AE300" s="285" t="n">
        <f aca="false">OperatingCurve!AU325</f>
        <v>0</v>
      </c>
      <c r="AF300" s="285" t="n">
        <f aca="false">OperatingCurve!AT325</f>
        <v>0</v>
      </c>
      <c r="AG300" s="285" t="n">
        <f aca="false">OperatingCurve!AV325</f>
        <v>0</v>
      </c>
      <c r="AI300" s="285" t="n">
        <f aca="false">OperatingCurve!AX325</f>
        <v>0</v>
      </c>
      <c r="AJ300" s="285" t="n">
        <f aca="false">OperatingCurve!AW325</f>
        <v>0</v>
      </c>
      <c r="AK300" s="285" t="n">
        <f aca="false">OperatingCurve!AY325</f>
        <v>0</v>
      </c>
      <c r="AM300" s="286" t="n">
        <f aca="false">OperatingCurve!AL325</f>
        <v>0</v>
      </c>
      <c r="AN300" s="287" t="n">
        <f aca="false">OperatingCurve!AM325</f>
        <v>0</v>
      </c>
    </row>
    <row r="301" customFormat="false" ht="12.75" hidden="false" customHeight="false" outlineLevel="0" collapsed="false">
      <c r="A301" s="282" t="n">
        <f aca="false">OperatingCurve!D297</f>
        <v>44927</v>
      </c>
      <c r="B301" s="283" t="n">
        <f aca="false">OperatingCurve!H297</f>
        <v>28.784</v>
      </c>
      <c r="C301" s="283" t="n">
        <f aca="false">OperatingCurve!G297</f>
        <v>34.089</v>
      </c>
      <c r="D301" s="283" t="n">
        <f aca="false">OperatingCurve!I297</f>
        <v>71.489</v>
      </c>
      <c r="E301" s="293"/>
      <c r="F301" s="283" t="n">
        <f aca="false">OperatingCurve!M297</f>
        <v>0</v>
      </c>
      <c r="G301" s="283" t="n">
        <f aca="false">OperatingCurve!L297</f>
        <v>0</v>
      </c>
      <c r="H301" s="283" t="n">
        <f aca="false">OperatingCurve!N297</f>
        <v>0</v>
      </c>
      <c r="J301" s="284" t="n">
        <f aca="false">OperatingCurve!V326</f>
        <v>0</v>
      </c>
      <c r="K301" s="285" t="n">
        <f aca="false">OperatingCurve!Z326</f>
        <v>0</v>
      </c>
      <c r="L301" s="285" t="n">
        <f aca="false">OperatingCurve!Y326</f>
        <v>0</v>
      </c>
      <c r="M301" s="285" t="n">
        <f aca="false">OperatingCurve!AA326</f>
        <v>0</v>
      </c>
      <c r="O301" s="285" t="n">
        <f aca="false">OperatingCurve!AE326</f>
        <v>0</v>
      </c>
      <c r="P301" s="285" t="n">
        <f aca="false">OperatingCurve!AD326</f>
        <v>0</v>
      </c>
      <c r="Q301" s="285" t="n">
        <f aca="false">OperatingCurve!AF326</f>
        <v>0</v>
      </c>
      <c r="S301" s="285" t="n">
        <f aca="false">OperatingCurve!AJ326</f>
        <v>0</v>
      </c>
      <c r="T301" s="285" t="n">
        <f aca="false">OperatingCurve!AI326</f>
        <v>0</v>
      </c>
      <c r="U301" s="285" t="n">
        <f aca="false">OperatingCurve!AK326</f>
        <v>0</v>
      </c>
      <c r="W301" s="285" t="n">
        <f aca="false">OperatingCurve!AO326</f>
        <v>0</v>
      </c>
      <c r="X301" s="285" t="n">
        <f aca="false">OperatingCurve!AN326</f>
        <v>0</v>
      </c>
      <c r="Y301" s="285" t="n">
        <f aca="false">OperatingCurve!AP326</f>
        <v>0</v>
      </c>
      <c r="AA301" s="285" t="n">
        <f aca="false">OperatingCurve!AR326</f>
        <v>0</v>
      </c>
      <c r="AB301" s="285" t="n">
        <f aca="false">OperatingCurve!AQ326</f>
        <v>0</v>
      </c>
      <c r="AC301" s="285" t="n">
        <f aca="false">OperatingCurve!AS326</f>
        <v>0</v>
      </c>
      <c r="AE301" s="285" t="n">
        <f aca="false">OperatingCurve!AU326</f>
        <v>0</v>
      </c>
      <c r="AF301" s="285" t="n">
        <f aca="false">OperatingCurve!AT326</f>
        <v>0</v>
      </c>
      <c r="AG301" s="285" t="n">
        <f aca="false">OperatingCurve!AV326</f>
        <v>0</v>
      </c>
      <c r="AI301" s="285" t="n">
        <f aca="false">OperatingCurve!AX326</f>
        <v>0</v>
      </c>
      <c r="AJ301" s="285" t="n">
        <f aca="false">OperatingCurve!AW326</f>
        <v>0</v>
      </c>
      <c r="AK301" s="285" t="n">
        <f aca="false">OperatingCurve!AY326</f>
        <v>0</v>
      </c>
      <c r="AM301" s="286" t="n">
        <f aca="false">OperatingCurve!AL326</f>
        <v>0</v>
      </c>
      <c r="AN301" s="287" t="n">
        <f aca="false">OperatingCurve!AM326</f>
        <v>0</v>
      </c>
    </row>
    <row r="302" customFormat="false" ht="12.75" hidden="false" customHeight="false" outlineLevel="0" collapsed="false">
      <c r="A302" s="282" t="n">
        <f aca="false">OperatingCurve!D298</f>
        <v>44958</v>
      </c>
      <c r="B302" s="283" t="n">
        <f aca="false">OperatingCurve!H298</f>
        <v>25.625</v>
      </c>
      <c r="C302" s="283" t="n">
        <f aca="false">OperatingCurve!G298</f>
        <v>30.9</v>
      </c>
      <c r="D302" s="283" t="n">
        <f aca="false">OperatingCurve!I298</f>
        <v>68.096</v>
      </c>
      <c r="E302" s="293"/>
      <c r="F302" s="283" t="n">
        <f aca="false">OperatingCurve!M298</f>
        <v>0</v>
      </c>
      <c r="G302" s="283" t="n">
        <f aca="false">OperatingCurve!L298</f>
        <v>0</v>
      </c>
      <c r="H302" s="283" t="n">
        <f aca="false">OperatingCurve!N298</f>
        <v>0</v>
      </c>
      <c r="J302" s="284" t="n">
        <f aca="false">OperatingCurve!V327</f>
        <v>0</v>
      </c>
      <c r="K302" s="285" t="n">
        <f aca="false">OperatingCurve!Z327</f>
        <v>0</v>
      </c>
      <c r="L302" s="285" t="n">
        <f aca="false">OperatingCurve!Y327</f>
        <v>0</v>
      </c>
      <c r="M302" s="285" t="n">
        <f aca="false">OperatingCurve!AA327</f>
        <v>0</v>
      </c>
      <c r="O302" s="285" t="n">
        <f aca="false">OperatingCurve!AE327</f>
        <v>0</v>
      </c>
      <c r="P302" s="285" t="n">
        <f aca="false">OperatingCurve!AD327</f>
        <v>0</v>
      </c>
      <c r="Q302" s="285" t="n">
        <f aca="false">OperatingCurve!AF327</f>
        <v>0</v>
      </c>
      <c r="S302" s="285" t="n">
        <f aca="false">OperatingCurve!AJ327</f>
        <v>0</v>
      </c>
      <c r="T302" s="285" t="n">
        <f aca="false">OperatingCurve!AI327</f>
        <v>0</v>
      </c>
      <c r="U302" s="285" t="n">
        <f aca="false">OperatingCurve!AK327</f>
        <v>0</v>
      </c>
      <c r="W302" s="285" t="n">
        <f aca="false">OperatingCurve!AO327</f>
        <v>0</v>
      </c>
      <c r="X302" s="285" t="n">
        <f aca="false">OperatingCurve!AN327</f>
        <v>0</v>
      </c>
      <c r="Y302" s="285" t="n">
        <f aca="false">OperatingCurve!AP327</f>
        <v>0</v>
      </c>
      <c r="AA302" s="285" t="n">
        <f aca="false">OperatingCurve!AR327</f>
        <v>0</v>
      </c>
      <c r="AB302" s="285" t="n">
        <f aca="false">OperatingCurve!AQ327</f>
        <v>0</v>
      </c>
      <c r="AC302" s="285" t="n">
        <f aca="false">OperatingCurve!AS327</f>
        <v>0</v>
      </c>
      <c r="AE302" s="285" t="n">
        <f aca="false">OperatingCurve!AU327</f>
        <v>0</v>
      </c>
      <c r="AF302" s="285" t="n">
        <f aca="false">OperatingCurve!AT327</f>
        <v>0</v>
      </c>
      <c r="AG302" s="285" t="n">
        <f aca="false">OperatingCurve!AV327</f>
        <v>0</v>
      </c>
      <c r="AI302" s="285" t="n">
        <f aca="false">OperatingCurve!AX327</f>
        <v>0</v>
      </c>
      <c r="AJ302" s="285" t="n">
        <f aca="false">OperatingCurve!AW327</f>
        <v>0</v>
      </c>
      <c r="AK302" s="285" t="n">
        <f aca="false">OperatingCurve!AY327</f>
        <v>0</v>
      </c>
      <c r="AM302" s="286" t="n">
        <f aca="false">OperatingCurve!AL327</f>
        <v>0</v>
      </c>
      <c r="AN302" s="287" t="n">
        <f aca="false">OperatingCurve!AM327</f>
        <v>0</v>
      </c>
    </row>
    <row r="303" customFormat="false" ht="12.75" hidden="false" customHeight="false" outlineLevel="0" collapsed="false">
      <c r="A303" s="282" t="n">
        <f aca="false">OperatingCurve!D299</f>
        <v>44986</v>
      </c>
      <c r="B303" s="283" t="n">
        <f aca="false">OperatingCurve!H299</f>
        <v>24.576</v>
      </c>
      <c r="C303" s="283" t="n">
        <f aca="false">OperatingCurve!G299</f>
        <v>29.841</v>
      </c>
      <c r="D303" s="283" t="n">
        <f aca="false">OperatingCurve!I299</f>
        <v>66.969</v>
      </c>
      <c r="E303" s="293"/>
      <c r="F303" s="283" t="n">
        <f aca="false">OperatingCurve!M299</f>
        <v>0</v>
      </c>
      <c r="G303" s="283" t="n">
        <f aca="false">OperatingCurve!L299</f>
        <v>0</v>
      </c>
      <c r="H303" s="283" t="n">
        <f aca="false">OperatingCurve!N299</f>
        <v>0</v>
      </c>
      <c r="J303" s="284" t="n">
        <f aca="false">OperatingCurve!V328</f>
        <v>0</v>
      </c>
      <c r="K303" s="285" t="n">
        <f aca="false">OperatingCurve!Z328</f>
        <v>0</v>
      </c>
      <c r="L303" s="285" t="n">
        <f aca="false">OperatingCurve!Y328</f>
        <v>0</v>
      </c>
      <c r="M303" s="285" t="n">
        <f aca="false">OperatingCurve!AA328</f>
        <v>0</v>
      </c>
      <c r="O303" s="285" t="n">
        <f aca="false">OperatingCurve!AE328</f>
        <v>0</v>
      </c>
      <c r="P303" s="285" t="n">
        <f aca="false">OperatingCurve!AD328</f>
        <v>0</v>
      </c>
      <c r="Q303" s="285" t="n">
        <f aca="false">OperatingCurve!AF328</f>
        <v>0</v>
      </c>
      <c r="S303" s="285" t="n">
        <f aca="false">OperatingCurve!AJ328</f>
        <v>0</v>
      </c>
      <c r="T303" s="285" t="n">
        <f aca="false">OperatingCurve!AI328</f>
        <v>0</v>
      </c>
      <c r="U303" s="285" t="n">
        <f aca="false">OperatingCurve!AK328</f>
        <v>0</v>
      </c>
      <c r="W303" s="285" t="n">
        <f aca="false">OperatingCurve!AO328</f>
        <v>0</v>
      </c>
      <c r="X303" s="285" t="n">
        <f aca="false">OperatingCurve!AN328</f>
        <v>0</v>
      </c>
      <c r="Y303" s="285" t="n">
        <f aca="false">OperatingCurve!AP328</f>
        <v>0</v>
      </c>
      <c r="AA303" s="285" t="n">
        <f aca="false">OperatingCurve!AR328</f>
        <v>0</v>
      </c>
      <c r="AB303" s="285" t="n">
        <f aca="false">OperatingCurve!AQ328</f>
        <v>0</v>
      </c>
      <c r="AC303" s="285" t="n">
        <f aca="false">OperatingCurve!AS328</f>
        <v>0</v>
      </c>
      <c r="AE303" s="285" t="n">
        <f aca="false">OperatingCurve!AU328</f>
        <v>0</v>
      </c>
      <c r="AF303" s="285" t="n">
        <f aca="false">OperatingCurve!AT328</f>
        <v>0</v>
      </c>
      <c r="AG303" s="285" t="n">
        <f aca="false">OperatingCurve!AV328</f>
        <v>0</v>
      </c>
      <c r="AI303" s="285" t="n">
        <f aca="false">OperatingCurve!AX328</f>
        <v>0</v>
      </c>
      <c r="AJ303" s="285" t="n">
        <f aca="false">OperatingCurve!AW328</f>
        <v>0</v>
      </c>
      <c r="AK303" s="285" t="n">
        <f aca="false">OperatingCurve!AY328</f>
        <v>0</v>
      </c>
      <c r="AM303" s="286" t="n">
        <f aca="false">OperatingCurve!AL328</f>
        <v>0</v>
      </c>
      <c r="AN303" s="287" t="n">
        <f aca="false">OperatingCurve!AM328</f>
        <v>0</v>
      </c>
    </row>
    <row r="304" customFormat="false" ht="12.75" hidden="false" customHeight="false" outlineLevel="0" collapsed="false">
      <c r="A304" s="282" t="n">
        <f aca="false">OperatingCurve!D300</f>
        <v>45017</v>
      </c>
      <c r="B304" s="283" t="n">
        <f aca="false">OperatingCurve!H300</f>
        <v>24.576</v>
      </c>
      <c r="C304" s="283" t="n">
        <f aca="false">OperatingCurve!G300</f>
        <v>29.841</v>
      </c>
      <c r="D304" s="283" t="n">
        <f aca="false">OperatingCurve!I300</f>
        <v>66.969</v>
      </c>
      <c r="E304" s="293"/>
      <c r="F304" s="283" t="n">
        <f aca="false">OperatingCurve!M300</f>
        <v>0</v>
      </c>
      <c r="G304" s="283" t="n">
        <f aca="false">OperatingCurve!L300</f>
        <v>0</v>
      </c>
      <c r="H304" s="283" t="n">
        <f aca="false">OperatingCurve!N300</f>
        <v>0</v>
      </c>
      <c r="J304" s="284" t="n">
        <f aca="false">OperatingCurve!V329</f>
        <v>0</v>
      </c>
      <c r="K304" s="285" t="n">
        <f aca="false">OperatingCurve!Z329</f>
        <v>0</v>
      </c>
      <c r="L304" s="285" t="n">
        <f aca="false">OperatingCurve!Y329</f>
        <v>0</v>
      </c>
      <c r="M304" s="285" t="n">
        <f aca="false">OperatingCurve!AA329</f>
        <v>0</v>
      </c>
      <c r="O304" s="285" t="n">
        <f aca="false">OperatingCurve!AE329</f>
        <v>0</v>
      </c>
      <c r="P304" s="285" t="n">
        <f aca="false">OperatingCurve!AD329</f>
        <v>0</v>
      </c>
      <c r="Q304" s="285" t="n">
        <f aca="false">OperatingCurve!AF329</f>
        <v>0</v>
      </c>
      <c r="S304" s="285" t="n">
        <f aca="false">OperatingCurve!AJ329</f>
        <v>0</v>
      </c>
      <c r="T304" s="285" t="n">
        <f aca="false">OperatingCurve!AI329</f>
        <v>0</v>
      </c>
      <c r="U304" s="285" t="n">
        <f aca="false">OperatingCurve!AK329</f>
        <v>0</v>
      </c>
      <c r="W304" s="285" t="n">
        <f aca="false">OperatingCurve!AO329</f>
        <v>0</v>
      </c>
      <c r="X304" s="285" t="n">
        <f aca="false">OperatingCurve!AN329</f>
        <v>0</v>
      </c>
      <c r="Y304" s="285" t="n">
        <f aca="false">OperatingCurve!AP329</f>
        <v>0</v>
      </c>
      <c r="AA304" s="285" t="n">
        <f aca="false">OperatingCurve!AR329</f>
        <v>0</v>
      </c>
      <c r="AB304" s="285" t="n">
        <f aca="false">OperatingCurve!AQ329</f>
        <v>0</v>
      </c>
      <c r="AC304" s="285" t="n">
        <f aca="false">OperatingCurve!AS329</f>
        <v>0</v>
      </c>
      <c r="AE304" s="285" t="n">
        <f aca="false">OperatingCurve!AU329</f>
        <v>0</v>
      </c>
      <c r="AF304" s="285" t="n">
        <f aca="false">OperatingCurve!AT329</f>
        <v>0</v>
      </c>
      <c r="AG304" s="285" t="n">
        <f aca="false">OperatingCurve!AV329</f>
        <v>0</v>
      </c>
      <c r="AI304" s="285" t="n">
        <f aca="false">OperatingCurve!AX329</f>
        <v>0</v>
      </c>
      <c r="AJ304" s="285" t="n">
        <f aca="false">OperatingCurve!AW329</f>
        <v>0</v>
      </c>
      <c r="AK304" s="285" t="n">
        <f aca="false">OperatingCurve!AY329</f>
        <v>0</v>
      </c>
      <c r="AM304" s="286" t="n">
        <f aca="false">OperatingCurve!AL329</f>
        <v>0</v>
      </c>
      <c r="AN304" s="287" t="n">
        <f aca="false">OperatingCurve!AM329</f>
        <v>0</v>
      </c>
    </row>
    <row r="305" customFormat="false" ht="12.75" hidden="false" customHeight="false" outlineLevel="0" collapsed="false">
      <c r="A305" s="282" t="n">
        <f aca="false">OperatingCurve!D301</f>
        <v>45047</v>
      </c>
      <c r="B305" s="283" t="n">
        <f aca="false">OperatingCurve!H301</f>
        <v>27.729</v>
      </c>
      <c r="C305" s="283" t="n">
        <f aca="false">OperatingCurve!G301</f>
        <v>33.024</v>
      </c>
      <c r="D305" s="283" t="n">
        <f aca="false">OperatingCurve!I301</f>
        <v>70.356</v>
      </c>
      <c r="E305" s="293"/>
      <c r="F305" s="283" t="n">
        <f aca="false">OperatingCurve!M301</f>
        <v>0</v>
      </c>
      <c r="G305" s="283" t="n">
        <f aca="false">OperatingCurve!L301</f>
        <v>0</v>
      </c>
      <c r="H305" s="283" t="n">
        <f aca="false">OperatingCurve!N301</f>
        <v>0</v>
      </c>
      <c r="J305" s="284" t="n">
        <f aca="false">OperatingCurve!V330</f>
        <v>0</v>
      </c>
      <c r="K305" s="285" t="n">
        <f aca="false">OperatingCurve!Z330</f>
        <v>0</v>
      </c>
      <c r="L305" s="285" t="n">
        <f aca="false">OperatingCurve!Y330</f>
        <v>0</v>
      </c>
      <c r="M305" s="285" t="n">
        <f aca="false">OperatingCurve!AA330</f>
        <v>0</v>
      </c>
      <c r="O305" s="285" t="n">
        <f aca="false">OperatingCurve!AE330</f>
        <v>0</v>
      </c>
      <c r="P305" s="285" t="n">
        <f aca="false">OperatingCurve!AD330</f>
        <v>0</v>
      </c>
      <c r="Q305" s="285" t="n">
        <f aca="false">OperatingCurve!AF330</f>
        <v>0</v>
      </c>
      <c r="S305" s="285" t="n">
        <f aca="false">OperatingCurve!AJ330</f>
        <v>0</v>
      </c>
      <c r="T305" s="285" t="n">
        <f aca="false">OperatingCurve!AI330</f>
        <v>0</v>
      </c>
      <c r="U305" s="285" t="n">
        <f aca="false">OperatingCurve!AK330</f>
        <v>0</v>
      </c>
      <c r="W305" s="285" t="n">
        <f aca="false">OperatingCurve!AO330</f>
        <v>0</v>
      </c>
      <c r="X305" s="285" t="n">
        <f aca="false">OperatingCurve!AN330</f>
        <v>0</v>
      </c>
      <c r="Y305" s="285" t="n">
        <f aca="false">OperatingCurve!AP330</f>
        <v>0</v>
      </c>
      <c r="AA305" s="285" t="n">
        <f aca="false">OperatingCurve!AR330</f>
        <v>0</v>
      </c>
      <c r="AB305" s="285" t="n">
        <f aca="false">OperatingCurve!AQ330</f>
        <v>0</v>
      </c>
      <c r="AC305" s="285" t="n">
        <f aca="false">OperatingCurve!AS330</f>
        <v>0</v>
      </c>
      <c r="AE305" s="285" t="n">
        <f aca="false">OperatingCurve!AU330</f>
        <v>0</v>
      </c>
      <c r="AF305" s="285" t="n">
        <f aca="false">OperatingCurve!AT330</f>
        <v>0</v>
      </c>
      <c r="AG305" s="285" t="n">
        <f aca="false">OperatingCurve!AV330</f>
        <v>0</v>
      </c>
      <c r="AI305" s="285" t="n">
        <f aca="false">OperatingCurve!AX330</f>
        <v>0</v>
      </c>
      <c r="AJ305" s="285" t="n">
        <f aca="false">OperatingCurve!AW330</f>
        <v>0</v>
      </c>
      <c r="AK305" s="285" t="n">
        <f aca="false">OperatingCurve!AY330</f>
        <v>0</v>
      </c>
      <c r="AM305" s="286" t="n">
        <f aca="false">OperatingCurve!AL330</f>
        <v>0</v>
      </c>
      <c r="AN305" s="287" t="n">
        <f aca="false">OperatingCurve!AM330</f>
        <v>0</v>
      </c>
    </row>
    <row r="306" customFormat="false" ht="12.75" hidden="false" customHeight="false" outlineLevel="0" collapsed="false">
      <c r="A306" s="282" t="n">
        <f aca="false">OperatingCurve!D302</f>
        <v>45078</v>
      </c>
      <c r="B306" s="283" t="n">
        <f aca="false">OperatingCurve!H302</f>
        <v>35.156</v>
      </c>
      <c r="C306" s="283" t="n">
        <f aca="false">OperatingCurve!G302</f>
        <v>40.521</v>
      </c>
      <c r="D306" s="283" t="n">
        <f aca="false">OperatingCurve!I302</f>
        <v>78.329</v>
      </c>
      <c r="E306" s="293"/>
      <c r="F306" s="283" t="n">
        <f aca="false">OperatingCurve!M302</f>
        <v>0</v>
      </c>
      <c r="G306" s="283" t="n">
        <f aca="false">OperatingCurve!L302</f>
        <v>0</v>
      </c>
      <c r="H306" s="283" t="n">
        <f aca="false">OperatingCurve!N302</f>
        <v>0</v>
      </c>
      <c r="J306" s="284" t="n">
        <f aca="false">OperatingCurve!V331</f>
        <v>0</v>
      </c>
      <c r="K306" s="285" t="n">
        <f aca="false">OperatingCurve!Z331</f>
        <v>0</v>
      </c>
      <c r="L306" s="285" t="n">
        <f aca="false">OperatingCurve!Y331</f>
        <v>0</v>
      </c>
      <c r="M306" s="285" t="n">
        <f aca="false">OperatingCurve!AA331</f>
        <v>0</v>
      </c>
      <c r="O306" s="285" t="n">
        <f aca="false">OperatingCurve!AE331</f>
        <v>0</v>
      </c>
      <c r="P306" s="285" t="n">
        <f aca="false">OperatingCurve!AD331</f>
        <v>0</v>
      </c>
      <c r="Q306" s="285" t="n">
        <f aca="false">OperatingCurve!AF331</f>
        <v>0</v>
      </c>
      <c r="S306" s="285" t="n">
        <f aca="false">OperatingCurve!AJ331</f>
        <v>0</v>
      </c>
      <c r="T306" s="285" t="n">
        <f aca="false">OperatingCurve!AI331</f>
        <v>0</v>
      </c>
      <c r="U306" s="285" t="n">
        <f aca="false">OperatingCurve!AK331</f>
        <v>0</v>
      </c>
      <c r="W306" s="285" t="n">
        <f aca="false">OperatingCurve!AO331</f>
        <v>0</v>
      </c>
      <c r="X306" s="285" t="n">
        <f aca="false">OperatingCurve!AN331</f>
        <v>0</v>
      </c>
      <c r="Y306" s="285" t="n">
        <f aca="false">OperatingCurve!AP331</f>
        <v>0</v>
      </c>
      <c r="AA306" s="285" t="n">
        <f aca="false">OperatingCurve!AR331</f>
        <v>0</v>
      </c>
      <c r="AB306" s="285" t="n">
        <f aca="false">OperatingCurve!AQ331</f>
        <v>0</v>
      </c>
      <c r="AC306" s="285" t="n">
        <f aca="false">OperatingCurve!AS331</f>
        <v>0</v>
      </c>
      <c r="AE306" s="285" t="n">
        <f aca="false">OperatingCurve!AU331</f>
        <v>0</v>
      </c>
      <c r="AF306" s="285" t="n">
        <f aca="false">OperatingCurve!AT331</f>
        <v>0</v>
      </c>
      <c r="AG306" s="285" t="n">
        <f aca="false">OperatingCurve!AV331</f>
        <v>0</v>
      </c>
      <c r="AI306" s="285" t="n">
        <f aca="false">OperatingCurve!AX331</f>
        <v>0</v>
      </c>
      <c r="AJ306" s="285" t="n">
        <f aca="false">OperatingCurve!AW331</f>
        <v>0</v>
      </c>
      <c r="AK306" s="285" t="n">
        <f aca="false">OperatingCurve!AY331</f>
        <v>0</v>
      </c>
      <c r="AM306" s="286" t="n">
        <f aca="false">OperatingCurve!AL331</f>
        <v>0</v>
      </c>
      <c r="AN306" s="287" t="n">
        <f aca="false">OperatingCurve!AM331</f>
        <v>0</v>
      </c>
    </row>
    <row r="307" customFormat="false" ht="12.75" hidden="false" customHeight="false" outlineLevel="0" collapsed="false">
      <c r="A307" s="282" t="n">
        <f aca="false">OperatingCurve!D303</f>
        <v>45108</v>
      </c>
      <c r="B307" s="283" t="n">
        <f aca="false">OperatingCurve!H303</f>
        <v>35.156</v>
      </c>
      <c r="C307" s="283" t="n">
        <f aca="false">OperatingCurve!G303</f>
        <v>40.521</v>
      </c>
      <c r="D307" s="283" t="n">
        <f aca="false">OperatingCurve!I303</f>
        <v>78.329</v>
      </c>
      <c r="E307" s="293"/>
      <c r="F307" s="283" t="n">
        <f aca="false">OperatingCurve!M303</f>
        <v>0</v>
      </c>
      <c r="G307" s="283" t="n">
        <f aca="false">OperatingCurve!L303</f>
        <v>0</v>
      </c>
      <c r="H307" s="283" t="n">
        <f aca="false">OperatingCurve!N303</f>
        <v>0</v>
      </c>
      <c r="J307" s="284" t="n">
        <f aca="false">OperatingCurve!V332</f>
        <v>0</v>
      </c>
      <c r="K307" s="285" t="n">
        <f aca="false">OperatingCurve!Z332</f>
        <v>0</v>
      </c>
      <c r="L307" s="285" t="n">
        <f aca="false">OperatingCurve!Y332</f>
        <v>0</v>
      </c>
      <c r="M307" s="285" t="n">
        <f aca="false">OperatingCurve!AA332</f>
        <v>0</v>
      </c>
      <c r="O307" s="285" t="n">
        <f aca="false">OperatingCurve!AE332</f>
        <v>0</v>
      </c>
      <c r="P307" s="285" t="n">
        <f aca="false">OperatingCurve!AD332</f>
        <v>0</v>
      </c>
      <c r="Q307" s="285" t="n">
        <f aca="false">OperatingCurve!AF332</f>
        <v>0</v>
      </c>
      <c r="S307" s="285" t="n">
        <f aca="false">OperatingCurve!AJ332</f>
        <v>0</v>
      </c>
      <c r="T307" s="285" t="n">
        <f aca="false">OperatingCurve!AI332</f>
        <v>0</v>
      </c>
      <c r="U307" s="285" t="n">
        <f aca="false">OperatingCurve!AK332</f>
        <v>0</v>
      </c>
      <c r="W307" s="285" t="n">
        <f aca="false">OperatingCurve!AO332</f>
        <v>0</v>
      </c>
      <c r="X307" s="285" t="n">
        <f aca="false">OperatingCurve!AN332</f>
        <v>0</v>
      </c>
      <c r="Y307" s="285" t="n">
        <f aca="false">OperatingCurve!AP332</f>
        <v>0</v>
      </c>
      <c r="AA307" s="285" t="n">
        <f aca="false">OperatingCurve!AR332</f>
        <v>0</v>
      </c>
      <c r="AB307" s="285" t="n">
        <f aca="false">OperatingCurve!AQ332</f>
        <v>0</v>
      </c>
      <c r="AC307" s="285" t="n">
        <f aca="false">OperatingCurve!AS332</f>
        <v>0</v>
      </c>
      <c r="AE307" s="285" t="n">
        <f aca="false">OperatingCurve!AU332</f>
        <v>0</v>
      </c>
      <c r="AF307" s="285" t="n">
        <f aca="false">OperatingCurve!AT332</f>
        <v>0</v>
      </c>
      <c r="AG307" s="285" t="n">
        <f aca="false">OperatingCurve!AV332</f>
        <v>0</v>
      </c>
      <c r="AI307" s="285" t="n">
        <f aca="false">OperatingCurve!AX332</f>
        <v>0</v>
      </c>
      <c r="AJ307" s="285" t="n">
        <f aca="false">OperatingCurve!AW332</f>
        <v>0</v>
      </c>
      <c r="AK307" s="285" t="n">
        <f aca="false">OperatingCurve!AY332</f>
        <v>0</v>
      </c>
      <c r="AM307" s="286" t="n">
        <f aca="false">OperatingCurve!AL332</f>
        <v>0</v>
      </c>
      <c r="AN307" s="287" t="n">
        <f aca="false">OperatingCurve!AM332</f>
        <v>0</v>
      </c>
    </row>
    <row r="308" customFormat="false" ht="12.75" hidden="false" customHeight="false" outlineLevel="0" collapsed="false">
      <c r="A308" s="282" t="n">
        <f aca="false">OperatingCurve!D304</f>
        <v>45139</v>
      </c>
      <c r="B308" s="283" t="n">
        <f aca="false">OperatingCurve!H304</f>
        <v>37.296</v>
      </c>
      <c r="C308" s="283" t="n">
        <f aca="false">OperatingCurve!G304</f>
        <v>42.681</v>
      </c>
      <c r="D308" s="283" t="n">
        <f aca="false">OperatingCurve!I304</f>
        <v>80.625</v>
      </c>
      <c r="E308" s="293"/>
      <c r="F308" s="283" t="n">
        <f aca="false">OperatingCurve!M304</f>
        <v>0</v>
      </c>
      <c r="G308" s="283" t="n">
        <f aca="false">OperatingCurve!L304</f>
        <v>0</v>
      </c>
      <c r="H308" s="283" t="n">
        <f aca="false">OperatingCurve!N304</f>
        <v>0</v>
      </c>
      <c r="J308" s="284" t="n">
        <f aca="false">OperatingCurve!V333</f>
        <v>0</v>
      </c>
      <c r="K308" s="285" t="n">
        <f aca="false">OperatingCurve!Z333</f>
        <v>0</v>
      </c>
      <c r="L308" s="285" t="n">
        <f aca="false">OperatingCurve!Y333</f>
        <v>0</v>
      </c>
      <c r="M308" s="285" t="n">
        <f aca="false">OperatingCurve!AA333</f>
        <v>0</v>
      </c>
      <c r="O308" s="285" t="n">
        <f aca="false">OperatingCurve!AE333</f>
        <v>0</v>
      </c>
      <c r="P308" s="285" t="n">
        <f aca="false">OperatingCurve!AD333</f>
        <v>0</v>
      </c>
      <c r="Q308" s="285" t="n">
        <f aca="false">OperatingCurve!AF333</f>
        <v>0</v>
      </c>
      <c r="S308" s="285" t="n">
        <f aca="false">OperatingCurve!AJ333</f>
        <v>0</v>
      </c>
      <c r="T308" s="285" t="n">
        <f aca="false">OperatingCurve!AI333</f>
        <v>0</v>
      </c>
      <c r="U308" s="285" t="n">
        <f aca="false">OperatingCurve!AK333</f>
        <v>0</v>
      </c>
      <c r="W308" s="285" t="n">
        <f aca="false">OperatingCurve!AO333</f>
        <v>0</v>
      </c>
      <c r="X308" s="285" t="n">
        <f aca="false">OperatingCurve!AN333</f>
        <v>0</v>
      </c>
      <c r="Y308" s="285" t="n">
        <f aca="false">OperatingCurve!AP333</f>
        <v>0</v>
      </c>
      <c r="AA308" s="285" t="n">
        <f aca="false">OperatingCurve!AR333</f>
        <v>0</v>
      </c>
      <c r="AB308" s="285" t="n">
        <f aca="false">OperatingCurve!AQ333</f>
        <v>0</v>
      </c>
      <c r="AC308" s="285" t="n">
        <f aca="false">OperatingCurve!AS333</f>
        <v>0</v>
      </c>
      <c r="AE308" s="285" t="n">
        <f aca="false">OperatingCurve!AU333</f>
        <v>0</v>
      </c>
      <c r="AF308" s="285" t="n">
        <f aca="false">OperatingCurve!AT333</f>
        <v>0</v>
      </c>
      <c r="AG308" s="285" t="n">
        <f aca="false">OperatingCurve!AV333</f>
        <v>0</v>
      </c>
      <c r="AI308" s="285" t="n">
        <f aca="false">OperatingCurve!AX333</f>
        <v>0</v>
      </c>
      <c r="AJ308" s="285" t="n">
        <f aca="false">OperatingCurve!AW333</f>
        <v>0</v>
      </c>
      <c r="AK308" s="285" t="n">
        <f aca="false">OperatingCurve!AY333</f>
        <v>0</v>
      </c>
      <c r="AM308" s="286" t="n">
        <f aca="false">OperatingCurve!AL333</f>
        <v>0</v>
      </c>
      <c r="AN308" s="287" t="n">
        <f aca="false">OperatingCurve!AM333</f>
        <v>0</v>
      </c>
    </row>
    <row r="309" customFormat="false" ht="12.75" hidden="false" customHeight="false" outlineLevel="0" collapsed="false">
      <c r="A309" s="282" t="n">
        <f aca="false">OperatingCurve!D305</f>
        <v>45170</v>
      </c>
      <c r="B309" s="283" t="n">
        <f aca="false">OperatingCurve!H305</f>
        <v>30.9</v>
      </c>
      <c r="C309" s="283" t="n">
        <f aca="false">OperatingCurve!G305</f>
        <v>36.225</v>
      </c>
      <c r="D309" s="283" t="n">
        <f aca="false">OperatingCurve!I305</f>
        <v>73.761</v>
      </c>
      <c r="E309" s="293"/>
      <c r="F309" s="283" t="n">
        <f aca="false">OperatingCurve!M305</f>
        <v>0</v>
      </c>
      <c r="G309" s="283" t="n">
        <f aca="false">OperatingCurve!L305</f>
        <v>0</v>
      </c>
      <c r="H309" s="283" t="n">
        <f aca="false">OperatingCurve!N305</f>
        <v>0</v>
      </c>
      <c r="J309" s="284" t="n">
        <f aca="false">OperatingCurve!V334</f>
        <v>0</v>
      </c>
      <c r="K309" s="285" t="n">
        <f aca="false">OperatingCurve!Z334</f>
        <v>0</v>
      </c>
      <c r="L309" s="285" t="n">
        <f aca="false">OperatingCurve!Y334</f>
        <v>0</v>
      </c>
      <c r="M309" s="285" t="n">
        <f aca="false">OperatingCurve!AA334</f>
        <v>0</v>
      </c>
      <c r="O309" s="285" t="n">
        <f aca="false">OperatingCurve!AE334</f>
        <v>0</v>
      </c>
      <c r="P309" s="285" t="n">
        <f aca="false">OperatingCurve!AD334</f>
        <v>0</v>
      </c>
      <c r="Q309" s="285" t="n">
        <f aca="false">OperatingCurve!AF334</f>
        <v>0</v>
      </c>
      <c r="S309" s="285" t="n">
        <f aca="false">OperatingCurve!AJ334</f>
        <v>0</v>
      </c>
      <c r="T309" s="285" t="n">
        <f aca="false">OperatingCurve!AI334</f>
        <v>0</v>
      </c>
      <c r="U309" s="285" t="n">
        <f aca="false">OperatingCurve!AK334</f>
        <v>0</v>
      </c>
      <c r="W309" s="285" t="n">
        <f aca="false">OperatingCurve!AO334</f>
        <v>0</v>
      </c>
      <c r="X309" s="285" t="n">
        <f aca="false">OperatingCurve!AN334</f>
        <v>0</v>
      </c>
      <c r="Y309" s="285" t="n">
        <f aca="false">OperatingCurve!AP334</f>
        <v>0</v>
      </c>
      <c r="AA309" s="285" t="n">
        <f aca="false">OperatingCurve!AR334</f>
        <v>0</v>
      </c>
      <c r="AB309" s="285" t="n">
        <f aca="false">OperatingCurve!AQ334</f>
        <v>0</v>
      </c>
      <c r="AC309" s="285" t="n">
        <f aca="false">OperatingCurve!AS334</f>
        <v>0</v>
      </c>
      <c r="AE309" s="285" t="n">
        <f aca="false">OperatingCurve!AU334</f>
        <v>0</v>
      </c>
      <c r="AF309" s="285" t="n">
        <f aca="false">OperatingCurve!AT334</f>
        <v>0</v>
      </c>
      <c r="AG309" s="285" t="n">
        <f aca="false">OperatingCurve!AV334</f>
        <v>0</v>
      </c>
      <c r="AI309" s="285" t="n">
        <f aca="false">OperatingCurve!AX334</f>
        <v>0</v>
      </c>
      <c r="AJ309" s="285" t="n">
        <f aca="false">OperatingCurve!AW334</f>
        <v>0</v>
      </c>
      <c r="AK309" s="285" t="n">
        <f aca="false">OperatingCurve!AY334</f>
        <v>0</v>
      </c>
      <c r="AM309" s="286" t="n">
        <f aca="false">OperatingCurve!AL334</f>
        <v>0</v>
      </c>
      <c r="AN309" s="287" t="n">
        <f aca="false">OperatingCurve!AM334</f>
        <v>0</v>
      </c>
    </row>
    <row r="310" customFormat="false" ht="12.75" hidden="false" customHeight="false" outlineLevel="0" collapsed="false">
      <c r="A310" s="282" t="n">
        <f aca="false">OperatingCurve!D306</f>
        <v>45200</v>
      </c>
      <c r="B310" s="283" t="n">
        <f aca="false">OperatingCurve!H306</f>
        <v>33.024</v>
      </c>
      <c r="C310" s="283" t="n">
        <f aca="false">OperatingCurve!G306</f>
        <v>38.369</v>
      </c>
      <c r="D310" s="283" t="n">
        <f aca="false">OperatingCurve!I306</f>
        <v>76.041</v>
      </c>
      <c r="E310" s="293"/>
      <c r="F310" s="283" t="n">
        <f aca="false">OperatingCurve!M306</f>
        <v>0</v>
      </c>
      <c r="G310" s="283" t="n">
        <f aca="false">OperatingCurve!L306</f>
        <v>0</v>
      </c>
      <c r="H310" s="283" t="n">
        <f aca="false">OperatingCurve!N306</f>
        <v>0</v>
      </c>
      <c r="J310" s="284" t="n">
        <f aca="false">OperatingCurve!V335</f>
        <v>0</v>
      </c>
      <c r="K310" s="285" t="n">
        <f aca="false">OperatingCurve!Z335</f>
        <v>0</v>
      </c>
      <c r="L310" s="285" t="n">
        <f aca="false">OperatingCurve!Y335</f>
        <v>0</v>
      </c>
      <c r="M310" s="285" t="n">
        <f aca="false">OperatingCurve!AA335</f>
        <v>0</v>
      </c>
      <c r="O310" s="285" t="n">
        <f aca="false">OperatingCurve!AE335</f>
        <v>0</v>
      </c>
      <c r="P310" s="285" t="n">
        <f aca="false">OperatingCurve!AD335</f>
        <v>0</v>
      </c>
      <c r="Q310" s="285" t="n">
        <f aca="false">OperatingCurve!AF335</f>
        <v>0</v>
      </c>
      <c r="S310" s="285" t="n">
        <f aca="false">OperatingCurve!AJ335</f>
        <v>0</v>
      </c>
      <c r="T310" s="285" t="n">
        <f aca="false">OperatingCurve!AI335</f>
        <v>0</v>
      </c>
      <c r="U310" s="285" t="n">
        <f aca="false">OperatingCurve!AK335</f>
        <v>0</v>
      </c>
      <c r="W310" s="285" t="n">
        <f aca="false">OperatingCurve!AO335</f>
        <v>0</v>
      </c>
      <c r="X310" s="285" t="n">
        <f aca="false">OperatingCurve!AN335</f>
        <v>0</v>
      </c>
      <c r="Y310" s="285" t="n">
        <f aca="false">OperatingCurve!AP335</f>
        <v>0</v>
      </c>
      <c r="AA310" s="285" t="n">
        <f aca="false">OperatingCurve!AR335</f>
        <v>0</v>
      </c>
      <c r="AB310" s="285" t="n">
        <f aca="false">OperatingCurve!AQ335</f>
        <v>0</v>
      </c>
      <c r="AC310" s="285" t="n">
        <f aca="false">OperatingCurve!AS335</f>
        <v>0</v>
      </c>
      <c r="AE310" s="285" t="n">
        <f aca="false">OperatingCurve!AU335</f>
        <v>0</v>
      </c>
      <c r="AF310" s="285" t="n">
        <f aca="false">OperatingCurve!AT335</f>
        <v>0</v>
      </c>
      <c r="AG310" s="285" t="n">
        <f aca="false">OperatingCurve!AV335</f>
        <v>0</v>
      </c>
      <c r="AI310" s="285" t="n">
        <f aca="false">OperatingCurve!AX335</f>
        <v>0</v>
      </c>
      <c r="AJ310" s="285" t="n">
        <f aca="false">OperatingCurve!AW335</f>
        <v>0</v>
      </c>
      <c r="AK310" s="285" t="n">
        <f aca="false">OperatingCurve!AY335</f>
        <v>0</v>
      </c>
      <c r="AM310" s="286" t="n">
        <f aca="false">OperatingCurve!AL335</f>
        <v>0</v>
      </c>
      <c r="AN310" s="287" t="n">
        <f aca="false">OperatingCurve!AM335</f>
        <v>0</v>
      </c>
    </row>
    <row r="311" customFormat="false" ht="12.75" hidden="false" customHeight="false" outlineLevel="0" collapsed="false">
      <c r="A311" s="282" t="n">
        <f aca="false">OperatingCurve!D307</f>
        <v>45231</v>
      </c>
      <c r="B311" s="283" t="n">
        <f aca="false">OperatingCurve!H307</f>
        <v>26.676</v>
      </c>
      <c r="C311" s="283" t="n">
        <f aca="false">OperatingCurve!G307</f>
        <v>31.961</v>
      </c>
      <c r="D311" s="283" t="n">
        <f aca="false">OperatingCurve!I307</f>
        <v>69.225</v>
      </c>
      <c r="E311" s="293"/>
      <c r="F311" s="283" t="n">
        <f aca="false">OperatingCurve!M307</f>
        <v>0</v>
      </c>
      <c r="G311" s="283" t="n">
        <f aca="false">OperatingCurve!L307</f>
        <v>0</v>
      </c>
      <c r="H311" s="283" t="n">
        <f aca="false">OperatingCurve!N307</f>
        <v>0</v>
      </c>
      <c r="J311" s="284" t="n">
        <f aca="false">OperatingCurve!V336</f>
        <v>0</v>
      </c>
      <c r="K311" s="285" t="n">
        <f aca="false">OperatingCurve!Z336</f>
        <v>0</v>
      </c>
      <c r="L311" s="285" t="n">
        <f aca="false">OperatingCurve!Y336</f>
        <v>0</v>
      </c>
      <c r="M311" s="285" t="n">
        <f aca="false">OperatingCurve!AA336</f>
        <v>0</v>
      </c>
      <c r="O311" s="285" t="n">
        <f aca="false">OperatingCurve!AE336</f>
        <v>0</v>
      </c>
      <c r="P311" s="285" t="n">
        <f aca="false">OperatingCurve!AD336</f>
        <v>0</v>
      </c>
      <c r="Q311" s="285" t="n">
        <f aca="false">OperatingCurve!AF336</f>
        <v>0</v>
      </c>
      <c r="S311" s="285" t="n">
        <f aca="false">OperatingCurve!AJ336</f>
        <v>0</v>
      </c>
      <c r="T311" s="285" t="n">
        <f aca="false">OperatingCurve!AI336</f>
        <v>0</v>
      </c>
      <c r="U311" s="285" t="n">
        <f aca="false">OperatingCurve!AK336</f>
        <v>0</v>
      </c>
      <c r="W311" s="285" t="n">
        <f aca="false">OperatingCurve!AO336</f>
        <v>0</v>
      </c>
      <c r="X311" s="285" t="n">
        <f aca="false">OperatingCurve!AN336</f>
        <v>0</v>
      </c>
      <c r="Y311" s="285" t="n">
        <f aca="false">OperatingCurve!AP336</f>
        <v>0</v>
      </c>
      <c r="AA311" s="285" t="n">
        <f aca="false">OperatingCurve!AR336</f>
        <v>0</v>
      </c>
      <c r="AB311" s="285" t="n">
        <f aca="false">OperatingCurve!AQ336</f>
        <v>0</v>
      </c>
      <c r="AC311" s="285" t="n">
        <f aca="false">OperatingCurve!AS336</f>
        <v>0</v>
      </c>
      <c r="AE311" s="285" t="n">
        <f aca="false">OperatingCurve!AU336</f>
        <v>0</v>
      </c>
      <c r="AF311" s="285" t="n">
        <f aca="false">OperatingCurve!AT336</f>
        <v>0</v>
      </c>
      <c r="AG311" s="285" t="n">
        <f aca="false">OperatingCurve!AV336</f>
        <v>0</v>
      </c>
      <c r="AI311" s="285" t="n">
        <f aca="false">OperatingCurve!AX336</f>
        <v>0</v>
      </c>
      <c r="AJ311" s="285" t="n">
        <f aca="false">OperatingCurve!AW336</f>
        <v>0</v>
      </c>
      <c r="AK311" s="285" t="n">
        <f aca="false">OperatingCurve!AY336</f>
        <v>0</v>
      </c>
      <c r="AM311" s="286" t="n">
        <f aca="false">OperatingCurve!AL336</f>
        <v>0</v>
      </c>
      <c r="AN311" s="287" t="n">
        <f aca="false">OperatingCurve!AM336</f>
        <v>0</v>
      </c>
    </row>
    <row r="312" customFormat="false" ht="12.75" hidden="false" customHeight="false" outlineLevel="0" collapsed="false">
      <c r="A312" s="282" t="n">
        <f aca="false">OperatingCurve!D308</f>
        <v>45261</v>
      </c>
      <c r="B312" s="283" t="n">
        <f aca="false">OperatingCurve!H308</f>
        <v>27.729</v>
      </c>
      <c r="C312" s="283" t="n">
        <f aca="false">OperatingCurve!G308</f>
        <v>33.024</v>
      </c>
      <c r="D312" s="283" t="n">
        <f aca="false">OperatingCurve!I308</f>
        <v>70.356</v>
      </c>
      <c r="E312" s="293"/>
      <c r="F312" s="283" t="n">
        <f aca="false">OperatingCurve!M308</f>
        <v>0</v>
      </c>
      <c r="G312" s="283" t="n">
        <f aca="false">OperatingCurve!L308</f>
        <v>0</v>
      </c>
      <c r="H312" s="283" t="n">
        <f aca="false">OperatingCurve!N308</f>
        <v>0</v>
      </c>
      <c r="J312" s="284" t="n">
        <f aca="false">OperatingCurve!V337</f>
        <v>0</v>
      </c>
      <c r="K312" s="285" t="n">
        <f aca="false">OperatingCurve!Z337</f>
        <v>0</v>
      </c>
      <c r="L312" s="285" t="n">
        <f aca="false">OperatingCurve!Y337</f>
        <v>0</v>
      </c>
      <c r="M312" s="285" t="n">
        <f aca="false">OperatingCurve!AA337</f>
        <v>0</v>
      </c>
      <c r="O312" s="285" t="n">
        <f aca="false">OperatingCurve!AE337</f>
        <v>0</v>
      </c>
      <c r="P312" s="285" t="n">
        <f aca="false">OperatingCurve!AD337</f>
        <v>0</v>
      </c>
      <c r="Q312" s="285" t="n">
        <f aca="false">OperatingCurve!AF337</f>
        <v>0</v>
      </c>
      <c r="S312" s="285" t="n">
        <f aca="false">OperatingCurve!AJ337</f>
        <v>0</v>
      </c>
      <c r="T312" s="285" t="n">
        <f aca="false">OperatingCurve!AI337</f>
        <v>0</v>
      </c>
      <c r="U312" s="285" t="n">
        <f aca="false">OperatingCurve!AK337</f>
        <v>0</v>
      </c>
      <c r="W312" s="285" t="n">
        <f aca="false">OperatingCurve!AO337</f>
        <v>0</v>
      </c>
      <c r="X312" s="285" t="n">
        <f aca="false">OperatingCurve!AN337</f>
        <v>0</v>
      </c>
      <c r="Y312" s="285" t="n">
        <f aca="false">OperatingCurve!AP337</f>
        <v>0</v>
      </c>
      <c r="AA312" s="285" t="n">
        <f aca="false">OperatingCurve!AR337</f>
        <v>0</v>
      </c>
      <c r="AB312" s="285" t="n">
        <f aca="false">OperatingCurve!AQ337</f>
        <v>0</v>
      </c>
      <c r="AC312" s="285" t="n">
        <f aca="false">OperatingCurve!AS337</f>
        <v>0</v>
      </c>
      <c r="AE312" s="285" t="n">
        <f aca="false">OperatingCurve!AU337</f>
        <v>0</v>
      </c>
      <c r="AF312" s="285" t="n">
        <f aca="false">OperatingCurve!AT337</f>
        <v>0</v>
      </c>
      <c r="AG312" s="285" t="n">
        <f aca="false">OperatingCurve!AV337</f>
        <v>0</v>
      </c>
      <c r="AI312" s="285" t="n">
        <f aca="false">OperatingCurve!AX337</f>
        <v>0</v>
      </c>
      <c r="AJ312" s="285" t="n">
        <f aca="false">OperatingCurve!AW337</f>
        <v>0</v>
      </c>
      <c r="AK312" s="285" t="n">
        <f aca="false">OperatingCurve!AY337</f>
        <v>0</v>
      </c>
      <c r="AM312" s="286" t="n">
        <f aca="false">OperatingCurve!AL337</f>
        <v>0</v>
      </c>
      <c r="AN312" s="287" t="n">
        <f aca="false">OperatingCurve!AM337</f>
        <v>0</v>
      </c>
    </row>
    <row r="313" customFormat="false" ht="12.75" hidden="false" customHeight="false" outlineLevel="0" collapsed="false">
      <c r="A313" s="282" t="n">
        <f aca="false">OperatingCurve!D309</f>
        <v>45292</v>
      </c>
      <c r="B313" s="283" t="n">
        <f aca="false">OperatingCurve!H309</f>
        <v>28.784</v>
      </c>
      <c r="C313" s="283" t="n">
        <f aca="false">OperatingCurve!G309</f>
        <v>34.089</v>
      </c>
      <c r="D313" s="283" t="n">
        <f aca="false">OperatingCurve!I309</f>
        <v>71.489</v>
      </c>
      <c r="E313" s="293"/>
      <c r="F313" s="283" t="n">
        <f aca="false">OperatingCurve!M309</f>
        <v>0</v>
      </c>
      <c r="G313" s="283" t="n">
        <f aca="false">OperatingCurve!L309</f>
        <v>0</v>
      </c>
      <c r="H313" s="283" t="n">
        <f aca="false">OperatingCurve!N309</f>
        <v>0</v>
      </c>
      <c r="J313" s="284" t="n">
        <f aca="false">OperatingCurve!V338</f>
        <v>0</v>
      </c>
      <c r="K313" s="285" t="n">
        <f aca="false">OperatingCurve!Z338</f>
        <v>0</v>
      </c>
      <c r="L313" s="285" t="n">
        <f aca="false">OperatingCurve!Y338</f>
        <v>0</v>
      </c>
      <c r="M313" s="285" t="n">
        <f aca="false">OperatingCurve!AA338</f>
        <v>0</v>
      </c>
      <c r="O313" s="285" t="n">
        <f aca="false">OperatingCurve!AE338</f>
        <v>0</v>
      </c>
      <c r="P313" s="285" t="n">
        <f aca="false">OperatingCurve!AD338</f>
        <v>0</v>
      </c>
      <c r="Q313" s="285" t="n">
        <f aca="false">OperatingCurve!AF338</f>
        <v>0</v>
      </c>
      <c r="S313" s="285" t="n">
        <f aca="false">OperatingCurve!AJ338</f>
        <v>0</v>
      </c>
      <c r="T313" s="285" t="n">
        <f aca="false">OperatingCurve!AI338</f>
        <v>0</v>
      </c>
      <c r="U313" s="285" t="n">
        <f aca="false">OperatingCurve!AK338</f>
        <v>0</v>
      </c>
      <c r="W313" s="285" t="n">
        <f aca="false">OperatingCurve!AO338</f>
        <v>0</v>
      </c>
      <c r="X313" s="285" t="n">
        <f aca="false">OperatingCurve!AN338</f>
        <v>0</v>
      </c>
      <c r="Y313" s="285" t="n">
        <f aca="false">OperatingCurve!AP338</f>
        <v>0</v>
      </c>
      <c r="AA313" s="285" t="n">
        <f aca="false">OperatingCurve!AR338</f>
        <v>0</v>
      </c>
      <c r="AB313" s="285" t="n">
        <f aca="false">OperatingCurve!AQ338</f>
        <v>0</v>
      </c>
      <c r="AC313" s="285" t="n">
        <f aca="false">OperatingCurve!AS338</f>
        <v>0</v>
      </c>
      <c r="AE313" s="285" t="n">
        <f aca="false">OperatingCurve!AU338</f>
        <v>0</v>
      </c>
      <c r="AF313" s="285" t="n">
        <f aca="false">OperatingCurve!AT338</f>
        <v>0</v>
      </c>
      <c r="AG313" s="285" t="n">
        <f aca="false">OperatingCurve!AV338</f>
        <v>0</v>
      </c>
      <c r="AI313" s="285" t="n">
        <f aca="false">OperatingCurve!AX338</f>
        <v>0</v>
      </c>
      <c r="AJ313" s="285" t="n">
        <f aca="false">OperatingCurve!AW338</f>
        <v>0</v>
      </c>
      <c r="AK313" s="285" t="n">
        <f aca="false">OperatingCurve!AY338</f>
        <v>0</v>
      </c>
      <c r="AM313" s="286" t="n">
        <f aca="false">OperatingCurve!AL338</f>
        <v>0</v>
      </c>
      <c r="AN313" s="287" t="n">
        <f aca="false">OperatingCurve!AM338</f>
        <v>0</v>
      </c>
    </row>
    <row r="314" customFormat="false" ht="12.75" hidden="false" customHeight="false" outlineLevel="0" collapsed="false">
      <c r="A314" s="282" t="n">
        <f aca="false">OperatingCurve!D310</f>
        <v>45323</v>
      </c>
      <c r="B314" s="283" t="n">
        <f aca="false">OperatingCurve!H310</f>
        <v>25.625</v>
      </c>
      <c r="C314" s="283" t="n">
        <f aca="false">OperatingCurve!G310</f>
        <v>30.9</v>
      </c>
      <c r="D314" s="283" t="n">
        <f aca="false">OperatingCurve!I310</f>
        <v>68.096</v>
      </c>
      <c r="E314" s="293"/>
      <c r="F314" s="283" t="n">
        <f aca="false">OperatingCurve!M310</f>
        <v>0</v>
      </c>
      <c r="G314" s="283" t="n">
        <f aca="false">OperatingCurve!L310</f>
        <v>0</v>
      </c>
      <c r="H314" s="283" t="n">
        <f aca="false">OperatingCurve!N310</f>
        <v>0</v>
      </c>
      <c r="J314" s="284" t="n">
        <f aca="false">OperatingCurve!V339</f>
        <v>0</v>
      </c>
      <c r="K314" s="285" t="n">
        <f aca="false">OperatingCurve!Z339</f>
        <v>0</v>
      </c>
      <c r="L314" s="285" t="n">
        <f aca="false">OperatingCurve!Y339</f>
        <v>0</v>
      </c>
      <c r="M314" s="285" t="n">
        <f aca="false">OperatingCurve!AA339</f>
        <v>0</v>
      </c>
      <c r="O314" s="285" t="n">
        <f aca="false">OperatingCurve!AE339</f>
        <v>0</v>
      </c>
      <c r="P314" s="285" t="n">
        <f aca="false">OperatingCurve!AD339</f>
        <v>0</v>
      </c>
      <c r="Q314" s="285" t="n">
        <f aca="false">OperatingCurve!AF339</f>
        <v>0</v>
      </c>
      <c r="S314" s="285" t="n">
        <f aca="false">OperatingCurve!AJ339</f>
        <v>0</v>
      </c>
      <c r="T314" s="285" t="n">
        <f aca="false">OperatingCurve!AI339</f>
        <v>0</v>
      </c>
      <c r="U314" s="285" t="n">
        <f aca="false">OperatingCurve!AK339</f>
        <v>0</v>
      </c>
      <c r="W314" s="285" t="n">
        <f aca="false">OperatingCurve!AO339</f>
        <v>0</v>
      </c>
      <c r="X314" s="285" t="n">
        <f aca="false">OperatingCurve!AN339</f>
        <v>0</v>
      </c>
      <c r="Y314" s="285" t="n">
        <f aca="false">OperatingCurve!AP339</f>
        <v>0</v>
      </c>
      <c r="AA314" s="285" t="n">
        <f aca="false">OperatingCurve!AR339</f>
        <v>0</v>
      </c>
      <c r="AB314" s="285" t="n">
        <f aca="false">OperatingCurve!AQ339</f>
        <v>0</v>
      </c>
      <c r="AC314" s="285" t="n">
        <f aca="false">OperatingCurve!AS339</f>
        <v>0</v>
      </c>
      <c r="AE314" s="285" t="n">
        <f aca="false">OperatingCurve!AU339</f>
        <v>0</v>
      </c>
      <c r="AF314" s="285" t="n">
        <f aca="false">OperatingCurve!AT339</f>
        <v>0</v>
      </c>
      <c r="AG314" s="285" t="n">
        <f aca="false">OperatingCurve!AV339</f>
        <v>0</v>
      </c>
      <c r="AI314" s="285" t="n">
        <f aca="false">OperatingCurve!AX339</f>
        <v>0</v>
      </c>
      <c r="AJ314" s="285" t="n">
        <f aca="false">OperatingCurve!AW339</f>
        <v>0</v>
      </c>
      <c r="AK314" s="285" t="n">
        <f aca="false">OperatingCurve!AY339</f>
        <v>0</v>
      </c>
      <c r="AM314" s="286" t="n">
        <f aca="false">OperatingCurve!AL339</f>
        <v>0</v>
      </c>
      <c r="AN314" s="287" t="n">
        <f aca="false">OperatingCurve!AM339</f>
        <v>0</v>
      </c>
    </row>
    <row r="315" customFormat="false" ht="12.75" hidden="false" customHeight="false" outlineLevel="0" collapsed="false">
      <c r="A315" s="282" t="n">
        <f aca="false">OperatingCurve!D311</f>
        <v>45352</v>
      </c>
      <c r="B315" s="283" t="n">
        <f aca="false">OperatingCurve!H311</f>
        <v>24.576</v>
      </c>
      <c r="C315" s="283" t="n">
        <f aca="false">OperatingCurve!G311</f>
        <v>29.841</v>
      </c>
      <c r="D315" s="283" t="n">
        <f aca="false">OperatingCurve!I311</f>
        <v>66.969</v>
      </c>
      <c r="E315" s="293"/>
      <c r="F315" s="283" t="n">
        <f aca="false">OperatingCurve!M311</f>
        <v>0</v>
      </c>
      <c r="G315" s="283" t="n">
        <f aca="false">OperatingCurve!L311</f>
        <v>0</v>
      </c>
      <c r="H315" s="283" t="n">
        <f aca="false">OperatingCurve!N311</f>
        <v>0</v>
      </c>
      <c r="J315" s="284" t="n">
        <f aca="false">OperatingCurve!V340</f>
        <v>0</v>
      </c>
      <c r="K315" s="285" t="n">
        <f aca="false">OperatingCurve!Z340</f>
        <v>0</v>
      </c>
      <c r="L315" s="285" t="n">
        <f aca="false">OperatingCurve!Y340</f>
        <v>0</v>
      </c>
      <c r="M315" s="285" t="n">
        <f aca="false">OperatingCurve!AA340</f>
        <v>0</v>
      </c>
      <c r="O315" s="285" t="n">
        <f aca="false">OperatingCurve!AE340</f>
        <v>0</v>
      </c>
      <c r="P315" s="285" t="n">
        <f aca="false">OperatingCurve!AD340</f>
        <v>0</v>
      </c>
      <c r="Q315" s="285" t="n">
        <f aca="false">OperatingCurve!AF340</f>
        <v>0</v>
      </c>
      <c r="S315" s="285" t="n">
        <f aca="false">OperatingCurve!AJ340</f>
        <v>0</v>
      </c>
      <c r="T315" s="285" t="n">
        <f aca="false">OperatingCurve!AI340</f>
        <v>0</v>
      </c>
      <c r="U315" s="285" t="n">
        <f aca="false">OperatingCurve!AK340</f>
        <v>0</v>
      </c>
      <c r="W315" s="285" t="n">
        <f aca="false">OperatingCurve!AO340</f>
        <v>0</v>
      </c>
      <c r="X315" s="285" t="n">
        <f aca="false">OperatingCurve!AN340</f>
        <v>0</v>
      </c>
      <c r="Y315" s="285" t="n">
        <f aca="false">OperatingCurve!AP340</f>
        <v>0</v>
      </c>
      <c r="AA315" s="285" t="n">
        <f aca="false">OperatingCurve!AR340</f>
        <v>0</v>
      </c>
      <c r="AB315" s="285" t="n">
        <f aca="false">OperatingCurve!AQ340</f>
        <v>0</v>
      </c>
      <c r="AC315" s="285" t="n">
        <f aca="false">OperatingCurve!AS340</f>
        <v>0</v>
      </c>
      <c r="AE315" s="285" t="n">
        <f aca="false">OperatingCurve!AU340</f>
        <v>0</v>
      </c>
      <c r="AF315" s="285" t="n">
        <f aca="false">OperatingCurve!AT340</f>
        <v>0</v>
      </c>
      <c r="AG315" s="285" t="n">
        <f aca="false">OperatingCurve!AV340</f>
        <v>0</v>
      </c>
      <c r="AI315" s="285" t="n">
        <f aca="false">OperatingCurve!AX340</f>
        <v>0</v>
      </c>
      <c r="AJ315" s="285" t="n">
        <f aca="false">OperatingCurve!AW340</f>
        <v>0</v>
      </c>
      <c r="AK315" s="285" t="n">
        <f aca="false">OperatingCurve!AY340</f>
        <v>0</v>
      </c>
      <c r="AM315" s="286" t="n">
        <f aca="false">OperatingCurve!AL340</f>
        <v>0</v>
      </c>
      <c r="AN315" s="287" t="n">
        <f aca="false">OperatingCurve!AM340</f>
        <v>0</v>
      </c>
    </row>
    <row r="316" customFormat="false" ht="12.75" hidden="false" customHeight="false" outlineLevel="0" collapsed="false">
      <c r="A316" s="282" t="n">
        <f aca="false">OperatingCurve!D312</f>
        <v>45383</v>
      </c>
      <c r="B316" s="283" t="n">
        <f aca="false">OperatingCurve!H312</f>
        <v>24.576</v>
      </c>
      <c r="C316" s="283" t="n">
        <f aca="false">OperatingCurve!G312</f>
        <v>29.841</v>
      </c>
      <c r="D316" s="283" t="n">
        <f aca="false">OperatingCurve!I312</f>
        <v>66.969</v>
      </c>
      <c r="E316" s="293"/>
      <c r="F316" s="283" t="n">
        <f aca="false">OperatingCurve!M312</f>
        <v>0</v>
      </c>
      <c r="G316" s="283" t="n">
        <f aca="false">OperatingCurve!L312</f>
        <v>0</v>
      </c>
      <c r="H316" s="283" t="n">
        <f aca="false">OperatingCurve!N312</f>
        <v>0</v>
      </c>
      <c r="J316" s="284" t="n">
        <f aca="false">OperatingCurve!V341</f>
        <v>0</v>
      </c>
      <c r="K316" s="285" t="n">
        <f aca="false">OperatingCurve!Z341</f>
        <v>0</v>
      </c>
      <c r="L316" s="285" t="n">
        <f aca="false">OperatingCurve!Y341</f>
        <v>0</v>
      </c>
      <c r="M316" s="285" t="n">
        <f aca="false">OperatingCurve!AA341</f>
        <v>0</v>
      </c>
      <c r="O316" s="285" t="n">
        <f aca="false">OperatingCurve!AE341</f>
        <v>0</v>
      </c>
      <c r="P316" s="285" t="n">
        <f aca="false">OperatingCurve!AD341</f>
        <v>0</v>
      </c>
      <c r="Q316" s="285" t="n">
        <f aca="false">OperatingCurve!AF341</f>
        <v>0</v>
      </c>
      <c r="S316" s="285" t="n">
        <f aca="false">OperatingCurve!AJ341</f>
        <v>0</v>
      </c>
      <c r="T316" s="285" t="n">
        <f aca="false">OperatingCurve!AI341</f>
        <v>0</v>
      </c>
      <c r="U316" s="285" t="n">
        <f aca="false">OperatingCurve!AK341</f>
        <v>0</v>
      </c>
      <c r="W316" s="285" t="n">
        <f aca="false">OperatingCurve!AO341</f>
        <v>0</v>
      </c>
      <c r="X316" s="285" t="n">
        <f aca="false">OperatingCurve!AN341</f>
        <v>0</v>
      </c>
      <c r="Y316" s="285" t="n">
        <f aca="false">OperatingCurve!AP341</f>
        <v>0</v>
      </c>
      <c r="AA316" s="285" t="n">
        <f aca="false">OperatingCurve!AR341</f>
        <v>0</v>
      </c>
      <c r="AB316" s="285" t="n">
        <f aca="false">OperatingCurve!AQ341</f>
        <v>0</v>
      </c>
      <c r="AC316" s="285" t="n">
        <f aca="false">OperatingCurve!AS341</f>
        <v>0</v>
      </c>
      <c r="AE316" s="285" t="n">
        <f aca="false">OperatingCurve!AU341</f>
        <v>0</v>
      </c>
      <c r="AF316" s="285" t="n">
        <f aca="false">OperatingCurve!AT341</f>
        <v>0</v>
      </c>
      <c r="AG316" s="285" t="n">
        <f aca="false">OperatingCurve!AV341</f>
        <v>0</v>
      </c>
      <c r="AI316" s="285" t="n">
        <f aca="false">OperatingCurve!AX341</f>
        <v>0</v>
      </c>
      <c r="AJ316" s="285" t="n">
        <f aca="false">OperatingCurve!AW341</f>
        <v>0</v>
      </c>
      <c r="AK316" s="285" t="n">
        <f aca="false">OperatingCurve!AY341</f>
        <v>0</v>
      </c>
      <c r="AM316" s="286" t="n">
        <f aca="false">OperatingCurve!AL341</f>
        <v>0</v>
      </c>
      <c r="AN316" s="287" t="n">
        <f aca="false">OperatingCurve!AM341</f>
        <v>0</v>
      </c>
    </row>
    <row r="317" customFormat="false" ht="12.75" hidden="false" customHeight="false" outlineLevel="0" collapsed="false">
      <c r="A317" s="282" t="n">
        <f aca="false">OperatingCurve!D313</f>
        <v>45413</v>
      </c>
      <c r="B317" s="283" t="n">
        <f aca="false">OperatingCurve!H313</f>
        <v>27.729</v>
      </c>
      <c r="C317" s="283" t="n">
        <f aca="false">OperatingCurve!G313</f>
        <v>33.024</v>
      </c>
      <c r="D317" s="283" t="n">
        <f aca="false">OperatingCurve!I313</f>
        <v>70.356</v>
      </c>
      <c r="E317" s="293"/>
      <c r="F317" s="283" t="n">
        <f aca="false">OperatingCurve!M313</f>
        <v>0</v>
      </c>
      <c r="G317" s="283" t="n">
        <f aca="false">OperatingCurve!L313</f>
        <v>0</v>
      </c>
      <c r="H317" s="283" t="n">
        <f aca="false">OperatingCurve!N313</f>
        <v>0</v>
      </c>
      <c r="J317" s="284" t="n">
        <f aca="false">OperatingCurve!V342</f>
        <v>0</v>
      </c>
      <c r="K317" s="285" t="n">
        <f aca="false">OperatingCurve!Z342</f>
        <v>0</v>
      </c>
      <c r="L317" s="285" t="n">
        <f aca="false">OperatingCurve!Y342</f>
        <v>0</v>
      </c>
      <c r="M317" s="285" t="n">
        <f aca="false">OperatingCurve!AA342</f>
        <v>0</v>
      </c>
      <c r="O317" s="285" t="n">
        <f aca="false">OperatingCurve!AE342</f>
        <v>0</v>
      </c>
      <c r="P317" s="285" t="n">
        <f aca="false">OperatingCurve!AD342</f>
        <v>0</v>
      </c>
      <c r="Q317" s="285" t="n">
        <f aca="false">OperatingCurve!AF342</f>
        <v>0</v>
      </c>
      <c r="S317" s="285" t="n">
        <f aca="false">OperatingCurve!AJ342</f>
        <v>0</v>
      </c>
      <c r="T317" s="285" t="n">
        <f aca="false">OperatingCurve!AI342</f>
        <v>0</v>
      </c>
      <c r="U317" s="285" t="n">
        <f aca="false">OperatingCurve!AK342</f>
        <v>0</v>
      </c>
      <c r="W317" s="285" t="n">
        <f aca="false">OperatingCurve!AO342</f>
        <v>0</v>
      </c>
      <c r="X317" s="285" t="n">
        <f aca="false">OperatingCurve!AN342</f>
        <v>0</v>
      </c>
      <c r="Y317" s="285" t="n">
        <f aca="false">OperatingCurve!AP342</f>
        <v>0</v>
      </c>
      <c r="AA317" s="285" t="n">
        <f aca="false">OperatingCurve!AR342</f>
        <v>0</v>
      </c>
      <c r="AB317" s="285" t="n">
        <f aca="false">OperatingCurve!AQ342</f>
        <v>0</v>
      </c>
      <c r="AC317" s="285" t="n">
        <f aca="false">OperatingCurve!AS342</f>
        <v>0</v>
      </c>
      <c r="AE317" s="285" t="n">
        <f aca="false">OperatingCurve!AU342</f>
        <v>0</v>
      </c>
      <c r="AF317" s="285" t="n">
        <f aca="false">OperatingCurve!AT342</f>
        <v>0</v>
      </c>
      <c r="AG317" s="285" t="n">
        <f aca="false">OperatingCurve!AV342</f>
        <v>0</v>
      </c>
      <c r="AI317" s="285" t="n">
        <f aca="false">OperatingCurve!AX342</f>
        <v>0</v>
      </c>
      <c r="AJ317" s="285" t="n">
        <f aca="false">OperatingCurve!AW342</f>
        <v>0</v>
      </c>
      <c r="AK317" s="285" t="n">
        <f aca="false">OperatingCurve!AY342</f>
        <v>0</v>
      </c>
      <c r="AM317" s="286" t="n">
        <f aca="false">OperatingCurve!AL342</f>
        <v>0</v>
      </c>
      <c r="AN317" s="287" t="n">
        <f aca="false">OperatingCurve!AM342</f>
        <v>0</v>
      </c>
    </row>
    <row r="318" customFormat="false" ht="12.75" hidden="false" customHeight="false" outlineLevel="0" collapsed="false">
      <c r="A318" s="282" t="n">
        <f aca="false">OperatingCurve!D314</f>
        <v>45444</v>
      </c>
      <c r="B318" s="283" t="n">
        <f aca="false">OperatingCurve!H314</f>
        <v>35.156</v>
      </c>
      <c r="C318" s="283" t="n">
        <f aca="false">OperatingCurve!G314</f>
        <v>40.521</v>
      </c>
      <c r="D318" s="283" t="n">
        <f aca="false">OperatingCurve!I314</f>
        <v>78.329</v>
      </c>
      <c r="E318" s="293"/>
      <c r="F318" s="283" t="n">
        <f aca="false">OperatingCurve!M314</f>
        <v>0</v>
      </c>
      <c r="G318" s="283" t="n">
        <f aca="false">OperatingCurve!L314</f>
        <v>0</v>
      </c>
      <c r="H318" s="283" t="n">
        <f aca="false">OperatingCurve!N314</f>
        <v>0</v>
      </c>
      <c r="J318" s="284" t="n">
        <f aca="false">OperatingCurve!V343</f>
        <v>0</v>
      </c>
      <c r="K318" s="285" t="n">
        <f aca="false">OperatingCurve!Z343</f>
        <v>0</v>
      </c>
      <c r="L318" s="285" t="n">
        <f aca="false">OperatingCurve!Y343</f>
        <v>0</v>
      </c>
      <c r="M318" s="285" t="n">
        <f aca="false">OperatingCurve!AA343</f>
        <v>0</v>
      </c>
      <c r="O318" s="285" t="n">
        <f aca="false">OperatingCurve!AE343</f>
        <v>0</v>
      </c>
      <c r="P318" s="285" t="n">
        <f aca="false">OperatingCurve!AD343</f>
        <v>0</v>
      </c>
      <c r="Q318" s="285" t="n">
        <f aca="false">OperatingCurve!AF343</f>
        <v>0</v>
      </c>
      <c r="S318" s="285" t="n">
        <f aca="false">OperatingCurve!AJ343</f>
        <v>0</v>
      </c>
      <c r="T318" s="285" t="n">
        <f aca="false">OperatingCurve!AI343</f>
        <v>0</v>
      </c>
      <c r="U318" s="285" t="n">
        <f aca="false">OperatingCurve!AK343</f>
        <v>0</v>
      </c>
      <c r="W318" s="285" t="n">
        <f aca="false">OperatingCurve!AO343</f>
        <v>0</v>
      </c>
      <c r="X318" s="285" t="n">
        <f aca="false">OperatingCurve!AN343</f>
        <v>0</v>
      </c>
      <c r="Y318" s="285" t="n">
        <f aca="false">OperatingCurve!AP343</f>
        <v>0</v>
      </c>
      <c r="AA318" s="285" t="n">
        <f aca="false">OperatingCurve!AR343</f>
        <v>0</v>
      </c>
      <c r="AB318" s="285" t="n">
        <f aca="false">OperatingCurve!AQ343</f>
        <v>0</v>
      </c>
      <c r="AC318" s="285" t="n">
        <f aca="false">OperatingCurve!AS343</f>
        <v>0</v>
      </c>
      <c r="AE318" s="285" t="n">
        <f aca="false">OperatingCurve!AU343</f>
        <v>0</v>
      </c>
      <c r="AF318" s="285" t="n">
        <f aca="false">OperatingCurve!AT343</f>
        <v>0</v>
      </c>
      <c r="AG318" s="285" t="n">
        <f aca="false">OperatingCurve!AV343</f>
        <v>0</v>
      </c>
      <c r="AI318" s="285" t="n">
        <f aca="false">OperatingCurve!AX343</f>
        <v>0</v>
      </c>
      <c r="AJ318" s="285" t="n">
        <f aca="false">OperatingCurve!AW343</f>
        <v>0</v>
      </c>
      <c r="AK318" s="285" t="n">
        <f aca="false">OperatingCurve!AY343</f>
        <v>0</v>
      </c>
      <c r="AM318" s="286" t="n">
        <f aca="false">OperatingCurve!AL343</f>
        <v>0</v>
      </c>
      <c r="AN318" s="287" t="n">
        <f aca="false">OperatingCurve!AM343</f>
        <v>0</v>
      </c>
    </row>
    <row r="319" customFormat="false" ht="12.75" hidden="false" customHeight="false" outlineLevel="0" collapsed="false">
      <c r="A319" s="282" t="n">
        <f aca="false">OperatingCurve!D315</f>
        <v>45474</v>
      </c>
      <c r="B319" s="283" t="n">
        <f aca="false">OperatingCurve!H315</f>
        <v>35.156</v>
      </c>
      <c r="C319" s="283" t="n">
        <f aca="false">OperatingCurve!G315</f>
        <v>40.521</v>
      </c>
      <c r="D319" s="283" t="n">
        <f aca="false">OperatingCurve!I315</f>
        <v>78.329</v>
      </c>
      <c r="E319" s="293"/>
      <c r="F319" s="283" t="n">
        <f aca="false">OperatingCurve!M315</f>
        <v>0</v>
      </c>
      <c r="G319" s="283" t="n">
        <f aca="false">OperatingCurve!L315</f>
        <v>0</v>
      </c>
      <c r="H319" s="283" t="n">
        <f aca="false">OperatingCurve!N315</f>
        <v>0</v>
      </c>
      <c r="J319" s="284" t="n">
        <f aca="false">OperatingCurve!V344</f>
        <v>0</v>
      </c>
      <c r="K319" s="285" t="n">
        <f aca="false">OperatingCurve!Z344</f>
        <v>0</v>
      </c>
      <c r="L319" s="285" t="n">
        <f aca="false">OperatingCurve!Y344</f>
        <v>0</v>
      </c>
      <c r="M319" s="285" t="n">
        <f aca="false">OperatingCurve!AA344</f>
        <v>0</v>
      </c>
      <c r="O319" s="285" t="n">
        <f aca="false">OperatingCurve!AE344</f>
        <v>0</v>
      </c>
      <c r="P319" s="285" t="n">
        <f aca="false">OperatingCurve!AD344</f>
        <v>0</v>
      </c>
      <c r="Q319" s="285" t="n">
        <f aca="false">OperatingCurve!AF344</f>
        <v>0</v>
      </c>
      <c r="S319" s="285" t="n">
        <f aca="false">OperatingCurve!AJ344</f>
        <v>0</v>
      </c>
      <c r="T319" s="285" t="n">
        <f aca="false">OperatingCurve!AI344</f>
        <v>0</v>
      </c>
      <c r="U319" s="285" t="n">
        <f aca="false">OperatingCurve!AK344</f>
        <v>0</v>
      </c>
      <c r="W319" s="285" t="n">
        <f aca="false">OperatingCurve!AO344</f>
        <v>0</v>
      </c>
      <c r="X319" s="285" t="n">
        <f aca="false">OperatingCurve!AN344</f>
        <v>0</v>
      </c>
      <c r="Y319" s="285" t="n">
        <f aca="false">OperatingCurve!AP344</f>
        <v>0</v>
      </c>
      <c r="AA319" s="285" t="n">
        <f aca="false">OperatingCurve!AR344</f>
        <v>0</v>
      </c>
      <c r="AB319" s="285" t="n">
        <f aca="false">OperatingCurve!AQ344</f>
        <v>0</v>
      </c>
      <c r="AC319" s="285" t="n">
        <f aca="false">OperatingCurve!AS344</f>
        <v>0</v>
      </c>
      <c r="AE319" s="285" t="n">
        <f aca="false">OperatingCurve!AU344</f>
        <v>0</v>
      </c>
      <c r="AF319" s="285" t="n">
        <f aca="false">OperatingCurve!AT344</f>
        <v>0</v>
      </c>
      <c r="AG319" s="285" t="n">
        <f aca="false">OperatingCurve!AV344</f>
        <v>0</v>
      </c>
      <c r="AI319" s="285" t="n">
        <f aca="false">OperatingCurve!AX344</f>
        <v>0</v>
      </c>
      <c r="AJ319" s="285" t="n">
        <f aca="false">OperatingCurve!AW344</f>
        <v>0</v>
      </c>
      <c r="AK319" s="285" t="n">
        <f aca="false">OperatingCurve!AY344</f>
        <v>0</v>
      </c>
      <c r="AM319" s="286" t="n">
        <f aca="false">OperatingCurve!AL344</f>
        <v>0</v>
      </c>
      <c r="AN319" s="287" t="n">
        <f aca="false">OperatingCurve!AM344</f>
        <v>0</v>
      </c>
    </row>
    <row r="320" customFormat="false" ht="12.75" hidden="false" customHeight="false" outlineLevel="0" collapsed="false">
      <c r="A320" s="282" t="n">
        <f aca="false">OperatingCurve!D316</f>
        <v>45505</v>
      </c>
      <c r="B320" s="283" t="n">
        <f aca="false">OperatingCurve!H316</f>
        <v>37.296</v>
      </c>
      <c r="C320" s="283" t="n">
        <f aca="false">OperatingCurve!G316</f>
        <v>42.681</v>
      </c>
      <c r="D320" s="283" t="n">
        <f aca="false">OperatingCurve!I316</f>
        <v>80.625</v>
      </c>
      <c r="E320" s="293"/>
      <c r="F320" s="283" t="n">
        <f aca="false">OperatingCurve!M316</f>
        <v>0</v>
      </c>
      <c r="G320" s="283" t="n">
        <f aca="false">OperatingCurve!L316</f>
        <v>0</v>
      </c>
      <c r="H320" s="283" t="n">
        <f aca="false">OperatingCurve!N316</f>
        <v>0</v>
      </c>
      <c r="J320" s="284" t="n">
        <f aca="false">OperatingCurve!V345</f>
        <v>0</v>
      </c>
      <c r="K320" s="285" t="n">
        <f aca="false">OperatingCurve!Z345</f>
        <v>0</v>
      </c>
      <c r="L320" s="285" t="n">
        <f aca="false">OperatingCurve!Y345</f>
        <v>0</v>
      </c>
      <c r="M320" s="285" t="n">
        <f aca="false">OperatingCurve!AA345</f>
        <v>0</v>
      </c>
      <c r="O320" s="285" t="n">
        <f aca="false">OperatingCurve!AE345</f>
        <v>0</v>
      </c>
      <c r="P320" s="285" t="n">
        <f aca="false">OperatingCurve!AD345</f>
        <v>0</v>
      </c>
      <c r="Q320" s="285" t="n">
        <f aca="false">OperatingCurve!AF345</f>
        <v>0</v>
      </c>
      <c r="S320" s="285" t="n">
        <f aca="false">OperatingCurve!AJ345</f>
        <v>0</v>
      </c>
      <c r="T320" s="285" t="n">
        <f aca="false">OperatingCurve!AI345</f>
        <v>0</v>
      </c>
      <c r="U320" s="285" t="n">
        <f aca="false">OperatingCurve!AK345</f>
        <v>0</v>
      </c>
      <c r="W320" s="285" t="n">
        <f aca="false">OperatingCurve!AO345</f>
        <v>0</v>
      </c>
      <c r="X320" s="285" t="n">
        <f aca="false">OperatingCurve!AN345</f>
        <v>0</v>
      </c>
      <c r="Y320" s="285" t="n">
        <f aca="false">OperatingCurve!AP345</f>
        <v>0</v>
      </c>
      <c r="AA320" s="285" t="n">
        <f aca="false">OperatingCurve!AR345</f>
        <v>0</v>
      </c>
      <c r="AB320" s="285" t="n">
        <f aca="false">OperatingCurve!AQ345</f>
        <v>0</v>
      </c>
      <c r="AC320" s="285" t="n">
        <f aca="false">OperatingCurve!AS345</f>
        <v>0</v>
      </c>
      <c r="AE320" s="285" t="n">
        <f aca="false">OperatingCurve!AU345</f>
        <v>0</v>
      </c>
      <c r="AF320" s="285" t="n">
        <f aca="false">OperatingCurve!AT345</f>
        <v>0</v>
      </c>
      <c r="AG320" s="285" t="n">
        <f aca="false">OperatingCurve!AV345</f>
        <v>0</v>
      </c>
      <c r="AI320" s="285" t="n">
        <f aca="false">OperatingCurve!AX345</f>
        <v>0</v>
      </c>
      <c r="AJ320" s="285" t="n">
        <f aca="false">OperatingCurve!AW345</f>
        <v>0</v>
      </c>
      <c r="AK320" s="285" t="n">
        <f aca="false">OperatingCurve!AY345</f>
        <v>0</v>
      </c>
      <c r="AM320" s="286" t="n">
        <f aca="false">OperatingCurve!AL345</f>
        <v>0</v>
      </c>
      <c r="AN320" s="287" t="n">
        <f aca="false">OperatingCurve!AM345</f>
        <v>0</v>
      </c>
    </row>
    <row r="321" customFormat="false" ht="12.75" hidden="false" customHeight="false" outlineLevel="0" collapsed="false">
      <c r="A321" s="282" t="n">
        <f aca="false">OperatingCurve!D317</f>
        <v>45536</v>
      </c>
      <c r="B321" s="283" t="n">
        <f aca="false">OperatingCurve!H317</f>
        <v>30.9</v>
      </c>
      <c r="C321" s="283" t="n">
        <f aca="false">OperatingCurve!G317</f>
        <v>36.225</v>
      </c>
      <c r="D321" s="283" t="n">
        <f aca="false">OperatingCurve!I317</f>
        <v>73.761</v>
      </c>
      <c r="E321" s="293"/>
      <c r="F321" s="283" t="n">
        <f aca="false">OperatingCurve!M317</f>
        <v>0</v>
      </c>
      <c r="G321" s="283" t="n">
        <f aca="false">OperatingCurve!L317</f>
        <v>0</v>
      </c>
      <c r="H321" s="283" t="n">
        <f aca="false">OperatingCurve!N317</f>
        <v>0</v>
      </c>
      <c r="J321" s="284" t="n">
        <f aca="false">OperatingCurve!V346</f>
        <v>0</v>
      </c>
      <c r="K321" s="285" t="n">
        <f aca="false">OperatingCurve!Z346</f>
        <v>0</v>
      </c>
      <c r="L321" s="285" t="n">
        <f aca="false">OperatingCurve!Y346</f>
        <v>0</v>
      </c>
      <c r="M321" s="285" t="n">
        <f aca="false">OperatingCurve!AA346</f>
        <v>0</v>
      </c>
      <c r="O321" s="285" t="n">
        <f aca="false">OperatingCurve!AE346</f>
        <v>0</v>
      </c>
      <c r="P321" s="285" t="n">
        <f aca="false">OperatingCurve!AD346</f>
        <v>0</v>
      </c>
      <c r="Q321" s="285" t="n">
        <f aca="false">OperatingCurve!AF346</f>
        <v>0</v>
      </c>
      <c r="S321" s="285" t="n">
        <f aca="false">OperatingCurve!AJ346</f>
        <v>0</v>
      </c>
      <c r="T321" s="285" t="n">
        <f aca="false">OperatingCurve!AI346</f>
        <v>0</v>
      </c>
      <c r="U321" s="285" t="n">
        <f aca="false">OperatingCurve!AK346</f>
        <v>0</v>
      </c>
      <c r="W321" s="285" t="n">
        <f aca="false">OperatingCurve!AO346</f>
        <v>0</v>
      </c>
      <c r="X321" s="285" t="n">
        <f aca="false">OperatingCurve!AN346</f>
        <v>0</v>
      </c>
      <c r="Y321" s="285" t="n">
        <f aca="false">OperatingCurve!AP346</f>
        <v>0</v>
      </c>
      <c r="AA321" s="285" t="n">
        <f aca="false">OperatingCurve!AR346</f>
        <v>0</v>
      </c>
      <c r="AB321" s="285" t="n">
        <f aca="false">OperatingCurve!AQ346</f>
        <v>0</v>
      </c>
      <c r="AC321" s="285" t="n">
        <f aca="false">OperatingCurve!AS346</f>
        <v>0</v>
      </c>
      <c r="AE321" s="285" t="n">
        <f aca="false">OperatingCurve!AU346</f>
        <v>0</v>
      </c>
      <c r="AF321" s="285" t="n">
        <f aca="false">OperatingCurve!AT346</f>
        <v>0</v>
      </c>
      <c r="AG321" s="285" t="n">
        <f aca="false">OperatingCurve!AV346</f>
        <v>0</v>
      </c>
      <c r="AI321" s="285" t="n">
        <f aca="false">OperatingCurve!AX346</f>
        <v>0</v>
      </c>
      <c r="AJ321" s="285" t="n">
        <f aca="false">OperatingCurve!AW346</f>
        <v>0</v>
      </c>
      <c r="AK321" s="285" t="n">
        <f aca="false">OperatingCurve!AY346</f>
        <v>0</v>
      </c>
      <c r="AM321" s="286" t="n">
        <f aca="false">OperatingCurve!AL346</f>
        <v>0</v>
      </c>
      <c r="AN321" s="287" t="n">
        <f aca="false">OperatingCurve!AM346</f>
        <v>0</v>
      </c>
    </row>
    <row r="322" customFormat="false" ht="12.75" hidden="false" customHeight="false" outlineLevel="0" collapsed="false">
      <c r="A322" s="282" t="n">
        <f aca="false">OperatingCurve!D318</f>
        <v>45566</v>
      </c>
      <c r="B322" s="283" t="n">
        <f aca="false">OperatingCurve!H318</f>
        <v>33.024</v>
      </c>
      <c r="C322" s="283" t="n">
        <f aca="false">OperatingCurve!G318</f>
        <v>38.369</v>
      </c>
      <c r="D322" s="283" t="n">
        <f aca="false">OperatingCurve!I318</f>
        <v>76.041</v>
      </c>
      <c r="E322" s="293"/>
      <c r="F322" s="283" t="n">
        <f aca="false">OperatingCurve!M318</f>
        <v>0</v>
      </c>
      <c r="G322" s="283" t="n">
        <f aca="false">OperatingCurve!L318</f>
        <v>0</v>
      </c>
      <c r="H322" s="283" t="n">
        <f aca="false">OperatingCurve!N318</f>
        <v>0</v>
      </c>
      <c r="J322" s="284" t="n">
        <f aca="false">OperatingCurve!V347</f>
        <v>0</v>
      </c>
      <c r="K322" s="285" t="n">
        <f aca="false">OperatingCurve!Z347</f>
        <v>0</v>
      </c>
      <c r="L322" s="285" t="n">
        <f aca="false">OperatingCurve!Y347</f>
        <v>0</v>
      </c>
      <c r="M322" s="285" t="n">
        <f aca="false">OperatingCurve!AA347</f>
        <v>0</v>
      </c>
      <c r="O322" s="285" t="n">
        <f aca="false">OperatingCurve!AE347</f>
        <v>0</v>
      </c>
      <c r="P322" s="285" t="n">
        <f aca="false">OperatingCurve!AD347</f>
        <v>0</v>
      </c>
      <c r="Q322" s="285" t="n">
        <f aca="false">OperatingCurve!AF347</f>
        <v>0</v>
      </c>
      <c r="S322" s="285" t="n">
        <f aca="false">OperatingCurve!AJ347</f>
        <v>0</v>
      </c>
      <c r="T322" s="285" t="n">
        <f aca="false">OperatingCurve!AI347</f>
        <v>0</v>
      </c>
      <c r="U322" s="285" t="n">
        <f aca="false">OperatingCurve!AK347</f>
        <v>0</v>
      </c>
      <c r="W322" s="285" t="n">
        <f aca="false">OperatingCurve!AO347</f>
        <v>0</v>
      </c>
      <c r="X322" s="285" t="n">
        <f aca="false">OperatingCurve!AN347</f>
        <v>0</v>
      </c>
      <c r="Y322" s="285" t="n">
        <f aca="false">OperatingCurve!AP347</f>
        <v>0</v>
      </c>
      <c r="AA322" s="285" t="n">
        <f aca="false">OperatingCurve!AR347</f>
        <v>0</v>
      </c>
      <c r="AB322" s="285" t="n">
        <f aca="false">OperatingCurve!AQ347</f>
        <v>0</v>
      </c>
      <c r="AC322" s="285" t="n">
        <f aca="false">OperatingCurve!AS347</f>
        <v>0</v>
      </c>
      <c r="AE322" s="285" t="n">
        <f aca="false">OperatingCurve!AU347</f>
        <v>0</v>
      </c>
      <c r="AF322" s="285" t="n">
        <f aca="false">OperatingCurve!AT347</f>
        <v>0</v>
      </c>
      <c r="AG322" s="285" t="n">
        <f aca="false">OperatingCurve!AV347</f>
        <v>0</v>
      </c>
      <c r="AI322" s="285" t="n">
        <f aca="false">OperatingCurve!AX347</f>
        <v>0</v>
      </c>
      <c r="AJ322" s="285" t="n">
        <f aca="false">OperatingCurve!AW347</f>
        <v>0</v>
      </c>
      <c r="AK322" s="285" t="n">
        <f aca="false">OperatingCurve!AY347</f>
        <v>0</v>
      </c>
      <c r="AM322" s="286" t="n">
        <f aca="false">OperatingCurve!AL347</f>
        <v>0</v>
      </c>
      <c r="AN322" s="287" t="n">
        <f aca="false">OperatingCurve!AM347</f>
        <v>0</v>
      </c>
    </row>
    <row r="323" customFormat="false" ht="12.75" hidden="false" customHeight="false" outlineLevel="0" collapsed="false">
      <c r="A323" s="282" t="n">
        <f aca="false">OperatingCurve!D319</f>
        <v>45597</v>
      </c>
      <c r="B323" s="283" t="n">
        <f aca="false">OperatingCurve!H319</f>
        <v>26.676</v>
      </c>
      <c r="C323" s="283" t="n">
        <f aca="false">OperatingCurve!G319</f>
        <v>31.961</v>
      </c>
      <c r="D323" s="283" t="n">
        <f aca="false">OperatingCurve!I319</f>
        <v>69.225</v>
      </c>
      <c r="E323" s="293"/>
      <c r="F323" s="283" t="n">
        <f aca="false">OperatingCurve!M319</f>
        <v>0</v>
      </c>
      <c r="G323" s="283" t="n">
        <f aca="false">OperatingCurve!L319</f>
        <v>0</v>
      </c>
      <c r="H323" s="283" t="n">
        <f aca="false">OperatingCurve!N319</f>
        <v>0</v>
      </c>
      <c r="J323" s="284" t="n">
        <f aca="false">OperatingCurve!V348</f>
        <v>0</v>
      </c>
      <c r="K323" s="285" t="n">
        <f aca="false">OperatingCurve!Z348</f>
        <v>0</v>
      </c>
      <c r="L323" s="285" t="n">
        <f aca="false">OperatingCurve!Y348</f>
        <v>0</v>
      </c>
      <c r="M323" s="285" t="n">
        <f aca="false">OperatingCurve!AA348</f>
        <v>0</v>
      </c>
      <c r="O323" s="285" t="n">
        <f aca="false">OperatingCurve!AE348</f>
        <v>0</v>
      </c>
      <c r="P323" s="285" t="n">
        <f aca="false">OperatingCurve!AD348</f>
        <v>0</v>
      </c>
      <c r="Q323" s="285" t="n">
        <f aca="false">OperatingCurve!AF348</f>
        <v>0</v>
      </c>
      <c r="S323" s="285" t="n">
        <f aca="false">OperatingCurve!AJ348</f>
        <v>0</v>
      </c>
      <c r="T323" s="285" t="n">
        <f aca="false">OperatingCurve!AI348</f>
        <v>0</v>
      </c>
      <c r="U323" s="285" t="n">
        <f aca="false">OperatingCurve!AK348</f>
        <v>0</v>
      </c>
      <c r="W323" s="285" t="n">
        <f aca="false">OperatingCurve!AO348</f>
        <v>0</v>
      </c>
      <c r="X323" s="285" t="n">
        <f aca="false">OperatingCurve!AN348</f>
        <v>0</v>
      </c>
      <c r="Y323" s="285" t="n">
        <f aca="false">OperatingCurve!AP348</f>
        <v>0</v>
      </c>
      <c r="AA323" s="285" t="n">
        <f aca="false">OperatingCurve!AR348</f>
        <v>0</v>
      </c>
      <c r="AB323" s="285" t="n">
        <f aca="false">OperatingCurve!AQ348</f>
        <v>0</v>
      </c>
      <c r="AC323" s="285" t="n">
        <f aca="false">OperatingCurve!AS348</f>
        <v>0</v>
      </c>
      <c r="AE323" s="285" t="n">
        <f aca="false">OperatingCurve!AU348</f>
        <v>0</v>
      </c>
      <c r="AF323" s="285" t="n">
        <f aca="false">OperatingCurve!AT348</f>
        <v>0</v>
      </c>
      <c r="AG323" s="285" t="n">
        <f aca="false">OperatingCurve!AV348</f>
        <v>0</v>
      </c>
      <c r="AI323" s="285" t="n">
        <f aca="false">OperatingCurve!AX348</f>
        <v>0</v>
      </c>
      <c r="AJ323" s="285" t="n">
        <f aca="false">OperatingCurve!AW348</f>
        <v>0</v>
      </c>
      <c r="AK323" s="285" t="n">
        <f aca="false">OperatingCurve!AY348</f>
        <v>0</v>
      </c>
      <c r="AM323" s="286" t="n">
        <f aca="false">OperatingCurve!AL348</f>
        <v>0</v>
      </c>
      <c r="AN323" s="287" t="n">
        <f aca="false">OperatingCurve!AM348</f>
        <v>0</v>
      </c>
    </row>
    <row r="324" customFormat="false" ht="12.75" hidden="false" customHeight="false" outlineLevel="0" collapsed="false">
      <c r="A324" s="282" t="n">
        <f aca="false">OperatingCurve!D320</f>
        <v>45627</v>
      </c>
      <c r="B324" s="283" t="n">
        <f aca="false">OperatingCurve!H320</f>
        <v>27.729</v>
      </c>
      <c r="C324" s="283" t="n">
        <f aca="false">OperatingCurve!G320</f>
        <v>33.024</v>
      </c>
      <c r="D324" s="283" t="n">
        <f aca="false">OperatingCurve!I320</f>
        <v>70.356</v>
      </c>
      <c r="E324" s="293"/>
      <c r="F324" s="283" t="n">
        <f aca="false">OperatingCurve!M320</f>
        <v>0</v>
      </c>
      <c r="G324" s="283" t="n">
        <f aca="false">OperatingCurve!L320</f>
        <v>0</v>
      </c>
      <c r="H324" s="283" t="n">
        <f aca="false">OperatingCurve!N320</f>
        <v>0</v>
      </c>
      <c r="J324" s="284" t="n">
        <f aca="false">OperatingCurve!V349</f>
        <v>0</v>
      </c>
      <c r="K324" s="285" t="n">
        <f aca="false">OperatingCurve!Z349</f>
        <v>0</v>
      </c>
      <c r="L324" s="285" t="n">
        <f aca="false">OperatingCurve!Y349</f>
        <v>0</v>
      </c>
      <c r="M324" s="285" t="n">
        <f aca="false">OperatingCurve!AA349</f>
        <v>0</v>
      </c>
      <c r="O324" s="285" t="n">
        <f aca="false">OperatingCurve!AE349</f>
        <v>0</v>
      </c>
      <c r="P324" s="285" t="n">
        <f aca="false">OperatingCurve!AD349</f>
        <v>0</v>
      </c>
      <c r="Q324" s="285" t="n">
        <f aca="false">OperatingCurve!AF349</f>
        <v>0</v>
      </c>
      <c r="S324" s="285" t="n">
        <f aca="false">OperatingCurve!AJ349</f>
        <v>0</v>
      </c>
      <c r="T324" s="285" t="n">
        <f aca="false">OperatingCurve!AI349</f>
        <v>0</v>
      </c>
      <c r="U324" s="285" t="n">
        <f aca="false">OperatingCurve!AK349</f>
        <v>0</v>
      </c>
      <c r="W324" s="285" t="n">
        <f aca="false">OperatingCurve!AO349</f>
        <v>0</v>
      </c>
      <c r="X324" s="285" t="n">
        <f aca="false">OperatingCurve!AN349</f>
        <v>0</v>
      </c>
      <c r="Y324" s="285" t="n">
        <f aca="false">OperatingCurve!AP349</f>
        <v>0</v>
      </c>
      <c r="AA324" s="285" t="n">
        <f aca="false">OperatingCurve!AR349</f>
        <v>0</v>
      </c>
      <c r="AB324" s="285" t="n">
        <f aca="false">OperatingCurve!AQ349</f>
        <v>0</v>
      </c>
      <c r="AC324" s="285" t="n">
        <f aca="false">OperatingCurve!AS349</f>
        <v>0</v>
      </c>
      <c r="AE324" s="285" t="n">
        <f aca="false">OperatingCurve!AU349</f>
        <v>0</v>
      </c>
      <c r="AF324" s="285" t="n">
        <f aca="false">OperatingCurve!AT349</f>
        <v>0</v>
      </c>
      <c r="AG324" s="285" t="n">
        <f aca="false">OperatingCurve!AV349</f>
        <v>0</v>
      </c>
      <c r="AI324" s="285" t="n">
        <f aca="false">OperatingCurve!AX349</f>
        <v>0</v>
      </c>
      <c r="AJ324" s="285" t="n">
        <f aca="false">OperatingCurve!AW349</f>
        <v>0</v>
      </c>
      <c r="AK324" s="285" t="n">
        <f aca="false">OperatingCurve!AY349</f>
        <v>0</v>
      </c>
      <c r="AM324" s="286" t="n">
        <f aca="false">OperatingCurve!AL349</f>
        <v>0</v>
      </c>
      <c r="AN324" s="287" t="n">
        <f aca="false">OperatingCurve!AM349</f>
        <v>0</v>
      </c>
    </row>
    <row r="325" customFormat="false" ht="12.75" hidden="false" customHeight="false" outlineLevel="0" collapsed="false">
      <c r="A325" s="282" t="n">
        <f aca="false">OperatingCurve!D321</f>
        <v>45658</v>
      </c>
      <c r="B325" s="283" t="n">
        <f aca="false">OperatingCurve!H321</f>
        <v>28.784</v>
      </c>
      <c r="C325" s="283" t="n">
        <f aca="false">OperatingCurve!G321</f>
        <v>34.089</v>
      </c>
      <c r="D325" s="283" t="n">
        <f aca="false">OperatingCurve!I321</f>
        <v>71.489</v>
      </c>
      <c r="E325" s="293"/>
      <c r="F325" s="283" t="n">
        <f aca="false">OperatingCurve!M321</f>
        <v>0</v>
      </c>
      <c r="G325" s="283" t="n">
        <f aca="false">OperatingCurve!L321</f>
        <v>0</v>
      </c>
      <c r="H325" s="283" t="n">
        <f aca="false">OperatingCurve!N321</f>
        <v>0</v>
      </c>
      <c r="J325" s="284" t="n">
        <f aca="false">OperatingCurve!V350</f>
        <v>0</v>
      </c>
      <c r="K325" s="285" t="n">
        <f aca="false">OperatingCurve!Z350</f>
        <v>0</v>
      </c>
      <c r="L325" s="285" t="n">
        <f aca="false">OperatingCurve!Y350</f>
        <v>0</v>
      </c>
      <c r="M325" s="285" t="n">
        <f aca="false">OperatingCurve!AA350</f>
        <v>0</v>
      </c>
      <c r="O325" s="285" t="n">
        <f aca="false">OperatingCurve!AE350</f>
        <v>0</v>
      </c>
      <c r="P325" s="285" t="n">
        <f aca="false">OperatingCurve!AD350</f>
        <v>0</v>
      </c>
      <c r="Q325" s="285" t="n">
        <f aca="false">OperatingCurve!AF350</f>
        <v>0</v>
      </c>
      <c r="S325" s="285" t="n">
        <f aca="false">OperatingCurve!AJ350</f>
        <v>0</v>
      </c>
      <c r="T325" s="285" t="n">
        <f aca="false">OperatingCurve!AI350</f>
        <v>0</v>
      </c>
      <c r="U325" s="285" t="n">
        <f aca="false">OperatingCurve!AK350</f>
        <v>0</v>
      </c>
      <c r="W325" s="285" t="n">
        <f aca="false">OperatingCurve!AO350</f>
        <v>0</v>
      </c>
      <c r="X325" s="285" t="n">
        <f aca="false">OperatingCurve!AN350</f>
        <v>0</v>
      </c>
      <c r="Y325" s="285" t="n">
        <f aca="false">OperatingCurve!AP350</f>
        <v>0</v>
      </c>
      <c r="AA325" s="285" t="n">
        <f aca="false">OperatingCurve!AR350</f>
        <v>0</v>
      </c>
      <c r="AB325" s="285" t="n">
        <f aca="false">OperatingCurve!AQ350</f>
        <v>0</v>
      </c>
      <c r="AC325" s="285" t="n">
        <f aca="false">OperatingCurve!AS350</f>
        <v>0</v>
      </c>
      <c r="AE325" s="285" t="n">
        <f aca="false">OperatingCurve!AU350</f>
        <v>0</v>
      </c>
      <c r="AF325" s="285" t="n">
        <f aca="false">OperatingCurve!AT350</f>
        <v>0</v>
      </c>
      <c r="AG325" s="285" t="n">
        <f aca="false">OperatingCurve!AV350</f>
        <v>0</v>
      </c>
      <c r="AI325" s="285" t="n">
        <f aca="false">OperatingCurve!AX350</f>
        <v>0</v>
      </c>
      <c r="AJ325" s="285" t="n">
        <f aca="false">OperatingCurve!AW350</f>
        <v>0</v>
      </c>
      <c r="AK325" s="285" t="n">
        <f aca="false">OperatingCurve!AY350</f>
        <v>0</v>
      </c>
      <c r="AM325" s="286" t="n">
        <f aca="false">OperatingCurve!AL350</f>
        <v>0</v>
      </c>
      <c r="AN325" s="287" t="n">
        <f aca="false">OperatingCurve!AM350</f>
        <v>0</v>
      </c>
    </row>
    <row r="326" customFormat="false" ht="12.75" hidden="false" customHeight="false" outlineLevel="0" collapsed="false">
      <c r="A326" s="282" t="n">
        <f aca="false">OperatingCurve!D322</f>
        <v>45689</v>
      </c>
      <c r="B326" s="283" t="n">
        <f aca="false">OperatingCurve!H322</f>
        <v>25.625</v>
      </c>
      <c r="C326" s="283" t="n">
        <f aca="false">OperatingCurve!G322</f>
        <v>30.9</v>
      </c>
      <c r="D326" s="283" t="n">
        <f aca="false">OperatingCurve!I322</f>
        <v>68.096</v>
      </c>
      <c r="E326" s="293"/>
      <c r="F326" s="283" t="n">
        <f aca="false">OperatingCurve!M322</f>
        <v>0</v>
      </c>
      <c r="G326" s="283" t="n">
        <f aca="false">OperatingCurve!L322</f>
        <v>0</v>
      </c>
      <c r="H326" s="283" t="n">
        <f aca="false">OperatingCurve!N322</f>
        <v>0</v>
      </c>
      <c r="J326" s="284" t="n">
        <f aca="false">OperatingCurve!V351</f>
        <v>0</v>
      </c>
      <c r="K326" s="285" t="n">
        <f aca="false">OperatingCurve!Z351</f>
        <v>0</v>
      </c>
      <c r="L326" s="285" t="n">
        <f aca="false">OperatingCurve!Y351</f>
        <v>0</v>
      </c>
      <c r="M326" s="285" t="n">
        <f aca="false">OperatingCurve!AA351</f>
        <v>0</v>
      </c>
      <c r="O326" s="285" t="n">
        <f aca="false">OperatingCurve!AE351</f>
        <v>0</v>
      </c>
      <c r="P326" s="285" t="n">
        <f aca="false">OperatingCurve!AD351</f>
        <v>0</v>
      </c>
      <c r="Q326" s="285" t="n">
        <f aca="false">OperatingCurve!AF351</f>
        <v>0</v>
      </c>
      <c r="S326" s="285" t="n">
        <f aca="false">OperatingCurve!AJ351</f>
        <v>0</v>
      </c>
      <c r="T326" s="285" t="n">
        <f aca="false">OperatingCurve!AI351</f>
        <v>0</v>
      </c>
      <c r="U326" s="285" t="n">
        <f aca="false">OperatingCurve!AK351</f>
        <v>0</v>
      </c>
      <c r="W326" s="285" t="n">
        <f aca="false">OperatingCurve!AO351</f>
        <v>0</v>
      </c>
      <c r="X326" s="285" t="n">
        <f aca="false">OperatingCurve!AN351</f>
        <v>0</v>
      </c>
      <c r="Y326" s="285" t="n">
        <f aca="false">OperatingCurve!AP351</f>
        <v>0</v>
      </c>
      <c r="AA326" s="285" t="n">
        <f aca="false">OperatingCurve!AR351</f>
        <v>0</v>
      </c>
      <c r="AB326" s="285" t="n">
        <f aca="false">OperatingCurve!AQ351</f>
        <v>0</v>
      </c>
      <c r="AC326" s="285" t="n">
        <f aca="false">OperatingCurve!AS351</f>
        <v>0</v>
      </c>
      <c r="AE326" s="285" t="n">
        <f aca="false">OperatingCurve!AU351</f>
        <v>0</v>
      </c>
      <c r="AF326" s="285" t="n">
        <f aca="false">OperatingCurve!AT351</f>
        <v>0</v>
      </c>
      <c r="AG326" s="285" t="n">
        <f aca="false">OperatingCurve!AV351</f>
        <v>0</v>
      </c>
      <c r="AI326" s="285" t="n">
        <f aca="false">OperatingCurve!AX351</f>
        <v>0</v>
      </c>
      <c r="AJ326" s="285" t="n">
        <f aca="false">OperatingCurve!AW351</f>
        <v>0</v>
      </c>
      <c r="AK326" s="285" t="n">
        <f aca="false">OperatingCurve!AY351</f>
        <v>0</v>
      </c>
      <c r="AM326" s="286" t="n">
        <f aca="false">OperatingCurve!AL351</f>
        <v>0</v>
      </c>
      <c r="AN326" s="287" t="n">
        <f aca="false">OperatingCurve!AM351</f>
        <v>0</v>
      </c>
    </row>
  </sheetData>
  <mergeCells count="1">
    <mergeCell ref="AP6:BC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258"/>
  <sheetViews>
    <sheetView showFormulas="false" showGridLines="true" showRowColHeaders="true" showZeros="true" rightToLeft="false" tabSelected="false" showOutlineSymbols="true" defaultGridColor="true" view="normal" topLeftCell="A241" colorId="64" zoomScale="100" zoomScaleNormal="100" zoomScalePageLayoutView="100" workbookViewId="0">
      <selection pane="topLeft" activeCell="A6" activeCellId="0" sqref="A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62" width="9.14"/>
  </cols>
  <sheetData>
    <row r="1" customFormat="false" ht="12.75" hidden="false" customHeight="false" outlineLevel="0" collapsed="false">
      <c r="A1" s="278" t="s">
        <v>151</v>
      </c>
      <c r="B1" s="294" t="str">
        <f aca="false">EnergyCurve!fRegion</f>
        <v>R21</v>
      </c>
      <c r="C1" s="278" t="s">
        <v>152</v>
      </c>
      <c r="D1" s="294" t="n">
        <f aca="false">TopCurrDate</f>
        <v>36908</v>
      </c>
      <c r="E1" s="278"/>
    </row>
    <row r="2" customFormat="false" ht="12.75" hidden="false" customHeight="false" outlineLevel="0" collapsed="false">
      <c r="A2" s="295"/>
      <c r="B2" s="296"/>
      <c r="C2" s="275"/>
      <c r="D2" s="275"/>
      <c r="E2" s="275"/>
    </row>
    <row r="3" customFormat="false" ht="12.75" hidden="false" customHeight="false" outlineLevel="0" collapsed="false">
      <c r="A3" s="295"/>
      <c r="B3" s="296" t="str">
        <f aca="false">INDEX(RegionTable,MATCH(EnergyCurve!fRegion,RegionList,0),2)</f>
        <v>Alberta</v>
      </c>
      <c r="C3" s="296"/>
      <c r="D3" s="296"/>
      <c r="E3" s="296"/>
    </row>
    <row r="4" customFormat="false" ht="12.75" hidden="false" customHeight="false" outlineLevel="0" collapsed="false">
      <c r="A4" s="297"/>
      <c r="B4" s="298" t="s">
        <v>151</v>
      </c>
      <c r="C4" s="298"/>
      <c r="D4" s="298" t="s">
        <v>153</v>
      </c>
      <c r="E4" s="298"/>
    </row>
    <row r="5" customFormat="false" ht="12.75" hidden="false" customHeight="false" outlineLevel="0" collapsed="false">
      <c r="A5" s="299" t="s">
        <v>77</v>
      </c>
      <c r="B5" s="298" t="s">
        <v>51</v>
      </c>
      <c r="C5" s="298" t="s">
        <v>154</v>
      </c>
      <c r="D5" s="298" t="s">
        <v>51</v>
      </c>
      <c r="E5" s="298" t="s">
        <v>154</v>
      </c>
    </row>
    <row r="6" customFormat="false" ht="12.75" hidden="false" customHeight="false" outlineLevel="0" collapsed="false">
      <c r="A6" s="282" t="e">
        <f aca="false">#REF!</f>
        <v>#REF!</v>
      </c>
      <c r="B6" s="300" t="e">
        <f aca="false">#REF!</f>
        <v>#REF!</v>
      </c>
      <c r="C6" s="300" t="e">
        <f aca="false">#REF!</f>
        <v>#REF!</v>
      </c>
      <c r="D6" s="301" t="e">
        <f aca="false">#REF!</f>
        <v>#REF!</v>
      </c>
      <c r="E6" s="301" t="e">
        <f aca="false">#REF!</f>
        <v>#REF!</v>
      </c>
    </row>
    <row r="7" customFormat="false" ht="12.75" hidden="false" customHeight="false" outlineLevel="0" collapsed="false">
      <c r="A7" s="282" t="e">
        <f aca="false">#REF!</f>
        <v>#REF!</v>
      </c>
      <c r="B7" s="300" t="e">
        <f aca="false">#REF!</f>
        <v>#REF!</v>
      </c>
      <c r="C7" s="300" t="e">
        <f aca="false">#REF!</f>
        <v>#REF!</v>
      </c>
      <c r="D7" s="301" t="e">
        <f aca="false">#REF!</f>
        <v>#REF!</v>
      </c>
      <c r="E7" s="301" t="e">
        <f aca="false">#REF!</f>
        <v>#REF!</v>
      </c>
    </row>
    <row r="8" customFormat="false" ht="12.75" hidden="false" customHeight="false" outlineLevel="0" collapsed="false">
      <c r="A8" s="282" t="e">
        <f aca="false">#REF!</f>
        <v>#REF!</v>
      </c>
      <c r="B8" s="300" t="e">
        <f aca="false">#REF!</f>
        <v>#REF!</v>
      </c>
      <c r="C8" s="300" t="e">
        <f aca="false">#REF!</f>
        <v>#REF!</v>
      </c>
      <c r="D8" s="301" t="e">
        <f aca="false">#REF!</f>
        <v>#REF!</v>
      </c>
      <c r="E8" s="301" t="e">
        <f aca="false">#REF!</f>
        <v>#REF!</v>
      </c>
    </row>
    <row r="9" customFormat="false" ht="12.75" hidden="false" customHeight="false" outlineLevel="0" collapsed="false">
      <c r="A9" s="282" t="e">
        <f aca="false">#REF!</f>
        <v>#REF!</v>
      </c>
      <c r="B9" s="300" t="e">
        <f aca="false">#REF!</f>
        <v>#REF!</v>
      </c>
      <c r="C9" s="300" t="e">
        <f aca="false">#REF!</f>
        <v>#REF!</v>
      </c>
      <c r="D9" s="301" t="e">
        <f aca="false">#REF!</f>
        <v>#REF!</v>
      </c>
      <c r="E9" s="301" t="e">
        <f aca="false">#REF!</f>
        <v>#REF!</v>
      </c>
    </row>
    <row r="10" customFormat="false" ht="12.75" hidden="false" customHeight="false" outlineLevel="0" collapsed="false">
      <c r="A10" s="282" t="e">
        <f aca="false">#REF!</f>
        <v>#REF!</v>
      </c>
      <c r="B10" s="300" t="e">
        <f aca="false">#REF!</f>
        <v>#REF!</v>
      </c>
      <c r="C10" s="300" t="e">
        <f aca="false">#REF!</f>
        <v>#REF!</v>
      </c>
      <c r="D10" s="301" t="e">
        <f aca="false">#REF!</f>
        <v>#REF!</v>
      </c>
      <c r="E10" s="301" t="e">
        <f aca="false">#REF!</f>
        <v>#REF!</v>
      </c>
    </row>
    <row r="11" customFormat="false" ht="12.75" hidden="false" customHeight="false" outlineLevel="0" collapsed="false">
      <c r="A11" s="282" t="e">
        <f aca="false">#REF!</f>
        <v>#REF!</v>
      </c>
      <c r="B11" s="300" t="e">
        <f aca="false">#REF!</f>
        <v>#REF!</v>
      </c>
      <c r="C11" s="300" t="e">
        <f aca="false">#REF!</f>
        <v>#REF!</v>
      </c>
      <c r="D11" s="301" t="e">
        <f aca="false">#REF!</f>
        <v>#REF!</v>
      </c>
      <c r="E11" s="301" t="e">
        <f aca="false">#REF!</f>
        <v>#REF!</v>
      </c>
    </row>
    <row r="12" customFormat="false" ht="12.75" hidden="false" customHeight="false" outlineLevel="0" collapsed="false">
      <c r="A12" s="282" t="e">
        <f aca="false">#REF!</f>
        <v>#REF!</v>
      </c>
      <c r="B12" s="300" t="e">
        <f aca="false">#REF!</f>
        <v>#REF!</v>
      </c>
      <c r="C12" s="300" t="e">
        <f aca="false">#REF!</f>
        <v>#REF!</v>
      </c>
      <c r="D12" s="301" t="e">
        <f aca="false">#REF!</f>
        <v>#REF!</v>
      </c>
      <c r="E12" s="301" t="e">
        <f aca="false">#REF!</f>
        <v>#REF!</v>
      </c>
    </row>
    <row r="13" customFormat="false" ht="12.75" hidden="false" customHeight="false" outlineLevel="0" collapsed="false">
      <c r="A13" s="282" t="e">
        <f aca="false">#REF!</f>
        <v>#REF!</v>
      </c>
      <c r="B13" s="300" t="e">
        <f aca="false">#REF!</f>
        <v>#REF!</v>
      </c>
      <c r="C13" s="300" t="e">
        <f aca="false">#REF!</f>
        <v>#REF!</v>
      </c>
      <c r="D13" s="301" t="e">
        <f aca="false">#REF!</f>
        <v>#REF!</v>
      </c>
      <c r="E13" s="301" t="e">
        <f aca="false">#REF!</f>
        <v>#REF!</v>
      </c>
    </row>
    <row r="14" customFormat="false" ht="12.75" hidden="false" customHeight="false" outlineLevel="0" collapsed="false">
      <c r="A14" s="282" t="e">
        <f aca="false">#REF!</f>
        <v>#REF!</v>
      </c>
      <c r="B14" s="300" t="e">
        <f aca="false">#REF!</f>
        <v>#REF!</v>
      </c>
      <c r="C14" s="300" t="e">
        <f aca="false">#REF!</f>
        <v>#REF!</v>
      </c>
      <c r="D14" s="301" t="e">
        <f aca="false">#REF!</f>
        <v>#REF!</v>
      </c>
      <c r="E14" s="301" t="e">
        <f aca="false">#REF!</f>
        <v>#REF!</v>
      </c>
    </row>
    <row r="15" customFormat="false" ht="12.75" hidden="false" customHeight="false" outlineLevel="0" collapsed="false">
      <c r="A15" s="282" t="e">
        <f aca="false">#REF!</f>
        <v>#REF!</v>
      </c>
      <c r="B15" s="300" t="e">
        <f aca="false">#REF!</f>
        <v>#REF!</v>
      </c>
      <c r="C15" s="300" t="e">
        <f aca="false">#REF!</f>
        <v>#REF!</v>
      </c>
      <c r="D15" s="301" t="e">
        <f aca="false">#REF!</f>
        <v>#REF!</v>
      </c>
      <c r="E15" s="301" t="e">
        <f aca="false">#REF!</f>
        <v>#REF!</v>
      </c>
    </row>
    <row r="16" customFormat="false" ht="12.75" hidden="false" customHeight="false" outlineLevel="0" collapsed="false">
      <c r="A16" s="282" t="e">
        <f aca="false">#REF!</f>
        <v>#REF!</v>
      </c>
      <c r="B16" s="300" t="e">
        <f aca="false">#REF!</f>
        <v>#REF!</v>
      </c>
      <c r="C16" s="300" t="e">
        <f aca="false">#REF!</f>
        <v>#REF!</v>
      </c>
      <c r="D16" s="301" t="e">
        <f aca="false">#REF!</f>
        <v>#REF!</v>
      </c>
      <c r="E16" s="301" t="e">
        <f aca="false">#REF!</f>
        <v>#REF!</v>
      </c>
    </row>
    <row r="17" customFormat="false" ht="12.75" hidden="false" customHeight="false" outlineLevel="0" collapsed="false">
      <c r="A17" s="282" t="e">
        <f aca="false">#REF!</f>
        <v>#REF!</v>
      </c>
      <c r="B17" s="300" t="e">
        <f aca="false">#REF!</f>
        <v>#REF!</v>
      </c>
      <c r="C17" s="300" t="e">
        <f aca="false">#REF!</f>
        <v>#REF!</v>
      </c>
      <c r="D17" s="301" t="e">
        <f aca="false">#REF!</f>
        <v>#REF!</v>
      </c>
      <c r="E17" s="301" t="e">
        <f aca="false">#REF!</f>
        <v>#REF!</v>
      </c>
    </row>
    <row r="18" customFormat="false" ht="12.75" hidden="false" customHeight="false" outlineLevel="0" collapsed="false">
      <c r="A18" s="282" t="e">
        <f aca="false">#REF!</f>
        <v>#REF!</v>
      </c>
      <c r="B18" s="300" t="e">
        <f aca="false">#REF!</f>
        <v>#REF!</v>
      </c>
      <c r="C18" s="300" t="e">
        <f aca="false">#REF!</f>
        <v>#REF!</v>
      </c>
      <c r="D18" s="301" t="e">
        <f aca="false">#REF!</f>
        <v>#REF!</v>
      </c>
      <c r="E18" s="301" t="e">
        <f aca="false">#REF!</f>
        <v>#REF!</v>
      </c>
    </row>
    <row r="19" customFormat="false" ht="12.75" hidden="false" customHeight="false" outlineLevel="0" collapsed="false">
      <c r="A19" s="282" t="e">
        <f aca="false">#REF!</f>
        <v>#REF!</v>
      </c>
      <c r="B19" s="300" t="e">
        <f aca="false">#REF!</f>
        <v>#REF!</v>
      </c>
      <c r="C19" s="300" t="e">
        <f aca="false">#REF!</f>
        <v>#REF!</v>
      </c>
      <c r="D19" s="301" t="e">
        <f aca="false">#REF!</f>
        <v>#REF!</v>
      </c>
      <c r="E19" s="301" t="e">
        <f aca="false">#REF!</f>
        <v>#REF!</v>
      </c>
    </row>
    <row r="20" customFormat="false" ht="12.75" hidden="false" customHeight="false" outlineLevel="0" collapsed="false">
      <c r="A20" s="282" t="e">
        <f aca="false">#REF!</f>
        <v>#REF!</v>
      </c>
      <c r="B20" s="300" t="e">
        <f aca="false">#REF!</f>
        <v>#REF!</v>
      </c>
      <c r="C20" s="300" t="e">
        <f aca="false">#REF!</f>
        <v>#REF!</v>
      </c>
      <c r="D20" s="301" t="e">
        <f aca="false">#REF!</f>
        <v>#REF!</v>
      </c>
      <c r="E20" s="301" t="e">
        <f aca="false">#REF!</f>
        <v>#REF!</v>
      </c>
    </row>
    <row r="21" customFormat="false" ht="12.75" hidden="false" customHeight="false" outlineLevel="0" collapsed="false">
      <c r="A21" s="282" t="e">
        <f aca="false">#REF!</f>
        <v>#REF!</v>
      </c>
      <c r="B21" s="300" t="e">
        <f aca="false">#REF!</f>
        <v>#REF!</v>
      </c>
      <c r="C21" s="300" t="e">
        <f aca="false">#REF!</f>
        <v>#REF!</v>
      </c>
      <c r="D21" s="301" t="e">
        <f aca="false">#REF!</f>
        <v>#REF!</v>
      </c>
      <c r="E21" s="301" t="e">
        <f aca="false">#REF!</f>
        <v>#REF!</v>
      </c>
    </row>
    <row r="22" customFormat="false" ht="12.75" hidden="false" customHeight="false" outlineLevel="0" collapsed="false">
      <c r="A22" s="282" t="e">
        <f aca="false">#REF!</f>
        <v>#REF!</v>
      </c>
      <c r="B22" s="300" t="e">
        <f aca="false">#REF!</f>
        <v>#REF!</v>
      </c>
      <c r="C22" s="300" t="e">
        <f aca="false">#REF!</f>
        <v>#REF!</v>
      </c>
      <c r="D22" s="301" t="e">
        <f aca="false">#REF!</f>
        <v>#REF!</v>
      </c>
      <c r="E22" s="301" t="e">
        <f aca="false">#REF!</f>
        <v>#REF!</v>
      </c>
    </row>
    <row r="23" customFormat="false" ht="12.75" hidden="false" customHeight="false" outlineLevel="0" collapsed="false">
      <c r="A23" s="282" t="e">
        <f aca="false">#REF!</f>
        <v>#REF!</v>
      </c>
      <c r="B23" s="300" t="e">
        <f aca="false">#REF!</f>
        <v>#REF!</v>
      </c>
      <c r="C23" s="300" t="e">
        <f aca="false">#REF!</f>
        <v>#REF!</v>
      </c>
      <c r="D23" s="301" t="e">
        <f aca="false">#REF!</f>
        <v>#REF!</v>
      </c>
      <c r="E23" s="301" t="e">
        <f aca="false">#REF!</f>
        <v>#REF!</v>
      </c>
    </row>
    <row r="24" customFormat="false" ht="12.75" hidden="false" customHeight="false" outlineLevel="0" collapsed="false">
      <c r="A24" s="282" t="e">
        <f aca="false">#REF!</f>
        <v>#REF!</v>
      </c>
      <c r="B24" s="300" t="e">
        <f aca="false">#REF!</f>
        <v>#REF!</v>
      </c>
      <c r="C24" s="300" t="e">
        <f aca="false">#REF!</f>
        <v>#REF!</v>
      </c>
      <c r="D24" s="301" t="e">
        <f aca="false">#REF!</f>
        <v>#REF!</v>
      </c>
      <c r="E24" s="301" t="e">
        <f aca="false">#REF!</f>
        <v>#REF!</v>
      </c>
    </row>
    <row r="25" customFormat="false" ht="12.75" hidden="false" customHeight="false" outlineLevel="0" collapsed="false">
      <c r="A25" s="282" t="e">
        <f aca="false">#REF!</f>
        <v>#REF!</v>
      </c>
      <c r="B25" s="300" t="e">
        <f aca="false">#REF!</f>
        <v>#REF!</v>
      </c>
      <c r="C25" s="300" t="e">
        <f aca="false">#REF!</f>
        <v>#REF!</v>
      </c>
      <c r="D25" s="301" t="e">
        <f aca="false">#REF!</f>
        <v>#REF!</v>
      </c>
      <c r="E25" s="301" t="e">
        <f aca="false">#REF!</f>
        <v>#REF!</v>
      </c>
    </row>
    <row r="26" customFormat="false" ht="12.75" hidden="false" customHeight="false" outlineLevel="0" collapsed="false">
      <c r="A26" s="282" t="e">
        <f aca="false">#REF!</f>
        <v>#REF!</v>
      </c>
      <c r="B26" s="300" t="e">
        <f aca="false">#REF!</f>
        <v>#REF!</v>
      </c>
      <c r="C26" s="300" t="e">
        <f aca="false">#REF!</f>
        <v>#REF!</v>
      </c>
      <c r="D26" s="301" t="e">
        <f aca="false">#REF!</f>
        <v>#REF!</v>
      </c>
      <c r="E26" s="301" t="e">
        <f aca="false">#REF!</f>
        <v>#REF!</v>
      </c>
    </row>
    <row r="27" customFormat="false" ht="12.75" hidden="false" customHeight="false" outlineLevel="0" collapsed="false">
      <c r="A27" s="282" t="e">
        <f aca="false">#REF!</f>
        <v>#REF!</v>
      </c>
      <c r="B27" s="300" t="e">
        <f aca="false">#REF!</f>
        <v>#REF!</v>
      </c>
      <c r="C27" s="300" t="e">
        <f aca="false">#REF!</f>
        <v>#REF!</v>
      </c>
      <c r="D27" s="301" t="e">
        <f aca="false">#REF!</f>
        <v>#REF!</v>
      </c>
      <c r="E27" s="301" t="e">
        <f aca="false">#REF!</f>
        <v>#REF!</v>
      </c>
    </row>
    <row r="28" customFormat="false" ht="12.75" hidden="false" customHeight="false" outlineLevel="0" collapsed="false">
      <c r="A28" s="282" t="e">
        <f aca="false">#REF!</f>
        <v>#REF!</v>
      </c>
      <c r="B28" s="300" t="e">
        <f aca="false">#REF!</f>
        <v>#REF!</v>
      </c>
      <c r="C28" s="300" t="e">
        <f aca="false">#REF!</f>
        <v>#REF!</v>
      </c>
      <c r="D28" s="301" t="e">
        <f aca="false">#REF!</f>
        <v>#REF!</v>
      </c>
      <c r="E28" s="301" t="e">
        <f aca="false">#REF!</f>
        <v>#REF!</v>
      </c>
    </row>
    <row r="29" customFormat="false" ht="12.75" hidden="false" customHeight="false" outlineLevel="0" collapsed="false">
      <c r="A29" s="282" t="e">
        <f aca="false">#REF!</f>
        <v>#REF!</v>
      </c>
      <c r="B29" s="300" t="e">
        <f aca="false">#REF!</f>
        <v>#REF!</v>
      </c>
      <c r="C29" s="300" t="e">
        <f aca="false">#REF!</f>
        <v>#REF!</v>
      </c>
      <c r="D29" s="301" t="e">
        <f aca="false">#REF!</f>
        <v>#REF!</v>
      </c>
      <c r="E29" s="301" t="e">
        <f aca="false">#REF!</f>
        <v>#REF!</v>
      </c>
    </row>
    <row r="30" customFormat="false" ht="12.75" hidden="false" customHeight="false" outlineLevel="0" collapsed="false">
      <c r="A30" s="282" t="e">
        <f aca="false">#REF!</f>
        <v>#REF!</v>
      </c>
      <c r="B30" s="300" t="e">
        <f aca="false">#REF!</f>
        <v>#REF!</v>
      </c>
      <c r="C30" s="300" t="e">
        <f aca="false">#REF!</f>
        <v>#REF!</v>
      </c>
      <c r="D30" s="301" t="e">
        <f aca="false">#REF!</f>
        <v>#REF!</v>
      </c>
      <c r="E30" s="301" t="e">
        <f aca="false">#REF!</f>
        <v>#REF!</v>
      </c>
    </row>
    <row r="31" customFormat="false" ht="12.75" hidden="false" customHeight="false" outlineLevel="0" collapsed="false">
      <c r="A31" s="282" t="e">
        <f aca="false">#REF!</f>
        <v>#REF!</v>
      </c>
      <c r="B31" s="300" t="e">
        <f aca="false">#REF!</f>
        <v>#REF!</v>
      </c>
      <c r="C31" s="300" t="e">
        <f aca="false">#REF!</f>
        <v>#REF!</v>
      </c>
      <c r="D31" s="301" t="e">
        <f aca="false">#REF!</f>
        <v>#REF!</v>
      </c>
      <c r="E31" s="301" t="e">
        <f aca="false">#REF!</f>
        <v>#REF!</v>
      </c>
    </row>
    <row r="32" customFormat="false" ht="12.75" hidden="false" customHeight="false" outlineLevel="0" collapsed="false">
      <c r="A32" s="282" t="e">
        <f aca="false">#REF!</f>
        <v>#REF!</v>
      </c>
      <c r="B32" s="300" t="e">
        <f aca="false">#REF!</f>
        <v>#REF!</v>
      </c>
      <c r="C32" s="300" t="e">
        <f aca="false">#REF!</f>
        <v>#REF!</v>
      </c>
      <c r="D32" s="301" t="e">
        <f aca="false">#REF!</f>
        <v>#REF!</v>
      </c>
      <c r="E32" s="301" t="e">
        <f aca="false">#REF!</f>
        <v>#REF!</v>
      </c>
    </row>
    <row r="33" customFormat="false" ht="12.75" hidden="false" customHeight="false" outlineLevel="0" collapsed="false">
      <c r="A33" s="282" t="e">
        <f aca="false">#REF!</f>
        <v>#REF!</v>
      </c>
      <c r="B33" s="300" t="e">
        <f aca="false">#REF!</f>
        <v>#REF!</v>
      </c>
      <c r="C33" s="300" t="e">
        <f aca="false">#REF!</f>
        <v>#REF!</v>
      </c>
      <c r="D33" s="301" t="e">
        <f aca="false">#REF!</f>
        <v>#REF!</v>
      </c>
      <c r="E33" s="301" t="e">
        <f aca="false">#REF!</f>
        <v>#REF!</v>
      </c>
    </row>
    <row r="34" customFormat="false" ht="12.75" hidden="false" customHeight="false" outlineLevel="0" collapsed="false">
      <c r="A34" s="282" t="e">
        <f aca="false">#REF!</f>
        <v>#REF!</v>
      </c>
      <c r="B34" s="300" t="e">
        <f aca="false">#REF!</f>
        <v>#REF!</v>
      </c>
      <c r="C34" s="300" t="e">
        <f aca="false">#REF!</f>
        <v>#REF!</v>
      </c>
      <c r="D34" s="301" t="e">
        <f aca="false">#REF!</f>
        <v>#REF!</v>
      </c>
      <c r="E34" s="301" t="e">
        <f aca="false">#REF!</f>
        <v>#REF!</v>
      </c>
    </row>
    <row r="35" customFormat="false" ht="12.75" hidden="false" customHeight="false" outlineLevel="0" collapsed="false">
      <c r="A35" s="282" t="e">
        <f aca="false">#REF!</f>
        <v>#REF!</v>
      </c>
      <c r="B35" s="300" t="e">
        <f aca="false">#REF!</f>
        <v>#REF!</v>
      </c>
      <c r="C35" s="300" t="e">
        <f aca="false">#REF!</f>
        <v>#REF!</v>
      </c>
      <c r="D35" s="301" t="e">
        <f aca="false">#REF!</f>
        <v>#REF!</v>
      </c>
      <c r="E35" s="301" t="e">
        <f aca="false">#REF!</f>
        <v>#REF!</v>
      </c>
    </row>
    <row r="36" customFormat="false" ht="12.75" hidden="false" customHeight="false" outlineLevel="0" collapsed="false">
      <c r="A36" s="282" t="e">
        <f aca="false">#REF!</f>
        <v>#REF!</v>
      </c>
      <c r="B36" s="300" t="e">
        <f aca="false">#REF!</f>
        <v>#REF!</v>
      </c>
      <c r="C36" s="300" t="e">
        <f aca="false">#REF!</f>
        <v>#REF!</v>
      </c>
      <c r="D36" s="301" t="e">
        <f aca="false">#REF!</f>
        <v>#REF!</v>
      </c>
      <c r="E36" s="301" t="e">
        <f aca="false">#REF!</f>
        <v>#REF!</v>
      </c>
    </row>
    <row r="37" customFormat="false" ht="12.75" hidden="false" customHeight="false" outlineLevel="0" collapsed="false">
      <c r="A37" s="282" t="e">
        <f aca="false">#REF!</f>
        <v>#REF!</v>
      </c>
      <c r="B37" s="300" t="e">
        <f aca="false">#REF!</f>
        <v>#REF!</v>
      </c>
      <c r="C37" s="300" t="e">
        <f aca="false">#REF!</f>
        <v>#REF!</v>
      </c>
      <c r="D37" s="301" t="e">
        <f aca="false">#REF!</f>
        <v>#REF!</v>
      </c>
      <c r="E37" s="301" t="e">
        <f aca="false">#REF!</f>
        <v>#REF!</v>
      </c>
    </row>
    <row r="38" customFormat="false" ht="12.75" hidden="false" customHeight="false" outlineLevel="0" collapsed="false">
      <c r="A38" s="282" t="e">
        <f aca="false">#REF!</f>
        <v>#REF!</v>
      </c>
      <c r="B38" s="300" t="e">
        <f aca="false">#REF!</f>
        <v>#REF!</v>
      </c>
      <c r="C38" s="300" t="e">
        <f aca="false">#REF!</f>
        <v>#REF!</v>
      </c>
      <c r="D38" s="301" t="e">
        <f aca="false">#REF!</f>
        <v>#REF!</v>
      </c>
      <c r="E38" s="301" t="e">
        <f aca="false">#REF!</f>
        <v>#REF!</v>
      </c>
    </row>
    <row r="39" customFormat="false" ht="12.75" hidden="false" customHeight="false" outlineLevel="0" collapsed="false">
      <c r="A39" s="282" t="e">
        <f aca="false">#REF!</f>
        <v>#REF!</v>
      </c>
      <c r="B39" s="300" t="e">
        <f aca="false">#REF!</f>
        <v>#REF!</v>
      </c>
      <c r="C39" s="300" t="e">
        <f aca="false">#REF!</f>
        <v>#REF!</v>
      </c>
      <c r="D39" s="301" t="e">
        <f aca="false">#REF!</f>
        <v>#REF!</v>
      </c>
      <c r="E39" s="301" t="e">
        <f aca="false">#REF!</f>
        <v>#REF!</v>
      </c>
    </row>
    <row r="40" customFormat="false" ht="12.75" hidden="false" customHeight="false" outlineLevel="0" collapsed="false">
      <c r="A40" s="282" t="e">
        <f aca="false">#REF!</f>
        <v>#REF!</v>
      </c>
      <c r="B40" s="300" t="e">
        <f aca="false">#REF!</f>
        <v>#REF!</v>
      </c>
      <c r="C40" s="300" t="e">
        <f aca="false">#REF!</f>
        <v>#REF!</v>
      </c>
      <c r="D40" s="301" t="e">
        <f aca="false">#REF!</f>
        <v>#REF!</v>
      </c>
      <c r="E40" s="301" t="e">
        <f aca="false">#REF!</f>
        <v>#REF!</v>
      </c>
    </row>
    <row r="41" customFormat="false" ht="12.75" hidden="false" customHeight="false" outlineLevel="0" collapsed="false">
      <c r="A41" s="282" t="e">
        <f aca="false">#REF!</f>
        <v>#REF!</v>
      </c>
      <c r="B41" s="300" t="e">
        <f aca="false">#REF!</f>
        <v>#REF!</v>
      </c>
      <c r="C41" s="300" t="e">
        <f aca="false">#REF!</f>
        <v>#REF!</v>
      </c>
      <c r="D41" s="301" t="e">
        <f aca="false">#REF!</f>
        <v>#REF!</v>
      </c>
      <c r="E41" s="301" t="e">
        <f aca="false">#REF!</f>
        <v>#REF!</v>
      </c>
    </row>
    <row r="42" customFormat="false" ht="12.75" hidden="false" customHeight="false" outlineLevel="0" collapsed="false">
      <c r="A42" s="282" t="e">
        <f aca="false">#REF!</f>
        <v>#REF!</v>
      </c>
      <c r="B42" s="300" t="e">
        <f aca="false">#REF!</f>
        <v>#REF!</v>
      </c>
      <c r="C42" s="300" t="e">
        <f aca="false">#REF!</f>
        <v>#REF!</v>
      </c>
      <c r="D42" s="301" t="e">
        <f aca="false">#REF!</f>
        <v>#REF!</v>
      </c>
      <c r="E42" s="301" t="e">
        <f aca="false">#REF!</f>
        <v>#REF!</v>
      </c>
    </row>
    <row r="43" customFormat="false" ht="12.75" hidden="false" customHeight="false" outlineLevel="0" collapsed="false">
      <c r="A43" s="282" t="e">
        <f aca="false">#REF!</f>
        <v>#REF!</v>
      </c>
      <c r="B43" s="300" t="e">
        <f aca="false">#REF!</f>
        <v>#REF!</v>
      </c>
      <c r="C43" s="300" t="e">
        <f aca="false">#REF!</f>
        <v>#REF!</v>
      </c>
      <c r="D43" s="301" t="e">
        <f aca="false">#REF!</f>
        <v>#REF!</v>
      </c>
      <c r="E43" s="301" t="e">
        <f aca="false">#REF!</f>
        <v>#REF!</v>
      </c>
    </row>
    <row r="44" customFormat="false" ht="12.75" hidden="false" customHeight="false" outlineLevel="0" collapsed="false">
      <c r="A44" s="282" t="e">
        <f aca="false">#REF!</f>
        <v>#REF!</v>
      </c>
      <c r="B44" s="300" t="e">
        <f aca="false">#REF!</f>
        <v>#REF!</v>
      </c>
      <c r="C44" s="300" t="e">
        <f aca="false">#REF!</f>
        <v>#REF!</v>
      </c>
      <c r="D44" s="301" t="e">
        <f aca="false">#REF!</f>
        <v>#REF!</v>
      </c>
      <c r="E44" s="301" t="e">
        <f aca="false">#REF!</f>
        <v>#REF!</v>
      </c>
    </row>
    <row r="45" customFormat="false" ht="12.75" hidden="false" customHeight="false" outlineLevel="0" collapsed="false">
      <c r="A45" s="282" t="e">
        <f aca="false">#REF!</f>
        <v>#REF!</v>
      </c>
      <c r="B45" s="300" t="e">
        <f aca="false">#REF!</f>
        <v>#REF!</v>
      </c>
      <c r="C45" s="300" t="e">
        <f aca="false">#REF!</f>
        <v>#REF!</v>
      </c>
      <c r="D45" s="301" t="e">
        <f aca="false">#REF!</f>
        <v>#REF!</v>
      </c>
      <c r="E45" s="301" t="e">
        <f aca="false">#REF!</f>
        <v>#REF!</v>
      </c>
    </row>
    <row r="46" customFormat="false" ht="12.75" hidden="false" customHeight="false" outlineLevel="0" collapsed="false">
      <c r="A46" s="282" t="e">
        <f aca="false">#REF!</f>
        <v>#REF!</v>
      </c>
      <c r="B46" s="300" t="e">
        <f aca="false">#REF!</f>
        <v>#REF!</v>
      </c>
      <c r="C46" s="300" t="e">
        <f aca="false">#REF!</f>
        <v>#REF!</v>
      </c>
      <c r="D46" s="301" t="e">
        <f aca="false">#REF!</f>
        <v>#REF!</v>
      </c>
      <c r="E46" s="301" t="e">
        <f aca="false">#REF!</f>
        <v>#REF!</v>
      </c>
    </row>
    <row r="47" customFormat="false" ht="12.75" hidden="false" customHeight="false" outlineLevel="0" collapsed="false">
      <c r="A47" s="282" t="e">
        <f aca="false">#REF!</f>
        <v>#REF!</v>
      </c>
      <c r="B47" s="300" t="e">
        <f aca="false">#REF!</f>
        <v>#REF!</v>
      </c>
      <c r="C47" s="300" t="e">
        <f aca="false">#REF!</f>
        <v>#REF!</v>
      </c>
      <c r="D47" s="301" t="e">
        <f aca="false">#REF!</f>
        <v>#REF!</v>
      </c>
      <c r="E47" s="301" t="e">
        <f aca="false">#REF!</f>
        <v>#REF!</v>
      </c>
    </row>
    <row r="48" customFormat="false" ht="12.75" hidden="false" customHeight="false" outlineLevel="0" collapsed="false">
      <c r="A48" s="282" t="e">
        <f aca="false">#REF!</f>
        <v>#REF!</v>
      </c>
      <c r="B48" s="300" t="e">
        <f aca="false">#REF!</f>
        <v>#REF!</v>
      </c>
      <c r="C48" s="300" t="e">
        <f aca="false">#REF!</f>
        <v>#REF!</v>
      </c>
      <c r="D48" s="301" t="e">
        <f aca="false">#REF!</f>
        <v>#REF!</v>
      </c>
      <c r="E48" s="301" t="e">
        <f aca="false">#REF!</f>
        <v>#REF!</v>
      </c>
    </row>
    <row r="49" customFormat="false" ht="12.75" hidden="false" customHeight="false" outlineLevel="0" collapsed="false">
      <c r="A49" s="282" t="e">
        <f aca="false">#REF!</f>
        <v>#REF!</v>
      </c>
      <c r="B49" s="300" t="e">
        <f aca="false">#REF!</f>
        <v>#REF!</v>
      </c>
      <c r="C49" s="300" t="e">
        <f aca="false">#REF!</f>
        <v>#REF!</v>
      </c>
      <c r="D49" s="301" t="e">
        <f aca="false">#REF!</f>
        <v>#REF!</v>
      </c>
      <c r="E49" s="301" t="e">
        <f aca="false">#REF!</f>
        <v>#REF!</v>
      </c>
    </row>
    <row r="50" customFormat="false" ht="12.75" hidden="false" customHeight="false" outlineLevel="0" collapsed="false">
      <c r="A50" s="282" t="e">
        <f aca="false">#REF!</f>
        <v>#REF!</v>
      </c>
      <c r="B50" s="300" t="e">
        <f aca="false">#REF!</f>
        <v>#REF!</v>
      </c>
      <c r="C50" s="300" t="e">
        <f aca="false">#REF!</f>
        <v>#REF!</v>
      </c>
      <c r="D50" s="301" t="e">
        <f aca="false">#REF!</f>
        <v>#REF!</v>
      </c>
      <c r="E50" s="301" t="e">
        <f aca="false">#REF!</f>
        <v>#REF!</v>
      </c>
    </row>
    <row r="51" customFormat="false" ht="12.75" hidden="false" customHeight="false" outlineLevel="0" collapsed="false">
      <c r="A51" s="282" t="e">
        <f aca="false">#REF!</f>
        <v>#REF!</v>
      </c>
      <c r="B51" s="300" t="e">
        <f aca="false">#REF!</f>
        <v>#REF!</v>
      </c>
      <c r="C51" s="300" t="e">
        <f aca="false">#REF!</f>
        <v>#REF!</v>
      </c>
      <c r="D51" s="301" t="e">
        <f aca="false">#REF!</f>
        <v>#REF!</v>
      </c>
      <c r="E51" s="301" t="e">
        <f aca="false">#REF!</f>
        <v>#REF!</v>
      </c>
    </row>
    <row r="52" customFormat="false" ht="12.75" hidden="false" customHeight="false" outlineLevel="0" collapsed="false">
      <c r="A52" s="282" t="e">
        <f aca="false">#REF!</f>
        <v>#REF!</v>
      </c>
      <c r="B52" s="300" t="e">
        <f aca="false">#REF!</f>
        <v>#REF!</v>
      </c>
      <c r="C52" s="300" t="e">
        <f aca="false">#REF!</f>
        <v>#REF!</v>
      </c>
      <c r="D52" s="301" t="e">
        <f aca="false">#REF!</f>
        <v>#REF!</v>
      </c>
      <c r="E52" s="301" t="e">
        <f aca="false">#REF!</f>
        <v>#REF!</v>
      </c>
    </row>
    <row r="53" customFormat="false" ht="12.75" hidden="false" customHeight="false" outlineLevel="0" collapsed="false">
      <c r="A53" s="282" t="e">
        <f aca="false">#REF!</f>
        <v>#REF!</v>
      </c>
      <c r="B53" s="300" t="e">
        <f aca="false">#REF!</f>
        <v>#REF!</v>
      </c>
      <c r="C53" s="300" t="e">
        <f aca="false">#REF!</f>
        <v>#REF!</v>
      </c>
      <c r="D53" s="301" t="e">
        <f aca="false">#REF!</f>
        <v>#REF!</v>
      </c>
      <c r="E53" s="301" t="e">
        <f aca="false">#REF!</f>
        <v>#REF!</v>
      </c>
    </row>
    <row r="54" customFormat="false" ht="12.75" hidden="false" customHeight="false" outlineLevel="0" collapsed="false">
      <c r="A54" s="282" t="e">
        <f aca="false">#REF!</f>
        <v>#REF!</v>
      </c>
      <c r="B54" s="300" t="e">
        <f aca="false">#REF!</f>
        <v>#REF!</v>
      </c>
      <c r="C54" s="300" t="e">
        <f aca="false">#REF!</f>
        <v>#REF!</v>
      </c>
      <c r="D54" s="301" t="e">
        <f aca="false">#REF!</f>
        <v>#REF!</v>
      </c>
      <c r="E54" s="301" t="e">
        <f aca="false">#REF!</f>
        <v>#REF!</v>
      </c>
    </row>
    <row r="55" customFormat="false" ht="12.75" hidden="false" customHeight="false" outlineLevel="0" collapsed="false">
      <c r="A55" s="282" t="e">
        <f aca="false">#REF!</f>
        <v>#REF!</v>
      </c>
      <c r="B55" s="300" t="e">
        <f aca="false">#REF!</f>
        <v>#REF!</v>
      </c>
      <c r="C55" s="300" t="e">
        <f aca="false">#REF!</f>
        <v>#REF!</v>
      </c>
      <c r="D55" s="301" t="e">
        <f aca="false">#REF!</f>
        <v>#REF!</v>
      </c>
      <c r="E55" s="301" t="e">
        <f aca="false">#REF!</f>
        <v>#REF!</v>
      </c>
    </row>
    <row r="56" customFormat="false" ht="12.75" hidden="false" customHeight="false" outlineLevel="0" collapsed="false">
      <c r="A56" s="282" t="e">
        <f aca="false">#REF!</f>
        <v>#REF!</v>
      </c>
      <c r="B56" s="300" t="e">
        <f aca="false">#REF!</f>
        <v>#REF!</v>
      </c>
      <c r="C56" s="300" t="e">
        <f aca="false">#REF!</f>
        <v>#REF!</v>
      </c>
      <c r="D56" s="301" t="e">
        <f aca="false">#REF!</f>
        <v>#REF!</v>
      </c>
      <c r="E56" s="301" t="e">
        <f aca="false">#REF!</f>
        <v>#REF!</v>
      </c>
    </row>
    <row r="57" customFormat="false" ht="12.75" hidden="false" customHeight="false" outlineLevel="0" collapsed="false">
      <c r="A57" s="282" t="e">
        <f aca="false">#REF!</f>
        <v>#REF!</v>
      </c>
      <c r="B57" s="300" t="e">
        <f aca="false">#REF!</f>
        <v>#REF!</v>
      </c>
      <c r="C57" s="300" t="e">
        <f aca="false">#REF!</f>
        <v>#REF!</v>
      </c>
      <c r="D57" s="301" t="e">
        <f aca="false">#REF!</f>
        <v>#REF!</v>
      </c>
      <c r="E57" s="301" t="e">
        <f aca="false">#REF!</f>
        <v>#REF!</v>
      </c>
    </row>
    <row r="58" customFormat="false" ht="12.75" hidden="false" customHeight="false" outlineLevel="0" collapsed="false">
      <c r="A58" s="282" t="e">
        <f aca="false">#REF!</f>
        <v>#REF!</v>
      </c>
      <c r="B58" s="300" t="e">
        <f aca="false">#REF!</f>
        <v>#REF!</v>
      </c>
      <c r="C58" s="300" t="e">
        <f aca="false">#REF!</f>
        <v>#REF!</v>
      </c>
      <c r="D58" s="301" t="e">
        <f aca="false">#REF!</f>
        <v>#REF!</v>
      </c>
      <c r="E58" s="301" t="e">
        <f aca="false">#REF!</f>
        <v>#REF!</v>
      </c>
    </row>
    <row r="59" customFormat="false" ht="12.75" hidden="false" customHeight="false" outlineLevel="0" collapsed="false">
      <c r="A59" s="282" t="e">
        <f aca="false">#REF!</f>
        <v>#REF!</v>
      </c>
      <c r="B59" s="300" t="e">
        <f aca="false">#REF!</f>
        <v>#REF!</v>
      </c>
      <c r="C59" s="300" t="e">
        <f aca="false">#REF!</f>
        <v>#REF!</v>
      </c>
      <c r="D59" s="301" t="e">
        <f aca="false">#REF!</f>
        <v>#REF!</v>
      </c>
      <c r="E59" s="301" t="e">
        <f aca="false">#REF!</f>
        <v>#REF!</v>
      </c>
    </row>
    <row r="60" customFormat="false" ht="12.75" hidden="false" customHeight="false" outlineLevel="0" collapsed="false">
      <c r="A60" s="282" t="e">
        <f aca="false">#REF!</f>
        <v>#REF!</v>
      </c>
      <c r="B60" s="300" t="e">
        <f aca="false">#REF!</f>
        <v>#REF!</v>
      </c>
      <c r="C60" s="300" t="e">
        <f aca="false">#REF!</f>
        <v>#REF!</v>
      </c>
      <c r="D60" s="301" t="e">
        <f aca="false">#REF!</f>
        <v>#REF!</v>
      </c>
      <c r="E60" s="301" t="e">
        <f aca="false">#REF!</f>
        <v>#REF!</v>
      </c>
    </row>
    <row r="61" customFormat="false" ht="12.75" hidden="false" customHeight="false" outlineLevel="0" collapsed="false">
      <c r="A61" s="282" t="e">
        <f aca="false">#REF!</f>
        <v>#REF!</v>
      </c>
      <c r="B61" s="300" t="e">
        <f aca="false">#REF!</f>
        <v>#REF!</v>
      </c>
      <c r="C61" s="300" t="e">
        <f aca="false">#REF!</f>
        <v>#REF!</v>
      </c>
      <c r="D61" s="301" t="e">
        <f aca="false">#REF!</f>
        <v>#REF!</v>
      </c>
      <c r="E61" s="301" t="e">
        <f aca="false">#REF!</f>
        <v>#REF!</v>
      </c>
    </row>
    <row r="62" customFormat="false" ht="12.75" hidden="false" customHeight="false" outlineLevel="0" collapsed="false">
      <c r="A62" s="282" t="e">
        <f aca="false">#REF!</f>
        <v>#REF!</v>
      </c>
      <c r="B62" s="300" t="e">
        <f aca="false">#REF!</f>
        <v>#REF!</v>
      </c>
      <c r="C62" s="300" t="e">
        <f aca="false">#REF!</f>
        <v>#REF!</v>
      </c>
      <c r="D62" s="301" t="e">
        <f aca="false">#REF!</f>
        <v>#REF!</v>
      </c>
      <c r="E62" s="301" t="e">
        <f aca="false">#REF!</f>
        <v>#REF!</v>
      </c>
    </row>
    <row r="63" customFormat="false" ht="12.75" hidden="false" customHeight="false" outlineLevel="0" collapsed="false">
      <c r="A63" s="282" t="e">
        <f aca="false">#REF!</f>
        <v>#REF!</v>
      </c>
      <c r="B63" s="300" t="e">
        <f aca="false">#REF!</f>
        <v>#REF!</v>
      </c>
      <c r="C63" s="300" t="e">
        <f aca="false">#REF!</f>
        <v>#REF!</v>
      </c>
      <c r="D63" s="301" t="e">
        <f aca="false">#REF!</f>
        <v>#REF!</v>
      </c>
      <c r="E63" s="301" t="e">
        <f aca="false">#REF!</f>
        <v>#REF!</v>
      </c>
    </row>
    <row r="64" customFormat="false" ht="12.75" hidden="false" customHeight="false" outlineLevel="0" collapsed="false">
      <c r="A64" s="282" t="e">
        <f aca="false">#REF!</f>
        <v>#REF!</v>
      </c>
      <c r="B64" s="300" t="e">
        <f aca="false">#REF!</f>
        <v>#REF!</v>
      </c>
      <c r="C64" s="300" t="e">
        <f aca="false">#REF!</f>
        <v>#REF!</v>
      </c>
      <c r="D64" s="301" t="e">
        <f aca="false">#REF!</f>
        <v>#REF!</v>
      </c>
      <c r="E64" s="301" t="e">
        <f aca="false">#REF!</f>
        <v>#REF!</v>
      </c>
    </row>
    <row r="65" customFormat="false" ht="12.75" hidden="false" customHeight="false" outlineLevel="0" collapsed="false">
      <c r="A65" s="282" t="e">
        <f aca="false">#REF!</f>
        <v>#REF!</v>
      </c>
      <c r="B65" s="300" t="e">
        <f aca="false">#REF!</f>
        <v>#REF!</v>
      </c>
      <c r="C65" s="300" t="e">
        <f aca="false">#REF!</f>
        <v>#REF!</v>
      </c>
      <c r="D65" s="301" t="e">
        <f aca="false">#REF!</f>
        <v>#REF!</v>
      </c>
      <c r="E65" s="301" t="e">
        <f aca="false">#REF!</f>
        <v>#REF!</v>
      </c>
    </row>
    <row r="66" customFormat="false" ht="12.75" hidden="false" customHeight="false" outlineLevel="0" collapsed="false">
      <c r="A66" s="282" t="e">
        <f aca="false">#REF!</f>
        <v>#REF!</v>
      </c>
      <c r="B66" s="300" t="e">
        <f aca="false">#REF!</f>
        <v>#REF!</v>
      </c>
      <c r="C66" s="300" t="e">
        <f aca="false">#REF!</f>
        <v>#REF!</v>
      </c>
      <c r="D66" s="301" t="e">
        <f aca="false">#REF!</f>
        <v>#REF!</v>
      </c>
      <c r="E66" s="301" t="e">
        <f aca="false">#REF!</f>
        <v>#REF!</v>
      </c>
    </row>
    <row r="67" customFormat="false" ht="12.75" hidden="false" customHeight="false" outlineLevel="0" collapsed="false">
      <c r="A67" s="282" t="e">
        <f aca="false">#REF!</f>
        <v>#REF!</v>
      </c>
      <c r="B67" s="300" t="e">
        <f aca="false">#REF!</f>
        <v>#REF!</v>
      </c>
      <c r="C67" s="300" t="e">
        <f aca="false">#REF!</f>
        <v>#REF!</v>
      </c>
      <c r="D67" s="301" t="e">
        <f aca="false">#REF!</f>
        <v>#REF!</v>
      </c>
      <c r="E67" s="301" t="e">
        <f aca="false">#REF!</f>
        <v>#REF!</v>
      </c>
    </row>
    <row r="68" customFormat="false" ht="12.75" hidden="false" customHeight="false" outlineLevel="0" collapsed="false">
      <c r="A68" s="282" t="e">
        <f aca="false">#REF!</f>
        <v>#REF!</v>
      </c>
      <c r="B68" s="300" t="e">
        <f aca="false">#REF!</f>
        <v>#REF!</v>
      </c>
      <c r="C68" s="300" t="e">
        <f aca="false">#REF!</f>
        <v>#REF!</v>
      </c>
      <c r="D68" s="301" t="e">
        <f aca="false">#REF!</f>
        <v>#REF!</v>
      </c>
      <c r="E68" s="301" t="e">
        <f aca="false">#REF!</f>
        <v>#REF!</v>
      </c>
    </row>
    <row r="69" customFormat="false" ht="12.75" hidden="false" customHeight="false" outlineLevel="0" collapsed="false">
      <c r="A69" s="282" t="e">
        <f aca="false">#REF!</f>
        <v>#REF!</v>
      </c>
      <c r="B69" s="300" t="e">
        <f aca="false">#REF!</f>
        <v>#REF!</v>
      </c>
      <c r="C69" s="300" t="e">
        <f aca="false">#REF!</f>
        <v>#REF!</v>
      </c>
      <c r="D69" s="301" t="e">
        <f aca="false">#REF!</f>
        <v>#REF!</v>
      </c>
      <c r="E69" s="301" t="e">
        <f aca="false">#REF!</f>
        <v>#REF!</v>
      </c>
    </row>
    <row r="70" customFormat="false" ht="12.75" hidden="false" customHeight="false" outlineLevel="0" collapsed="false">
      <c r="A70" s="282" t="e">
        <f aca="false">#REF!</f>
        <v>#REF!</v>
      </c>
      <c r="B70" s="300" t="e">
        <f aca="false">#REF!</f>
        <v>#REF!</v>
      </c>
      <c r="C70" s="300" t="e">
        <f aca="false">#REF!</f>
        <v>#REF!</v>
      </c>
      <c r="D70" s="301" t="e">
        <f aca="false">#REF!</f>
        <v>#REF!</v>
      </c>
      <c r="E70" s="301" t="e">
        <f aca="false">#REF!</f>
        <v>#REF!</v>
      </c>
    </row>
    <row r="71" customFormat="false" ht="12.75" hidden="false" customHeight="false" outlineLevel="0" collapsed="false">
      <c r="A71" s="282" t="e">
        <f aca="false">#REF!</f>
        <v>#REF!</v>
      </c>
      <c r="B71" s="300" t="e">
        <f aca="false">#REF!</f>
        <v>#REF!</v>
      </c>
      <c r="C71" s="300" t="e">
        <f aca="false">#REF!</f>
        <v>#REF!</v>
      </c>
      <c r="D71" s="301" t="e">
        <f aca="false">#REF!</f>
        <v>#REF!</v>
      </c>
      <c r="E71" s="301" t="e">
        <f aca="false">#REF!</f>
        <v>#REF!</v>
      </c>
    </row>
    <row r="72" customFormat="false" ht="12.75" hidden="false" customHeight="false" outlineLevel="0" collapsed="false">
      <c r="A72" s="282" t="e">
        <f aca="false">#REF!</f>
        <v>#REF!</v>
      </c>
      <c r="B72" s="300" t="e">
        <f aca="false">#REF!</f>
        <v>#REF!</v>
      </c>
      <c r="C72" s="300" t="e">
        <f aca="false">#REF!</f>
        <v>#REF!</v>
      </c>
      <c r="D72" s="301" t="e">
        <f aca="false">#REF!</f>
        <v>#REF!</v>
      </c>
      <c r="E72" s="301" t="e">
        <f aca="false">#REF!</f>
        <v>#REF!</v>
      </c>
    </row>
    <row r="73" customFormat="false" ht="12.75" hidden="false" customHeight="false" outlineLevel="0" collapsed="false">
      <c r="A73" s="282" t="e">
        <f aca="false">#REF!</f>
        <v>#REF!</v>
      </c>
      <c r="B73" s="300" t="e">
        <f aca="false">#REF!</f>
        <v>#REF!</v>
      </c>
      <c r="C73" s="300" t="e">
        <f aca="false">#REF!</f>
        <v>#REF!</v>
      </c>
      <c r="D73" s="301" t="e">
        <f aca="false">#REF!</f>
        <v>#REF!</v>
      </c>
      <c r="E73" s="301" t="e">
        <f aca="false">#REF!</f>
        <v>#REF!</v>
      </c>
    </row>
    <row r="74" customFormat="false" ht="12.75" hidden="false" customHeight="false" outlineLevel="0" collapsed="false">
      <c r="A74" s="282" t="e">
        <f aca="false">#REF!</f>
        <v>#REF!</v>
      </c>
      <c r="B74" s="300" t="e">
        <f aca="false">#REF!</f>
        <v>#REF!</v>
      </c>
      <c r="C74" s="300" t="e">
        <f aca="false">#REF!</f>
        <v>#REF!</v>
      </c>
      <c r="D74" s="301" t="e">
        <f aca="false">#REF!</f>
        <v>#REF!</v>
      </c>
      <c r="E74" s="301" t="e">
        <f aca="false">#REF!</f>
        <v>#REF!</v>
      </c>
    </row>
    <row r="75" customFormat="false" ht="12.75" hidden="false" customHeight="false" outlineLevel="0" collapsed="false">
      <c r="A75" s="282" t="e">
        <f aca="false">#REF!</f>
        <v>#REF!</v>
      </c>
      <c r="B75" s="300" t="e">
        <f aca="false">#REF!</f>
        <v>#REF!</v>
      </c>
      <c r="C75" s="300" t="e">
        <f aca="false">#REF!</f>
        <v>#REF!</v>
      </c>
      <c r="D75" s="301" t="e">
        <f aca="false">#REF!</f>
        <v>#REF!</v>
      </c>
      <c r="E75" s="301" t="e">
        <f aca="false">#REF!</f>
        <v>#REF!</v>
      </c>
    </row>
    <row r="76" customFormat="false" ht="12.75" hidden="false" customHeight="false" outlineLevel="0" collapsed="false">
      <c r="A76" s="282" t="e">
        <f aca="false">#REF!</f>
        <v>#REF!</v>
      </c>
      <c r="B76" s="300" t="e">
        <f aca="false">#REF!</f>
        <v>#REF!</v>
      </c>
      <c r="C76" s="300" t="e">
        <f aca="false">#REF!</f>
        <v>#REF!</v>
      </c>
      <c r="D76" s="301" t="e">
        <f aca="false">#REF!</f>
        <v>#REF!</v>
      </c>
      <c r="E76" s="301" t="e">
        <f aca="false">#REF!</f>
        <v>#REF!</v>
      </c>
    </row>
    <row r="77" customFormat="false" ht="12.75" hidden="false" customHeight="false" outlineLevel="0" collapsed="false">
      <c r="A77" s="282" t="e">
        <f aca="false">#REF!</f>
        <v>#REF!</v>
      </c>
      <c r="B77" s="300" t="e">
        <f aca="false">#REF!</f>
        <v>#REF!</v>
      </c>
      <c r="C77" s="300" t="e">
        <f aca="false">#REF!</f>
        <v>#REF!</v>
      </c>
      <c r="D77" s="301" t="e">
        <f aca="false">#REF!</f>
        <v>#REF!</v>
      </c>
      <c r="E77" s="301" t="e">
        <f aca="false">#REF!</f>
        <v>#REF!</v>
      </c>
    </row>
    <row r="78" customFormat="false" ht="12.75" hidden="false" customHeight="false" outlineLevel="0" collapsed="false">
      <c r="A78" s="282" t="e">
        <f aca="false">#REF!</f>
        <v>#REF!</v>
      </c>
      <c r="B78" s="300" t="e">
        <f aca="false">#REF!</f>
        <v>#REF!</v>
      </c>
      <c r="C78" s="300" t="e">
        <f aca="false">#REF!</f>
        <v>#REF!</v>
      </c>
      <c r="D78" s="301" t="e">
        <f aca="false">#REF!</f>
        <v>#REF!</v>
      </c>
      <c r="E78" s="301" t="e">
        <f aca="false">#REF!</f>
        <v>#REF!</v>
      </c>
    </row>
    <row r="79" customFormat="false" ht="12.75" hidden="false" customHeight="false" outlineLevel="0" collapsed="false">
      <c r="A79" s="282" t="e">
        <f aca="false">#REF!</f>
        <v>#REF!</v>
      </c>
      <c r="B79" s="300" t="e">
        <f aca="false">#REF!</f>
        <v>#REF!</v>
      </c>
      <c r="C79" s="300" t="e">
        <f aca="false">#REF!</f>
        <v>#REF!</v>
      </c>
      <c r="D79" s="301" t="e">
        <f aca="false">#REF!</f>
        <v>#REF!</v>
      </c>
      <c r="E79" s="301" t="e">
        <f aca="false">#REF!</f>
        <v>#REF!</v>
      </c>
    </row>
    <row r="80" customFormat="false" ht="12.75" hidden="false" customHeight="false" outlineLevel="0" collapsed="false">
      <c r="A80" s="282" t="e">
        <f aca="false">#REF!</f>
        <v>#REF!</v>
      </c>
      <c r="B80" s="300" t="e">
        <f aca="false">#REF!</f>
        <v>#REF!</v>
      </c>
      <c r="C80" s="300" t="e">
        <f aca="false">#REF!</f>
        <v>#REF!</v>
      </c>
      <c r="D80" s="301" t="e">
        <f aca="false">#REF!</f>
        <v>#REF!</v>
      </c>
      <c r="E80" s="301" t="e">
        <f aca="false">#REF!</f>
        <v>#REF!</v>
      </c>
    </row>
    <row r="81" customFormat="false" ht="12.75" hidden="false" customHeight="false" outlineLevel="0" collapsed="false">
      <c r="A81" s="282" t="e">
        <f aca="false">#REF!</f>
        <v>#REF!</v>
      </c>
      <c r="B81" s="300" t="e">
        <f aca="false">#REF!</f>
        <v>#REF!</v>
      </c>
      <c r="C81" s="300" t="e">
        <f aca="false">#REF!</f>
        <v>#REF!</v>
      </c>
      <c r="D81" s="301" t="e">
        <f aca="false">#REF!</f>
        <v>#REF!</v>
      </c>
      <c r="E81" s="301" t="e">
        <f aca="false">#REF!</f>
        <v>#REF!</v>
      </c>
    </row>
    <row r="82" customFormat="false" ht="12.75" hidden="false" customHeight="false" outlineLevel="0" collapsed="false">
      <c r="A82" s="282" t="e">
        <f aca="false">#REF!</f>
        <v>#REF!</v>
      </c>
      <c r="B82" s="300" t="e">
        <f aca="false">#REF!</f>
        <v>#REF!</v>
      </c>
      <c r="C82" s="300" t="e">
        <f aca="false">#REF!</f>
        <v>#REF!</v>
      </c>
      <c r="D82" s="301" t="e">
        <f aca="false">#REF!</f>
        <v>#REF!</v>
      </c>
      <c r="E82" s="301" t="e">
        <f aca="false">#REF!</f>
        <v>#REF!</v>
      </c>
    </row>
    <row r="83" customFormat="false" ht="12.75" hidden="false" customHeight="false" outlineLevel="0" collapsed="false">
      <c r="A83" s="282" t="e">
        <f aca="false">#REF!</f>
        <v>#REF!</v>
      </c>
      <c r="B83" s="300" t="e">
        <f aca="false">#REF!</f>
        <v>#REF!</v>
      </c>
      <c r="C83" s="300" t="e">
        <f aca="false">#REF!</f>
        <v>#REF!</v>
      </c>
      <c r="D83" s="301" t="e">
        <f aca="false">#REF!</f>
        <v>#REF!</v>
      </c>
      <c r="E83" s="301" t="e">
        <f aca="false">#REF!</f>
        <v>#REF!</v>
      </c>
    </row>
    <row r="84" customFormat="false" ht="12.75" hidden="false" customHeight="false" outlineLevel="0" collapsed="false">
      <c r="A84" s="282" t="e">
        <f aca="false">#REF!</f>
        <v>#REF!</v>
      </c>
      <c r="B84" s="300" t="e">
        <f aca="false">#REF!</f>
        <v>#REF!</v>
      </c>
      <c r="C84" s="300" t="e">
        <f aca="false">#REF!</f>
        <v>#REF!</v>
      </c>
      <c r="D84" s="301" t="e">
        <f aca="false">#REF!</f>
        <v>#REF!</v>
      </c>
      <c r="E84" s="301" t="e">
        <f aca="false">#REF!</f>
        <v>#REF!</v>
      </c>
    </row>
    <row r="85" customFormat="false" ht="12.75" hidden="false" customHeight="false" outlineLevel="0" collapsed="false">
      <c r="A85" s="282" t="e">
        <f aca="false">#REF!</f>
        <v>#REF!</v>
      </c>
      <c r="B85" s="300" t="e">
        <f aca="false">#REF!</f>
        <v>#REF!</v>
      </c>
      <c r="C85" s="300" t="e">
        <f aca="false">#REF!</f>
        <v>#REF!</v>
      </c>
      <c r="D85" s="301" t="e">
        <f aca="false">#REF!</f>
        <v>#REF!</v>
      </c>
      <c r="E85" s="301" t="e">
        <f aca="false">#REF!</f>
        <v>#REF!</v>
      </c>
    </row>
    <row r="86" customFormat="false" ht="12.75" hidden="false" customHeight="false" outlineLevel="0" collapsed="false">
      <c r="A86" s="282" t="e">
        <f aca="false">#REF!</f>
        <v>#REF!</v>
      </c>
      <c r="B86" s="300" t="e">
        <f aca="false">#REF!</f>
        <v>#REF!</v>
      </c>
      <c r="C86" s="300" t="e">
        <f aca="false">#REF!</f>
        <v>#REF!</v>
      </c>
      <c r="D86" s="301" t="e">
        <f aca="false">#REF!</f>
        <v>#REF!</v>
      </c>
      <c r="E86" s="301" t="e">
        <f aca="false">#REF!</f>
        <v>#REF!</v>
      </c>
    </row>
    <row r="87" customFormat="false" ht="12.75" hidden="false" customHeight="false" outlineLevel="0" collapsed="false">
      <c r="A87" s="282" t="e">
        <f aca="false">#REF!</f>
        <v>#REF!</v>
      </c>
      <c r="B87" s="300" t="e">
        <f aca="false">#REF!</f>
        <v>#REF!</v>
      </c>
      <c r="C87" s="300" t="e">
        <f aca="false">#REF!</f>
        <v>#REF!</v>
      </c>
      <c r="D87" s="301" t="e">
        <f aca="false">#REF!</f>
        <v>#REF!</v>
      </c>
      <c r="E87" s="301" t="e">
        <f aca="false">#REF!</f>
        <v>#REF!</v>
      </c>
    </row>
    <row r="88" customFormat="false" ht="12.75" hidden="false" customHeight="false" outlineLevel="0" collapsed="false">
      <c r="A88" s="282" t="e">
        <f aca="false">#REF!</f>
        <v>#REF!</v>
      </c>
      <c r="B88" s="300" t="e">
        <f aca="false">#REF!</f>
        <v>#REF!</v>
      </c>
      <c r="C88" s="300" t="e">
        <f aca="false">#REF!</f>
        <v>#REF!</v>
      </c>
      <c r="D88" s="301" t="e">
        <f aca="false">#REF!</f>
        <v>#REF!</v>
      </c>
      <c r="E88" s="301" t="e">
        <f aca="false">#REF!</f>
        <v>#REF!</v>
      </c>
    </row>
    <row r="89" customFormat="false" ht="12.75" hidden="false" customHeight="false" outlineLevel="0" collapsed="false">
      <c r="A89" s="282" t="e">
        <f aca="false">#REF!</f>
        <v>#REF!</v>
      </c>
      <c r="B89" s="300" t="e">
        <f aca="false">#REF!</f>
        <v>#REF!</v>
      </c>
      <c r="C89" s="300" t="e">
        <f aca="false">#REF!</f>
        <v>#REF!</v>
      </c>
      <c r="D89" s="301" t="e">
        <f aca="false">#REF!</f>
        <v>#REF!</v>
      </c>
      <c r="E89" s="301" t="e">
        <f aca="false">#REF!</f>
        <v>#REF!</v>
      </c>
    </row>
    <row r="90" customFormat="false" ht="12.75" hidden="false" customHeight="false" outlineLevel="0" collapsed="false">
      <c r="A90" s="282" t="e">
        <f aca="false">#REF!</f>
        <v>#REF!</v>
      </c>
      <c r="B90" s="300" t="e">
        <f aca="false">#REF!</f>
        <v>#REF!</v>
      </c>
      <c r="C90" s="300" t="e">
        <f aca="false">#REF!</f>
        <v>#REF!</v>
      </c>
      <c r="D90" s="301" t="e">
        <f aca="false">#REF!</f>
        <v>#REF!</v>
      </c>
      <c r="E90" s="301" t="e">
        <f aca="false">#REF!</f>
        <v>#REF!</v>
      </c>
    </row>
    <row r="91" customFormat="false" ht="12.75" hidden="false" customHeight="false" outlineLevel="0" collapsed="false">
      <c r="A91" s="282" t="e">
        <f aca="false">#REF!</f>
        <v>#REF!</v>
      </c>
      <c r="B91" s="300" t="e">
        <f aca="false">#REF!</f>
        <v>#REF!</v>
      </c>
      <c r="C91" s="300" t="e">
        <f aca="false">#REF!</f>
        <v>#REF!</v>
      </c>
      <c r="D91" s="301" t="e">
        <f aca="false">#REF!</f>
        <v>#REF!</v>
      </c>
      <c r="E91" s="301" t="e">
        <f aca="false">#REF!</f>
        <v>#REF!</v>
      </c>
    </row>
    <row r="92" customFormat="false" ht="12.75" hidden="false" customHeight="false" outlineLevel="0" collapsed="false">
      <c r="A92" s="282" t="e">
        <f aca="false">#REF!</f>
        <v>#REF!</v>
      </c>
      <c r="B92" s="300" t="e">
        <f aca="false">#REF!</f>
        <v>#REF!</v>
      </c>
      <c r="C92" s="300" t="e">
        <f aca="false">#REF!</f>
        <v>#REF!</v>
      </c>
      <c r="D92" s="301" t="e">
        <f aca="false">#REF!</f>
        <v>#REF!</v>
      </c>
      <c r="E92" s="301" t="e">
        <f aca="false">#REF!</f>
        <v>#REF!</v>
      </c>
    </row>
    <row r="93" customFormat="false" ht="12.75" hidden="false" customHeight="false" outlineLevel="0" collapsed="false">
      <c r="A93" s="282" t="e">
        <f aca="false">#REF!</f>
        <v>#REF!</v>
      </c>
      <c r="B93" s="300" t="e">
        <f aca="false">#REF!</f>
        <v>#REF!</v>
      </c>
      <c r="C93" s="300" t="e">
        <f aca="false">#REF!</f>
        <v>#REF!</v>
      </c>
      <c r="D93" s="301" t="e">
        <f aca="false">#REF!</f>
        <v>#REF!</v>
      </c>
      <c r="E93" s="301" t="e">
        <f aca="false">#REF!</f>
        <v>#REF!</v>
      </c>
    </row>
    <row r="94" customFormat="false" ht="12.75" hidden="false" customHeight="false" outlineLevel="0" collapsed="false">
      <c r="A94" s="282" t="e">
        <f aca="false">#REF!</f>
        <v>#REF!</v>
      </c>
      <c r="B94" s="300" t="e">
        <f aca="false">#REF!</f>
        <v>#REF!</v>
      </c>
      <c r="C94" s="300" t="e">
        <f aca="false">#REF!</f>
        <v>#REF!</v>
      </c>
      <c r="D94" s="301" t="e">
        <f aca="false">#REF!</f>
        <v>#REF!</v>
      </c>
      <c r="E94" s="301" t="e">
        <f aca="false">#REF!</f>
        <v>#REF!</v>
      </c>
    </row>
    <row r="95" customFormat="false" ht="12.75" hidden="false" customHeight="false" outlineLevel="0" collapsed="false">
      <c r="A95" s="282" t="e">
        <f aca="false">#REF!</f>
        <v>#REF!</v>
      </c>
      <c r="B95" s="300" t="e">
        <f aca="false">#REF!</f>
        <v>#REF!</v>
      </c>
      <c r="C95" s="300" t="e">
        <f aca="false">#REF!</f>
        <v>#REF!</v>
      </c>
      <c r="D95" s="301" t="e">
        <f aca="false">#REF!</f>
        <v>#REF!</v>
      </c>
      <c r="E95" s="301" t="e">
        <f aca="false">#REF!</f>
        <v>#REF!</v>
      </c>
    </row>
    <row r="96" customFormat="false" ht="12.75" hidden="false" customHeight="false" outlineLevel="0" collapsed="false">
      <c r="A96" s="282" t="e">
        <f aca="false">#REF!</f>
        <v>#REF!</v>
      </c>
      <c r="B96" s="300" t="e">
        <f aca="false">#REF!</f>
        <v>#REF!</v>
      </c>
      <c r="C96" s="300" t="e">
        <f aca="false">#REF!</f>
        <v>#REF!</v>
      </c>
      <c r="D96" s="301" t="e">
        <f aca="false">#REF!</f>
        <v>#REF!</v>
      </c>
      <c r="E96" s="301" t="e">
        <f aca="false">#REF!</f>
        <v>#REF!</v>
      </c>
    </row>
    <row r="97" customFormat="false" ht="12.75" hidden="false" customHeight="false" outlineLevel="0" collapsed="false">
      <c r="A97" s="282" t="e">
        <f aca="false">#REF!</f>
        <v>#REF!</v>
      </c>
      <c r="B97" s="300" t="e">
        <f aca="false">#REF!</f>
        <v>#REF!</v>
      </c>
      <c r="C97" s="300" t="e">
        <f aca="false">#REF!</f>
        <v>#REF!</v>
      </c>
      <c r="D97" s="301" t="e">
        <f aca="false">#REF!</f>
        <v>#REF!</v>
      </c>
      <c r="E97" s="301" t="e">
        <f aca="false">#REF!</f>
        <v>#REF!</v>
      </c>
    </row>
    <row r="98" customFormat="false" ht="12.75" hidden="false" customHeight="false" outlineLevel="0" collapsed="false">
      <c r="A98" s="282" t="e">
        <f aca="false">#REF!</f>
        <v>#REF!</v>
      </c>
      <c r="B98" s="300" t="e">
        <f aca="false">#REF!</f>
        <v>#REF!</v>
      </c>
      <c r="C98" s="300" t="e">
        <f aca="false">#REF!</f>
        <v>#REF!</v>
      </c>
      <c r="D98" s="301" t="e">
        <f aca="false">#REF!</f>
        <v>#REF!</v>
      </c>
      <c r="E98" s="301" t="e">
        <f aca="false">#REF!</f>
        <v>#REF!</v>
      </c>
    </row>
    <row r="99" customFormat="false" ht="12.75" hidden="false" customHeight="false" outlineLevel="0" collapsed="false">
      <c r="A99" s="282" t="e">
        <f aca="false">#REF!</f>
        <v>#REF!</v>
      </c>
      <c r="B99" s="300" t="e">
        <f aca="false">#REF!</f>
        <v>#REF!</v>
      </c>
      <c r="C99" s="300" t="e">
        <f aca="false">#REF!</f>
        <v>#REF!</v>
      </c>
      <c r="D99" s="301" t="e">
        <f aca="false">#REF!</f>
        <v>#REF!</v>
      </c>
      <c r="E99" s="301" t="e">
        <f aca="false">#REF!</f>
        <v>#REF!</v>
      </c>
    </row>
    <row r="100" customFormat="false" ht="12.75" hidden="false" customHeight="false" outlineLevel="0" collapsed="false">
      <c r="A100" s="282" t="e">
        <f aca="false">#REF!</f>
        <v>#REF!</v>
      </c>
      <c r="B100" s="300" t="e">
        <f aca="false">#REF!</f>
        <v>#REF!</v>
      </c>
      <c r="C100" s="300" t="e">
        <f aca="false">#REF!</f>
        <v>#REF!</v>
      </c>
      <c r="D100" s="301" t="e">
        <f aca="false">#REF!</f>
        <v>#REF!</v>
      </c>
      <c r="E100" s="301" t="e">
        <f aca="false">#REF!</f>
        <v>#REF!</v>
      </c>
    </row>
    <row r="101" customFormat="false" ht="12.75" hidden="false" customHeight="false" outlineLevel="0" collapsed="false">
      <c r="A101" s="282" t="e">
        <f aca="false">#REF!</f>
        <v>#REF!</v>
      </c>
      <c r="B101" s="300" t="e">
        <f aca="false">#REF!</f>
        <v>#REF!</v>
      </c>
      <c r="C101" s="300" t="e">
        <f aca="false">#REF!</f>
        <v>#REF!</v>
      </c>
      <c r="D101" s="301" t="e">
        <f aca="false">#REF!</f>
        <v>#REF!</v>
      </c>
      <c r="E101" s="301" t="e">
        <f aca="false">#REF!</f>
        <v>#REF!</v>
      </c>
    </row>
    <row r="102" customFormat="false" ht="12.75" hidden="false" customHeight="false" outlineLevel="0" collapsed="false">
      <c r="A102" s="282" t="e">
        <f aca="false">#REF!</f>
        <v>#REF!</v>
      </c>
      <c r="B102" s="300" t="e">
        <f aca="false">#REF!</f>
        <v>#REF!</v>
      </c>
      <c r="C102" s="300" t="e">
        <f aca="false">#REF!</f>
        <v>#REF!</v>
      </c>
      <c r="D102" s="301" t="e">
        <f aca="false">#REF!</f>
        <v>#REF!</v>
      </c>
      <c r="E102" s="301" t="e">
        <f aca="false">#REF!</f>
        <v>#REF!</v>
      </c>
    </row>
    <row r="103" customFormat="false" ht="12.75" hidden="false" customHeight="false" outlineLevel="0" collapsed="false">
      <c r="A103" s="282" t="e">
        <f aca="false">#REF!</f>
        <v>#REF!</v>
      </c>
      <c r="B103" s="300" t="e">
        <f aca="false">#REF!</f>
        <v>#REF!</v>
      </c>
      <c r="C103" s="300" t="e">
        <f aca="false">#REF!</f>
        <v>#REF!</v>
      </c>
      <c r="D103" s="301" t="e">
        <f aca="false">#REF!</f>
        <v>#REF!</v>
      </c>
      <c r="E103" s="301" t="e">
        <f aca="false">#REF!</f>
        <v>#REF!</v>
      </c>
    </row>
    <row r="104" customFormat="false" ht="12.75" hidden="false" customHeight="false" outlineLevel="0" collapsed="false">
      <c r="A104" s="282" t="e">
        <f aca="false">#REF!</f>
        <v>#REF!</v>
      </c>
      <c r="B104" s="300" t="e">
        <f aca="false">#REF!</f>
        <v>#REF!</v>
      </c>
      <c r="C104" s="300" t="e">
        <f aca="false">#REF!</f>
        <v>#REF!</v>
      </c>
      <c r="D104" s="301" t="e">
        <f aca="false">#REF!</f>
        <v>#REF!</v>
      </c>
      <c r="E104" s="301" t="e">
        <f aca="false">#REF!</f>
        <v>#REF!</v>
      </c>
    </row>
    <row r="105" customFormat="false" ht="12.75" hidden="false" customHeight="false" outlineLevel="0" collapsed="false">
      <c r="A105" s="282" t="e">
        <f aca="false">#REF!</f>
        <v>#REF!</v>
      </c>
      <c r="B105" s="300" t="e">
        <f aca="false">#REF!</f>
        <v>#REF!</v>
      </c>
      <c r="C105" s="300" t="e">
        <f aca="false">#REF!</f>
        <v>#REF!</v>
      </c>
      <c r="D105" s="301" t="e">
        <f aca="false">#REF!</f>
        <v>#REF!</v>
      </c>
      <c r="E105" s="301" t="e">
        <f aca="false">#REF!</f>
        <v>#REF!</v>
      </c>
    </row>
    <row r="106" customFormat="false" ht="12.75" hidden="false" customHeight="false" outlineLevel="0" collapsed="false">
      <c r="A106" s="282" t="e">
        <f aca="false">#REF!</f>
        <v>#REF!</v>
      </c>
      <c r="B106" s="300" t="e">
        <f aca="false">#REF!</f>
        <v>#REF!</v>
      </c>
      <c r="C106" s="300" t="e">
        <f aca="false">#REF!</f>
        <v>#REF!</v>
      </c>
      <c r="D106" s="301" t="e">
        <f aca="false">#REF!</f>
        <v>#REF!</v>
      </c>
      <c r="E106" s="301" t="e">
        <f aca="false">#REF!</f>
        <v>#REF!</v>
      </c>
    </row>
    <row r="107" customFormat="false" ht="12.75" hidden="false" customHeight="false" outlineLevel="0" collapsed="false">
      <c r="A107" s="282" t="e">
        <f aca="false">#REF!</f>
        <v>#REF!</v>
      </c>
      <c r="B107" s="300" t="e">
        <f aca="false">#REF!</f>
        <v>#REF!</v>
      </c>
      <c r="C107" s="300" t="e">
        <f aca="false">#REF!</f>
        <v>#REF!</v>
      </c>
      <c r="D107" s="301" t="e">
        <f aca="false">#REF!</f>
        <v>#REF!</v>
      </c>
      <c r="E107" s="301" t="e">
        <f aca="false">#REF!</f>
        <v>#REF!</v>
      </c>
    </row>
    <row r="108" customFormat="false" ht="12.75" hidden="false" customHeight="false" outlineLevel="0" collapsed="false">
      <c r="A108" s="282" t="e">
        <f aca="false">#REF!</f>
        <v>#REF!</v>
      </c>
      <c r="B108" s="300" t="e">
        <f aca="false">#REF!</f>
        <v>#REF!</v>
      </c>
      <c r="C108" s="300" t="e">
        <f aca="false">#REF!</f>
        <v>#REF!</v>
      </c>
      <c r="D108" s="301" t="e">
        <f aca="false">#REF!</f>
        <v>#REF!</v>
      </c>
      <c r="E108" s="301" t="e">
        <f aca="false">#REF!</f>
        <v>#REF!</v>
      </c>
    </row>
    <row r="109" customFormat="false" ht="12.75" hidden="false" customHeight="false" outlineLevel="0" collapsed="false">
      <c r="A109" s="282" t="e">
        <f aca="false">#REF!</f>
        <v>#REF!</v>
      </c>
      <c r="B109" s="300" t="e">
        <f aca="false">#REF!</f>
        <v>#REF!</v>
      </c>
      <c r="C109" s="300" t="e">
        <f aca="false">#REF!</f>
        <v>#REF!</v>
      </c>
      <c r="D109" s="301" t="e">
        <f aca="false">#REF!</f>
        <v>#REF!</v>
      </c>
      <c r="E109" s="301" t="e">
        <f aca="false">#REF!</f>
        <v>#REF!</v>
      </c>
    </row>
    <row r="110" customFormat="false" ht="12.75" hidden="false" customHeight="false" outlineLevel="0" collapsed="false">
      <c r="A110" s="282" t="e">
        <f aca="false">#REF!</f>
        <v>#REF!</v>
      </c>
      <c r="B110" s="300" t="e">
        <f aca="false">#REF!</f>
        <v>#REF!</v>
      </c>
      <c r="C110" s="300" t="e">
        <f aca="false">#REF!</f>
        <v>#REF!</v>
      </c>
      <c r="D110" s="301" t="e">
        <f aca="false">#REF!</f>
        <v>#REF!</v>
      </c>
      <c r="E110" s="301" t="e">
        <f aca="false">#REF!</f>
        <v>#REF!</v>
      </c>
    </row>
    <row r="111" customFormat="false" ht="12.75" hidden="false" customHeight="false" outlineLevel="0" collapsed="false">
      <c r="A111" s="282" t="e">
        <f aca="false">#REF!</f>
        <v>#REF!</v>
      </c>
      <c r="B111" s="300" t="e">
        <f aca="false">#REF!</f>
        <v>#REF!</v>
      </c>
      <c r="C111" s="300" t="e">
        <f aca="false">#REF!</f>
        <v>#REF!</v>
      </c>
      <c r="D111" s="301" t="e">
        <f aca="false">#REF!</f>
        <v>#REF!</v>
      </c>
      <c r="E111" s="301" t="e">
        <f aca="false">#REF!</f>
        <v>#REF!</v>
      </c>
    </row>
    <row r="112" customFormat="false" ht="12.75" hidden="false" customHeight="false" outlineLevel="0" collapsed="false">
      <c r="A112" s="282" t="e">
        <f aca="false">#REF!</f>
        <v>#REF!</v>
      </c>
      <c r="B112" s="300" t="e">
        <f aca="false">#REF!</f>
        <v>#REF!</v>
      </c>
      <c r="C112" s="300" t="e">
        <f aca="false">#REF!</f>
        <v>#REF!</v>
      </c>
      <c r="D112" s="301" t="e">
        <f aca="false">#REF!</f>
        <v>#REF!</v>
      </c>
      <c r="E112" s="301" t="e">
        <f aca="false">#REF!</f>
        <v>#REF!</v>
      </c>
    </row>
    <row r="113" customFormat="false" ht="12.75" hidden="false" customHeight="false" outlineLevel="0" collapsed="false">
      <c r="A113" s="282" t="e">
        <f aca="false">#REF!</f>
        <v>#REF!</v>
      </c>
      <c r="B113" s="300" t="e">
        <f aca="false">#REF!</f>
        <v>#REF!</v>
      </c>
      <c r="C113" s="300" t="e">
        <f aca="false">#REF!</f>
        <v>#REF!</v>
      </c>
      <c r="D113" s="301" t="e">
        <f aca="false">#REF!</f>
        <v>#REF!</v>
      </c>
      <c r="E113" s="301" t="e">
        <f aca="false">#REF!</f>
        <v>#REF!</v>
      </c>
    </row>
    <row r="114" customFormat="false" ht="12.75" hidden="false" customHeight="false" outlineLevel="0" collapsed="false">
      <c r="A114" s="282" t="e">
        <f aca="false">#REF!</f>
        <v>#REF!</v>
      </c>
      <c r="B114" s="300" t="e">
        <f aca="false">#REF!</f>
        <v>#REF!</v>
      </c>
      <c r="C114" s="300" t="e">
        <f aca="false">#REF!</f>
        <v>#REF!</v>
      </c>
      <c r="D114" s="301" t="e">
        <f aca="false">#REF!</f>
        <v>#REF!</v>
      </c>
      <c r="E114" s="301" t="e">
        <f aca="false">#REF!</f>
        <v>#REF!</v>
      </c>
    </row>
    <row r="115" customFormat="false" ht="12.75" hidden="false" customHeight="false" outlineLevel="0" collapsed="false">
      <c r="A115" s="282" t="e">
        <f aca="false">#REF!</f>
        <v>#REF!</v>
      </c>
      <c r="B115" s="300" t="e">
        <f aca="false">#REF!</f>
        <v>#REF!</v>
      </c>
      <c r="C115" s="300" t="e">
        <f aca="false">#REF!</f>
        <v>#REF!</v>
      </c>
      <c r="D115" s="301" t="e">
        <f aca="false">#REF!</f>
        <v>#REF!</v>
      </c>
      <c r="E115" s="301" t="e">
        <f aca="false">#REF!</f>
        <v>#REF!</v>
      </c>
    </row>
    <row r="116" customFormat="false" ht="12.75" hidden="false" customHeight="false" outlineLevel="0" collapsed="false">
      <c r="A116" s="282" t="e">
        <f aca="false">#REF!</f>
        <v>#REF!</v>
      </c>
      <c r="B116" s="300" t="e">
        <f aca="false">#REF!</f>
        <v>#REF!</v>
      </c>
      <c r="C116" s="300" t="e">
        <f aca="false">#REF!</f>
        <v>#REF!</v>
      </c>
      <c r="D116" s="301" t="e">
        <f aca="false">#REF!</f>
        <v>#REF!</v>
      </c>
      <c r="E116" s="301" t="e">
        <f aca="false">#REF!</f>
        <v>#REF!</v>
      </c>
    </row>
    <row r="117" customFormat="false" ht="12.75" hidden="false" customHeight="false" outlineLevel="0" collapsed="false">
      <c r="A117" s="282" t="e">
        <f aca="false">#REF!</f>
        <v>#REF!</v>
      </c>
      <c r="B117" s="300" t="e">
        <f aca="false">#REF!</f>
        <v>#REF!</v>
      </c>
      <c r="C117" s="300" t="e">
        <f aca="false">#REF!</f>
        <v>#REF!</v>
      </c>
      <c r="D117" s="301" t="e">
        <f aca="false">#REF!</f>
        <v>#REF!</v>
      </c>
      <c r="E117" s="301" t="e">
        <f aca="false">#REF!</f>
        <v>#REF!</v>
      </c>
    </row>
    <row r="118" customFormat="false" ht="12.75" hidden="false" customHeight="false" outlineLevel="0" collapsed="false">
      <c r="A118" s="282" t="e">
        <f aca="false">#REF!</f>
        <v>#REF!</v>
      </c>
      <c r="B118" s="300" t="e">
        <f aca="false">#REF!</f>
        <v>#REF!</v>
      </c>
      <c r="C118" s="300" t="e">
        <f aca="false">#REF!</f>
        <v>#REF!</v>
      </c>
      <c r="D118" s="301" t="e">
        <f aca="false">#REF!</f>
        <v>#REF!</v>
      </c>
      <c r="E118" s="301" t="e">
        <f aca="false">#REF!</f>
        <v>#REF!</v>
      </c>
    </row>
    <row r="119" customFormat="false" ht="12.75" hidden="false" customHeight="false" outlineLevel="0" collapsed="false">
      <c r="A119" s="282" t="e">
        <f aca="false">#REF!</f>
        <v>#REF!</v>
      </c>
      <c r="B119" s="300" t="e">
        <f aca="false">#REF!</f>
        <v>#REF!</v>
      </c>
      <c r="C119" s="300" t="e">
        <f aca="false">#REF!</f>
        <v>#REF!</v>
      </c>
      <c r="D119" s="301" t="e">
        <f aca="false">#REF!</f>
        <v>#REF!</v>
      </c>
      <c r="E119" s="301" t="e">
        <f aca="false">#REF!</f>
        <v>#REF!</v>
      </c>
    </row>
    <row r="120" customFormat="false" ht="12.75" hidden="false" customHeight="false" outlineLevel="0" collapsed="false">
      <c r="A120" s="282" t="e">
        <f aca="false">#REF!</f>
        <v>#REF!</v>
      </c>
      <c r="B120" s="300" t="e">
        <f aca="false">#REF!</f>
        <v>#REF!</v>
      </c>
      <c r="C120" s="300" t="e">
        <f aca="false">#REF!</f>
        <v>#REF!</v>
      </c>
      <c r="D120" s="301" t="e">
        <f aca="false">#REF!</f>
        <v>#REF!</v>
      </c>
      <c r="E120" s="301" t="e">
        <f aca="false">#REF!</f>
        <v>#REF!</v>
      </c>
    </row>
    <row r="121" customFormat="false" ht="12.75" hidden="false" customHeight="false" outlineLevel="0" collapsed="false">
      <c r="A121" s="282" t="e">
        <f aca="false">#REF!</f>
        <v>#REF!</v>
      </c>
      <c r="B121" s="300" t="e">
        <f aca="false">#REF!</f>
        <v>#REF!</v>
      </c>
      <c r="C121" s="300" t="e">
        <f aca="false">#REF!</f>
        <v>#REF!</v>
      </c>
      <c r="D121" s="301" t="e">
        <f aca="false">#REF!</f>
        <v>#REF!</v>
      </c>
      <c r="E121" s="301" t="e">
        <f aca="false">#REF!</f>
        <v>#REF!</v>
      </c>
    </row>
    <row r="122" customFormat="false" ht="12.75" hidden="false" customHeight="false" outlineLevel="0" collapsed="false">
      <c r="A122" s="282" t="e">
        <f aca="false">#REF!</f>
        <v>#REF!</v>
      </c>
      <c r="B122" s="300" t="e">
        <f aca="false">#REF!</f>
        <v>#REF!</v>
      </c>
      <c r="C122" s="300" t="e">
        <f aca="false">#REF!</f>
        <v>#REF!</v>
      </c>
      <c r="D122" s="301" t="e">
        <f aca="false">#REF!</f>
        <v>#REF!</v>
      </c>
      <c r="E122" s="301" t="e">
        <f aca="false">#REF!</f>
        <v>#REF!</v>
      </c>
    </row>
    <row r="123" customFormat="false" ht="12.75" hidden="false" customHeight="false" outlineLevel="0" collapsed="false">
      <c r="A123" s="282" t="e">
        <f aca="false">#REF!</f>
        <v>#REF!</v>
      </c>
      <c r="B123" s="300" t="e">
        <f aca="false">#REF!</f>
        <v>#REF!</v>
      </c>
      <c r="C123" s="300" t="e">
        <f aca="false">#REF!</f>
        <v>#REF!</v>
      </c>
      <c r="D123" s="301" t="e">
        <f aca="false">#REF!</f>
        <v>#REF!</v>
      </c>
      <c r="E123" s="301" t="e">
        <f aca="false">#REF!</f>
        <v>#REF!</v>
      </c>
    </row>
    <row r="124" customFormat="false" ht="12.75" hidden="false" customHeight="false" outlineLevel="0" collapsed="false">
      <c r="A124" s="282" t="e">
        <f aca="false">#REF!</f>
        <v>#REF!</v>
      </c>
      <c r="B124" s="300" t="e">
        <f aca="false">#REF!</f>
        <v>#REF!</v>
      </c>
      <c r="C124" s="300" t="e">
        <f aca="false">#REF!</f>
        <v>#REF!</v>
      </c>
      <c r="D124" s="301" t="e">
        <f aca="false">#REF!</f>
        <v>#REF!</v>
      </c>
      <c r="E124" s="301" t="e">
        <f aca="false">#REF!</f>
        <v>#REF!</v>
      </c>
    </row>
    <row r="125" customFormat="false" ht="12.75" hidden="false" customHeight="false" outlineLevel="0" collapsed="false">
      <c r="A125" s="282" t="e">
        <f aca="false">#REF!</f>
        <v>#REF!</v>
      </c>
      <c r="B125" s="300" t="e">
        <f aca="false">#REF!</f>
        <v>#REF!</v>
      </c>
      <c r="C125" s="300" t="e">
        <f aca="false">#REF!</f>
        <v>#REF!</v>
      </c>
      <c r="D125" s="301" t="e">
        <f aca="false">#REF!</f>
        <v>#REF!</v>
      </c>
      <c r="E125" s="301" t="e">
        <f aca="false">#REF!</f>
        <v>#REF!</v>
      </c>
    </row>
    <row r="126" customFormat="false" ht="12.75" hidden="false" customHeight="false" outlineLevel="0" collapsed="false">
      <c r="A126" s="282" t="e">
        <f aca="false">#REF!</f>
        <v>#REF!</v>
      </c>
      <c r="B126" s="300" t="e">
        <f aca="false">#REF!</f>
        <v>#REF!</v>
      </c>
      <c r="C126" s="300" t="e">
        <f aca="false">#REF!</f>
        <v>#REF!</v>
      </c>
      <c r="D126" s="301" t="e">
        <f aca="false">#REF!</f>
        <v>#REF!</v>
      </c>
      <c r="E126" s="301" t="e">
        <f aca="false">#REF!</f>
        <v>#REF!</v>
      </c>
    </row>
    <row r="127" customFormat="false" ht="12.75" hidden="false" customHeight="false" outlineLevel="0" collapsed="false">
      <c r="A127" s="282" t="e">
        <f aca="false">#REF!</f>
        <v>#REF!</v>
      </c>
      <c r="B127" s="300" t="e">
        <f aca="false">#REF!</f>
        <v>#REF!</v>
      </c>
      <c r="C127" s="300" t="e">
        <f aca="false">#REF!</f>
        <v>#REF!</v>
      </c>
      <c r="D127" s="301" t="e">
        <f aca="false">#REF!</f>
        <v>#REF!</v>
      </c>
      <c r="E127" s="301" t="e">
        <f aca="false">#REF!</f>
        <v>#REF!</v>
      </c>
    </row>
    <row r="128" customFormat="false" ht="12.75" hidden="false" customHeight="false" outlineLevel="0" collapsed="false">
      <c r="A128" s="282" t="e">
        <f aca="false">#REF!</f>
        <v>#REF!</v>
      </c>
      <c r="B128" s="300" t="e">
        <f aca="false">#REF!</f>
        <v>#REF!</v>
      </c>
      <c r="C128" s="300" t="e">
        <f aca="false">#REF!</f>
        <v>#REF!</v>
      </c>
      <c r="D128" s="301" t="e">
        <f aca="false">#REF!</f>
        <v>#REF!</v>
      </c>
      <c r="E128" s="301" t="e">
        <f aca="false">#REF!</f>
        <v>#REF!</v>
      </c>
    </row>
    <row r="129" customFormat="false" ht="12.75" hidden="false" customHeight="false" outlineLevel="0" collapsed="false">
      <c r="A129" s="282" t="e">
        <f aca="false">#REF!</f>
        <v>#REF!</v>
      </c>
      <c r="B129" s="300" t="e">
        <f aca="false">#REF!</f>
        <v>#REF!</v>
      </c>
      <c r="C129" s="300" t="e">
        <f aca="false">#REF!</f>
        <v>#REF!</v>
      </c>
      <c r="D129" s="301" t="e">
        <f aca="false">#REF!</f>
        <v>#REF!</v>
      </c>
      <c r="E129" s="301" t="e">
        <f aca="false">#REF!</f>
        <v>#REF!</v>
      </c>
    </row>
    <row r="130" customFormat="false" ht="12.75" hidden="false" customHeight="false" outlineLevel="0" collapsed="false">
      <c r="A130" s="282" t="e">
        <f aca="false">#REF!</f>
        <v>#REF!</v>
      </c>
      <c r="B130" s="300" t="e">
        <f aca="false">#REF!</f>
        <v>#REF!</v>
      </c>
      <c r="C130" s="300" t="e">
        <f aca="false">#REF!</f>
        <v>#REF!</v>
      </c>
      <c r="D130" s="301" t="e">
        <f aca="false">#REF!</f>
        <v>#REF!</v>
      </c>
      <c r="E130" s="301" t="e">
        <f aca="false">#REF!</f>
        <v>#REF!</v>
      </c>
    </row>
    <row r="131" customFormat="false" ht="12.75" hidden="false" customHeight="false" outlineLevel="0" collapsed="false">
      <c r="A131" s="282" t="e">
        <f aca="false">#REF!</f>
        <v>#REF!</v>
      </c>
      <c r="B131" s="300" t="e">
        <f aca="false">#REF!</f>
        <v>#REF!</v>
      </c>
      <c r="C131" s="300" t="e">
        <f aca="false">#REF!</f>
        <v>#REF!</v>
      </c>
      <c r="D131" s="301" t="e">
        <f aca="false">#REF!</f>
        <v>#REF!</v>
      </c>
      <c r="E131" s="301" t="e">
        <f aca="false">#REF!</f>
        <v>#REF!</v>
      </c>
    </row>
    <row r="132" customFormat="false" ht="12.75" hidden="false" customHeight="false" outlineLevel="0" collapsed="false">
      <c r="A132" s="282" t="e">
        <f aca="false">#REF!</f>
        <v>#REF!</v>
      </c>
      <c r="B132" s="300" t="e">
        <f aca="false">#REF!</f>
        <v>#REF!</v>
      </c>
      <c r="C132" s="300" t="e">
        <f aca="false">#REF!</f>
        <v>#REF!</v>
      </c>
      <c r="D132" s="301" t="e">
        <f aca="false">#REF!</f>
        <v>#REF!</v>
      </c>
      <c r="E132" s="301" t="e">
        <f aca="false">#REF!</f>
        <v>#REF!</v>
      </c>
    </row>
    <row r="133" customFormat="false" ht="12.75" hidden="false" customHeight="false" outlineLevel="0" collapsed="false">
      <c r="A133" s="282" t="e">
        <f aca="false">#REF!</f>
        <v>#REF!</v>
      </c>
      <c r="B133" s="300" t="e">
        <f aca="false">#REF!</f>
        <v>#REF!</v>
      </c>
      <c r="C133" s="300" t="e">
        <f aca="false">#REF!</f>
        <v>#REF!</v>
      </c>
      <c r="D133" s="301" t="e">
        <f aca="false">#REF!</f>
        <v>#REF!</v>
      </c>
      <c r="E133" s="301" t="e">
        <f aca="false">#REF!</f>
        <v>#REF!</v>
      </c>
    </row>
    <row r="134" customFormat="false" ht="12.75" hidden="false" customHeight="false" outlineLevel="0" collapsed="false">
      <c r="A134" s="282" t="e">
        <f aca="false">#REF!</f>
        <v>#REF!</v>
      </c>
      <c r="B134" s="300" t="e">
        <f aca="false">#REF!</f>
        <v>#REF!</v>
      </c>
      <c r="C134" s="300" t="e">
        <f aca="false">#REF!</f>
        <v>#REF!</v>
      </c>
      <c r="D134" s="301" t="e">
        <f aca="false">#REF!</f>
        <v>#REF!</v>
      </c>
      <c r="E134" s="301" t="e">
        <f aca="false">#REF!</f>
        <v>#REF!</v>
      </c>
    </row>
    <row r="135" customFormat="false" ht="12.75" hidden="false" customHeight="false" outlineLevel="0" collapsed="false">
      <c r="A135" s="282" t="e">
        <f aca="false">#REF!</f>
        <v>#REF!</v>
      </c>
      <c r="B135" s="300" t="e">
        <f aca="false">#REF!</f>
        <v>#REF!</v>
      </c>
      <c r="C135" s="300" t="e">
        <f aca="false">#REF!</f>
        <v>#REF!</v>
      </c>
      <c r="D135" s="301" t="e">
        <f aca="false">#REF!</f>
        <v>#REF!</v>
      </c>
      <c r="E135" s="301" t="e">
        <f aca="false">#REF!</f>
        <v>#REF!</v>
      </c>
    </row>
    <row r="136" customFormat="false" ht="12.75" hidden="false" customHeight="false" outlineLevel="0" collapsed="false">
      <c r="A136" s="282" t="e">
        <f aca="false">#REF!</f>
        <v>#REF!</v>
      </c>
      <c r="B136" s="300" t="e">
        <f aca="false">#REF!</f>
        <v>#REF!</v>
      </c>
      <c r="C136" s="300" t="e">
        <f aca="false">#REF!</f>
        <v>#REF!</v>
      </c>
      <c r="D136" s="301" t="e">
        <f aca="false">#REF!</f>
        <v>#REF!</v>
      </c>
      <c r="E136" s="301" t="e">
        <f aca="false">#REF!</f>
        <v>#REF!</v>
      </c>
    </row>
    <row r="137" customFormat="false" ht="12.75" hidden="false" customHeight="false" outlineLevel="0" collapsed="false">
      <c r="A137" s="282" t="e">
        <f aca="false">#REF!</f>
        <v>#REF!</v>
      </c>
      <c r="B137" s="300" t="e">
        <f aca="false">#REF!</f>
        <v>#REF!</v>
      </c>
      <c r="C137" s="300" t="e">
        <f aca="false">#REF!</f>
        <v>#REF!</v>
      </c>
      <c r="D137" s="301" t="e">
        <f aca="false">#REF!</f>
        <v>#REF!</v>
      </c>
      <c r="E137" s="301" t="e">
        <f aca="false">#REF!</f>
        <v>#REF!</v>
      </c>
    </row>
    <row r="138" customFormat="false" ht="12.75" hidden="false" customHeight="false" outlineLevel="0" collapsed="false">
      <c r="A138" s="282" t="e">
        <f aca="false">#REF!</f>
        <v>#REF!</v>
      </c>
      <c r="B138" s="300" t="e">
        <f aca="false">#REF!</f>
        <v>#REF!</v>
      </c>
      <c r="C138" s="300" t="e">
        <f aca="false">#REF!</f>
        <v>#REF!</v>
      </c>
      <c r="D138" s="301" t="e">
        <f aca="false">#REF!</f>
        <v>#REF!</v>
      </c>
      <c r="E138" s="301" t="e">
        <f aca="false">#REF!</f>
        <v>#REF!</v>
      </c>
    </row>
    <row r="139" customFormat="false" ht="12.75" hidden="false" customHeight="false" outlineLevel="0" collapsed="false">
      <c r="A139" s="282" t="e">
        <f aca="false">#REF!</f>
        <v>#REF!</v>
      </c>
      <c r="B139" s="300" t="e">
        <f aca="false">#REF!</f>
        <v>#REF!</v>
      </c>
      <c r="C139" s="300" t="e">
        <f aca="false">#REF!</f>
        <v>#REF!</v>
      </c>
      <c r="D139" s="301" t="e">
        <f aca="false">#REF!</f>
        <v>#REF!</v>
      </c>
      <c r="E139" s="301" t="e">
        <f aca="false">#REF!</f>
        <v>#REF!</v>
      </c>
    </row>
    <row r="140" customFormat="false" ht="12.75" hidden="false" customHeight="false" outlineLevel="0" collapsed="false">
      <c r="A140" s="282" t="e">
        <f aca="false">#REF!</f>
        <v>#REF!</v>
      </c>
      <c r="B140" s="300" t="e">
        <f aca="false">#REF!</f>
        <v>#REF!</v>
      </c>
      <c r="C140" s="300" t="e">
        <f aca="false">#REF!</f>
        <v>#REF!</v>
      </c>
      <c r="D140" s="301" t="e">
        <f aca="false">#REF!</f>
        <v>#REF!</v>
      </c>
      <c r="E140" s="301" t="e">
        <f aca="false">#REF!</f>
        <v>#REF!</v>
      </c>
    </row>
    <row r="141" customFormat="false" ht="12.75" hidden="false" customHeight="false" outlineLevel="0" collapsed="false">
      <c r="A141" s="282" t="e">
        <f aca="false">#REF!</f>
        <v>#REF!</v>
      </c>
      <c r="B141" s="300" t="e">
        <f aca="false">#REF!</f>
        <v>#REF!</v>
      </c>
      <c r="C141" s="300" t="e">
        <f aca="false">#REF!</f>
        <v>#REF!</v>
      </c>
      <c r="D141" s="301" t="e">
        <f aca="false">#REF!</f>
        <v>#REF!</v>
      </c>
      <c r="E141" s="301" t="e">
        <f aca="false">#REF!</f>
        <v>#REF!</v>
      </c>
    </row>
    <row r="142" customFormat="false" ht="12.75" hidden="false" customHeight="false" outlineLevel="0" collapsed="false">
      <c r="A142" s="282" t="e">
        <f aca="false">#REF!</f>
        <v>#REF!</v>
      </c>
      <c r="B142" s="300" t="e">
        <f aca="false">#REF!</f>
        <v>#REF!</v>
      </c>
      <c r="C142" s="300" t="e">
        <f aca="false">#REF!</f>
        <v>#REF!</v>
      </c>
      <c r="D142" s="301" t="e">
        <f aca="false">#REF!</f>
        <v>#REF!</v>
      </c>
      <c r="E142" s="301" t="e">
        <f aca="false">#REF!</f>
        <v>#REF!</v>
      </c>
    </row>
    <row r="143" customFormat="false" ht="12.75" hidden="false" customHeight="false" outlineLevel="0" collapsed="false">
      <c r="A143" s="282" t="e">
        <f aca="false">#REF!</f>
        <v>#REF!</v>
      </c>
      <c r="B143" s="300" t="e">
        <f aca="false">#REF!</f>
        <v>#REF!</v>
      </c>
      <c r="C143" s="300" t="e">
        <f aca="false">#REF!</f>
        <v>#REF!</v>
      </c>
      <c r="D143" s="301" t="e">
        <f aca="false">#REF!</f>
        <v>#REF!</v>
      </c>
      <c r="E143" s="301" t="e">
        <f aca="false">#REF!</f>
        <v>#REF!</v>
      </c>
    </row>
    <row r="144" customFormat="false" ht="12.75" hidden="false" customHeight="false" outlineLevel="0" collapsed="false">
      <c r="A144" s="282" t="e">
        <f aca="false">#REF!</f>
        <v>#REF!</v>
      </c>
      <c r="B144" s="300" t="e">
        <f aca="false">#REF!</f>
        <v>#REF!</v>
      </c>
      <c r="C144" s="300" t="e">
        <f aca="false">#REF!</f>
        <v>#REF!</v>
      </c>
      <c r="D144" s="301" t="e">
        <f aca="false">#REF!</f>
        <v>#REF!</v>
      </c>
      <c r="E144" s="301" t="e">
        <f aca="false">#REF!</f>
        <v>#REF!</v>
      </c>
    </row>
    <row r="145" customFormat="false" ht="12.75" hidden="false" customHeight="false" outlineLevel="0" collapsed="false">
      <c r="A145" s="282" t="e">
        <f aca="false">#REF!</f>
        <v>#REF!</v>
      </c>
      <c r="B145" s="300" t="e">
        <f aca="false">#REF!</f>
        <v>#REF!</v>
      </c>
      <c r="C145" s="300" t="e">
        <f aca="false">#REF!</f>
        <v>#REF!</v>
      </c>
      <c r="D145" s="301" t="e">
        <f aca="false">#REF!</f>
        <v>#REF!</v>
      </c>
      <c r="E145" s="301" t="e">
        <f aca="false">#REF!</f>
        <v>#REF!</v>
      </c>
    </row>
    <row r="146" customFormat="false" ht="12.75" hidden="false" customHeight="false" outlineLevel="0" collapsed="false">
      <c r="A146" s="282" t="e">
        <f aca="false">#REF!</f>
        <v>#REF!</v>
      </c>
      <c r="B146" s="300" t="e">
        <f aca="false">#REF!</f>
        <v>#REF!</v>
      </c>
      <c r="C146" s="300" t="e">
        <f aca="false">#REF!</f>
        <v>#REF!</v>
      </c>
      <c r="D146" s="301" t="e">
        <f aca="false">#REF!</f>
        <v>#REF!</v>
      </c>
      <c r="E146" s="301" t="e">
        <f aca="false">#REF!</f>
        <v>#REF!</v>
      </c>
    </row>
    <row r="147" customFormat="false" ht="12.75" hidden="false" customHeight="false" outlineLevel="0" collapsed="false">
      <c r="A147" s="282" t="e">
        <f aca="false">#REF!</f>
        <v>#REF!</v>
      </c>
      <c r="B147" s="300" t="e">
        <f aca="false">#REF!</f>
        <v>#REF!</v>
      </c>
      <c r="C147" s="300" t="e">
        <f aca="false">#REF!</f>
        <v>#REF!</v>
      </c>
      <c r="D147" s="301" t="e">
        <f aca="false">#REF!</f>
        <v>#REF!</v>
      </c>
      <c r="E147" s="301" t="e">
        <f aca="false">#REF!</f>
        <v>#REF!</v>
      </c>
    </row>
    <row r="148" customFormat="false" ht="12.75" hidden="false" customHeight="false" outlineLevel="0" collapsed="false">
      <c r="A148" s="282" t="e">
        <f aca="false">#REF!</f>
        <v>#REF!</v>
      </c>
      <c r="B148" s="300" t="e">
        <f aca="false">#REF!</f>
        <v>#REF!</v>
      </c>
      <c r="C148" s="300" t="e">
        <f aca="false">#REF!</f>
        <v>#REF!</v>
      </c>
      <c r="D148" s="301" t="e">
        <f aca="false">#REF!</f>
        <v>#REF!</v>
      </c>
      <c r="E148" s="301" t="e">
        <f aca="false">#REF!</f>
        <v>#REF!</v>
      </c>
    </row>
    <row r="149" customFormat="false" ht="12.75" hidden="false" customHeight="false" outlineLevel="0" collapsed="false">
      <c r="A149" s="282" t="e">
        <f aca="false">#REF!</f>
        <v>#REF!</v>
      </c>
      <c r="B149" s="300" t="e">
        <f aca="false">#REF!</f>
        <v>#REF!</v>
      </c>
      <c r="C149" s="300" t="e">
        <f aca="false">#REF!</f>
        <v>#REF!</v>
      </c>
      <c r="D149" s="301" t="e">
        <f aca="false">#REF!</f>
        <v>#REF!</v>
      </c>
      <c r="E149" s="301" t="e">
        <f aca="false">#REF!</f>
        <v>#REF!</v>
      </c>
    </row>
    <row r="150" customFormat="false" ht="12.75" hidden="false" customHeight="false" outlineLevel="0" collapsed="false">
      <c r="A150" s="282" t="e">
        <f aca="false">#REF!</f>
        <v>#REF!</v>
      </c>
      <c r="B150" s="300" t="e">
        <f aca="false">#REF!</f>
        <v>#REF!</v>
      </c>
      <c r="C150" s="300" t="e">
        <f aca="false">#REF!</f>
        <v>#REF!</v>
      </c>
      <c r="D150" s="301" t="e">
        <f aca="false">#REF!</f>
        <v>#REF!</v>
      </c>
      <c r="E150" s="301" t="e">
        <f aca="false">#REF!</f>
        <v>#REF!</v>
      </c>
    </row>
    <row r="151" customFormat="false" ht="12.75" hidden="false" customHeight="false" outlineLevel="0" collapsed="false">
      <c r="A151" s="282" t="e">
        <f aca="false">#REF!</f>
        <v>#REF!</v>
      </c>
      <c r="B151" s="300" t="e">
        <f aca="false">#REF!</f>
        <v>#REF!</v>
      </c>
      <c r="C151" s="300" t="e">
        <f aca="false">#REF!</f>
        <v>#REF!</v>
      </c>
      <c r="D151" s="301" t="e">
        <f aca="false">#REF!</f>
        <v>#REF!</v>
      </c>
      <c r="E151" s="301" t="e">
        <f aca="false">#REF!</f>
        <v>#REF!</v>
      </c>
    </row>
    <row r="152" customFormat="false" ht="12.75" hidden="false" customHeight="false" outlineLevel="0" collapsed="false">
      <c r="A152" s="282" t="e">
        <f aca="false">#REF!</f>
        <v>#REF!</v>
      </c>
      <c r="B152" s="300" t="e">
        <f aca="false">#REF!</f>
        <v>#REF!</v>
      </c>
      <c r="C152" s="300" t="e">
        <f aca="false">#REF!</f>
        <v>#REF!</v>
      </c>
      <c r="D152" s="301" t="e">
        <f aca="false">#REF!</f>
        <v>#REF!</v>
      </c>
      <c r="E152" s="301" t="e">
        <f aca="false">#REF!</f>
        <v>#REF!</v>
      </c>
    </row>
    <row r="153" customFormat="false" ht="12.75" hidden="false" customHeight="false" outlineLevel="0" collapsed="false">
      <c r="A153" s="282" t="e">
        <f aca="false">#REF!</f>
        <v>#REF!</v>
      </c>
      <c r="B153" s="300" t="e">
        <f aca="false">#REF!</f>
        <v>#REF!</v>
      </c>
      <c r="C153" s="300" t="e">
        <f aca="false">#REF!</f>
        <v>#REF!</v>
      </c>
      <c r="D153" s="301" t="e">
        <f aca="false">#REF!</f>
        <v>#REF!</v>
      </c>
      <c r="E153" s="301" t="e">
        <f aca="false">#REF!</f>
        <v>#REF!</v>
      </c>
    </row>
    <row r="154" customFormat="false" ht="12.75" hidden="false" customHeight="false" outlineLevel="0" collapsed="false">
      <c r="A154" s="282" t="e">
        <f aca="false">#REF!</f>
        <v>#REF!</v>
      </c>
      <c r="B154" s="300" t="e">
        <f aca="false">#REF!</f>
        <v>#REF!</v>
      </c>
      <c r="C154" s="300" t="e">
        <f aca="false">#REF!</f>
        <v>#REF!</v>
      </c>
      <c r="D154" s="301" t="e">
        <f aca="false">#REF!</f>
        <v>#REF!</v>
      </c>
      <c r="E154" s="301" t="e">
        <f aca="false">#REF!</f>
        <v>#REF!</v>
      </c>
    </row>
    <row r="155" customFormat="false" ht="12.75" hidden="false" customHeight="false" outlineLevel="0" collapsed="false">
      <c r="A155" s="282" t="e">
        <f aca="false">#REF!</f>
        <v>#REF!</v>
      </c>
      <c r="B155" s="300" t="e">
        <f aca="false">#REF!</f>
        <v>#REF!</v>
      </c>
      <c r="C155" s="300" t="e">
        <f aca="false">#REF!</f>
        <v>#REF!</v>
      </c>
      <c r="D155" s="301" t="e">
        <f aca="false">#REF!</f>
        <v>#REF!</v>
      </c>
      <c r="E155" s="301" t="e">
        <f aca="false">#REF!</f>
        <v>#REF!</v>
      </c>
    </row>
    <row r="156" customFormat="false" ht="12.75" hidden="false" customHeight="false" outlineLevel="0" collapsed="false">
      <c r="A156" s="282" t="e">
        <f aca="false">#REF!</f>
        <v>#REF!</v>
      </c>
      <c r="B156" s="300" t="e">
        <f aca="false">#REF!</f>
        <v>#REF!</v>
      </c>
      <c r="C156" s="300" t="e">
        <f aca="false">#REF!</f>
        <v>#REF!</v>
      </c>
      <c r="D156" s="301" t="e">
        <f aca="false">#REF!</f>
        <v>#REF!</v>
      </c>
      <c r="E156" s="301" t="e">
        <f aca="false">#REF!</f>
        <v>#REF!</v>
      </c>
    </row>
    <row r="157" customFormat="false" ht="12.75" hidden="false" customHeight="false" outlineLevel="0" collapsed="false">
      <c r="A157" s="282" t="e">
        <f aca="false">#REF!</f>
        <v>#REF!</v>
      </c>
      <c r="B157" s="300" t="e">
        <f aca="false">#REF!</f>
        <v>#REF!</v>
      </c>
      <c r="C157" s="300" t="e">
        <f aca="false">#REF!</f>
        <v>#REF!</v>
      </c>
      <c r="D157" s="301" t="e">
        <f aca="false">#REF!</f>
        <v>#REF!</v>
      </c>
      <c r="E157" s="301" t="e">
        <f aca="false">#REF!</f>
        <v>#REF!</v>
      </c>
    </row>
    <row r="158" customFormat="false" ht="12.75" hidden="false" customHeight="false" outlineLevel="0" collapsed="false">
      <c r="A158" s="282" t="e">
        <f aca="false">#REF!</f>
        <v>#REF!</v>
      </c>
      <c r="B158" s="300" t="e">
        <f aca="false">#REF!</f>
        <v>#REF!</v>
      </c>
      <c r="C158" s="300" t="e">
        <f aca="false">#REF!</f>
        <v>#REF!</v>
      </c>
      <c r="D158" s="301" t="e">
        <f aca="false">#REF!</f>
        <v>#REF!</v>
      </c>
      <c r="E158" s="301" t="e">
        <f aca="false">#REF!</f>
        <v>#REF!</v>
      </c>
    </row>
    <row r="159" customFormat="false" ht="12.75" hidden="false" customHeight="false" outlineLevel="0" collapsed="false">
      <c r="A159" s="282" t="e">
        <f aca="false">#REF!</f>
        <v>#REF!</v>
      </c>
      <c r="B159" s="300" t="e">
        <f aca="false">#REF!</f>
        <v>#REF!</v>
      </c>
      <c r="C159" s="300" t="e">
        <f aca="false">#REF!</f>
        <v>#REF!</v>
      </c>
      <c r="D159" s="301" t="e">
        <f aca="false">#REF!</f>
        <v>#REF!</v>
      </c>
      <c r="E159" s="301" t="e">
        <f aca="false">#REF!</f>
        <v>#REF!</v>
      </c>
    </row>
    <row r="160" customFormat="false" ht="12.75" hidden="false" customHeight="false" outlineLevel="0" collapsed="false">
      <c r="A160" s="282" t="e">
        <f aca="false">#REF!</f>
        <v>#REF!</v>
      </c>
      <c r="B160" s="300" t="e">
        <f aca="false">#REF!</f>
        <v>#REF!</v>
      </c>
      <c r="C160" s="300" t="e">
        <f aca="false">#REF!</f>
        <v>#REF!</v>
      </c>
      <c r="D160" s="301" t="e">
        <f aca="false">#REF!</f>
        <v>#REF!</v>
      </c>
      <c r="E160" s="301" t="e">
        <f aca="false">#REF!</f>
        <v>#REF!</v>
      </c>
    </row>
    <row r="161" customFormat="false" ht="12.75" hidden="false" customHeight="false" outlineLevel="0" collapsed="false">
      <c r="A161" s="282" t="e">
        <f aca="false">#REF!</f>
        <v>#REF!</v>
      </c>
      <c r="B161" s="300" t="e">
        <f aca="false">#REF!</f>
        <v>#REF!</v>
      </c>
      <c r="C161" s="300" t="e">
        <f aca="false">#REF!</f>
        <v>#REF!</v>
      </c>
      <c r="D161" s="301" t="e">
        <f aca="false">#REF!</f>
        <v>#REF!</v>
      </c>
      <c r="E161" s="301" t="e">
        <f aca="false">#REF!</f>
        <v>#REF!</v>
      </c>
    </row>
    <row r="162" customFormat="false" ht="12.75" hidden="false" customHeight="false" outlineLevel="0" collapsed="false">
      <c r="A162" s="282" t="e">
        <f aca="false">#REF!</f>
        <v>#REF!</v>
      </c>
      <c r="B162" s="300" t="e">
        <f aca="false">#REF!</f>
        <v>#REF!</v>
      </c>
      <c r="C162" s="300" t="e">
        <f aca="false">#REF!</f>
        <v>#REF!</v>
      </c>
      <c r="D162" s="301" t="e">
        <f aca="false">#REF!</f>
        <v>#REF!</v>
      </c>
      <c r="E162" s="301" t="e">
        <f aca="false">#REF!</f>
        <v>#REF!</v>
      </c>
    </row>
    <row r="163" customFormat="false" ht="12.75" hidden="false" customHeight="false" outlineLevel="0" collapsed="false">
      <c r="A163" s="282" t="e">
        <f aca="false">#REF!</f>
        <v>#REF!</v>
      </c>
      <c r="B163" s="300" t="e">
        <f aca="false">#REF!</f>
        <v>#REF!</v>
      </c>
      <c r="C163" s="300" t="e">
        <f aca="false">#REF!</f>
        <v>#REF!</v>
      </c>
      <c r="D163" s="301" t="e">
        <f aca="false">#REF!</f>
        <v>#REF!</v>
      </c>
      <c r="E163" s="301" t="e">
        <f aca="false">#REF!</f>
        <v>#REF!</v>
      </c>
    </row>
    <row r="164" customFormat="false" ht="12.75" hidden="false" customHeight="false" outlineLevel="0" collapsed="false">
      <c r="A164" s="282" t="e">
        <f aca="false">#REF!</f>
        <v>#REF!</v>
      </c>
      <c r="B164" s="300" t="e">
        <f aca="false">#REF!</f>
        <v>#REF!</v>
      </c>
      <c r="C164" s="300" t="e">
        <f aca="false">#REF!</f>
        <v>#REF!</v>
      </c>
      <c r="D164" s="301" t="e">
        <f aca="false">#REF!</f>
        <v>#REF!</v>
      </c>
      <c r="E164" s="301" t="e">
        <f aca="false">#REF!</f>
        <v>#REF!</v>
      </c>
    </row>
    <row r="165" customFormat="false" ht="12.75" hidden="false" customHeight="false" outlineLevel="0" collapsed="false">
      <c r="A165" s="282" t="e">
        <f aca="false">#REF!</f>
        <v>#REF!</v>
      </c>
      <c r="B165" s="300" t="e">
        <f aca="false">#REF!</f>
        <v>#REF!</v>
      </c>
      <c r="C165" s="300" t="e">
        <f aca="false">#REF!</f>
        <v>#REF!</v>
      </c>
      <c r="D165" s="301" t="e">
        <f aca="false">#REF!</f>
        <v>#REF!</v>
      </c>
      <c r="E165" s="301" t="e">
        <f aca="false">#REF!</f>
        <v>#REF!</v>
      </c>
    </row>
    <row r="166" customFormat="false" ht="12.75" hidden="false" customHeight="false" outlineLevel="0" collapsed="false">
      <c r="A166" s="282" t="e">
        <f aca="false">#REF!</f>
        <v>#REF!</v>
      </c>
      <c r="B166" s="300" t="e">
        <f aca="false">#REF!</f>
        <v>#REF!</v>
      </c>
      <c r="C166" s="300" t="e">
        <f aca="false">#REF!</f>
        <v>#REF!</v>
      </c>
      <c r="D166" s="301" t="e">
        <f aca="false">#REF!</f>
        <v>#REF!</v>
      </c>
      <c r="E166" s="301" t="e">
        <f aca="false">#REF!</f>
        <v>#REF!</v>
      </c>
    </row>
    <row r="167" customFormat="false" ht="12.75" hidden="false" customHeight="false" outlineLevel="0" collapsed="false">
      <c r="A167" s="282" t="e">
        <f aca="false">#REF!</f>
        <v>#REF!</v>
      </c>
      <c r="B167" s="300" t="e">
        <f aca="false">#REF!</f>
        <v>#REF!</v>
      </c>
      <c r="C167" s="300" t="e">
        <f aca="false">#REF!</f>
        <v>#REF!</v>
      </c>
      <c r="D167" s="301" t="e">
        <f aca="false">#REF!</f>
        <v>#REF!</v>
      </c>
      <c r="E167" s="301" t="e">
        <f aca="false">#REF!</f>
        <v>#REF!</v>
      </c>
    </row>
    <row r="168" customFormat="false" ht="12.75" hidden="false" customHeight="false" outlineLevel="0" collapsed="false">
      <c r="A168" s="282" t="e">
        <f aca="false">#REF!</f>
        <v>#REF!</v>
      </c>
      <c r="B168" s="300" t="e">
        <f aca="false">#REF!</f>
        <v>#REF!</v>
      </c>
      <c r="C168" s="300" t="e">
        <f aca="false">#REF!</f>
        <v>#REF!</v>
      </c>
      <c r="D168" s="301" t="e">
        <f aca="false">#REF!</f>
        <v>#REF!</v>
      </c>
      <c r="E168" s="301" t="e">
        <f aca="false">#REF!</f>
        <v>#REF!</v>
      </c>
    </row>
    <row r="169" customFormat="false" ht="12.75" hidden="false" customHeight="false" outlineLevel="0" collapsed="false">
      <c r="A169" s="282" t="e">
        <f aca="false">#REF!</f>
        <v>#REF!</v>
      </c>
      <c r="B169" s="300" t="e">
        <f aca="false">#REF!</f>
        <v>#REF!</v>
      </c>
      <c r="C169" s="300" t="e">
        <f aca="false">#REF!</f>
        <v>#REF!</v>
      </c>
      <c r="D169" s="301" t="e">
        <f aca="false">#REF!</f>
        <v>#REF!</v>
      </c>
      <c r="E169" s="301" t="e">
        <f aca="false">#REF!</f>
        <v>#REF!</v>
      </c>
    </row>
    <row r="170" customFormat="false" ht="12.75" hidden="false" customHeight="false" outlineLevel="0" collapsed="false">
      <c r="A170" s="282" t="e">
        <f aca="false">#REF!</f>
        <v>#REF!</v>
      </c>
      <c r="B170" s="300" t="e">
        <f aca="false">#REF!</f>
        <v>#REF!</v>
      </c>
      <c r="C170" s="300" t="e">
        <f aca="false">#REF!</f>
        <v>#REF!</v>
      </c>
      <c r="D170" s="301" t="e">
        <f aca="false">#REF!</f>
        <v>#REF!</v>
      </c>
      <c r="E170" s="301" t="e">
        <f aca="false">#REF!</f>
        <v>#REF!</v>
      </c>
    </row>
    <row r="171" customFormat="false" ht="12.75" hidden="false" customHeight="false" outlineLevel="0" collapsed="false">
      <c r="A171" s="282" t="e">
        <f aca="false">#REF!</f>
        <v>#REF!</v>
      </c>
      <c r="B171" s="300" t="e">
        <f aca="false">#REF!</f>
        <v>#REF!</v>
      </c>
      <c r="C171" s="300" t="e">
        <f aca="false">#REF!</f>
        <v>#REF!</v>
      </c>
      <c r="D171" s="301" t="e">
        <f aca="false">#REF!</f>
        <v>#REF!</v>
      </c>
      <c r="E171" s="301" t="e">
        <f aca="false">#REF!</f>
        <v>#REF!</v>
      </c>
    </row>
    <row r="172" customFormat="false" ht="12.75" hidden="false" customHeight="false" outlineLevel="0" collapsed="false">
      <c r="A172" s="282" t="e">
        <f aca="false">#REF!</f>
        <v>#REF!</v>
      </c>
      <c r="B172" s="300" t="e">
        <f aca="false">#REF!</f>
        <v>#REF!</v>
      </c>
      <c r="C172" s="300" t="e">
        <f aca="false">#REF!</f>
        <v>#REF!</v>
      </c>
      <c r="D172" s="301" t="e">
        <f aca="false">#REF!</f>
        <v>#REF!</v>
      </c>
      <c r="E172" s="301" t="e">
        <f aca="false">#REF!</f>
        <v>#REF!</v>
      </c>
    </row>
    <row r="173" customFormat="false" ht="12.75" hidden="false" customHeight="false" outlineLevel="0" collapsed="false">
      <c r="A173" s="282" t="e">
        <f aca="false">#REF!</f>
        <v>#REF!</v>
      </c>
      <c r="B173" s="300" t="e">
        <f aca="false">#REF!</f>
        <v>#REF!</v>
      </c>
      <c r="C173" s="300" t="e">
        <f aca="false">#REF!</f>
        <v>#REF!</v>
      </c>
      <c r="D173" s="301" t="e">
        <f aca="false">#REF!</f>
        <v>#REF!</v>
      </c>
      <c r="E173" s="301" t="e">
        <f aca="false">#REF!</f>
        <v>#REF!</v>
      </c>
    </row>
    <row r="174" customFormat="false" ht="12.75" hidden="false" customHeight="false" outlineLevel="0" collapsed="false">
      <c r="A174" s="282" t="e">
        <f aca="false">#REF!</f>
        <v>#REF!</v>
      </c>
      <c r="B174" s="300" t="e">
        <f aca="false">#REF!</f>
        <v>#REF!</v>
      </c>
      <c r="C174" s="300" t="e">
        <f aca="false">#REF!</f>
        <v>#REF!</v>
      </c>
      <c r="D174" s="301" t="e">
        <f aca="false">#REF!</f>
        <v>#REF!</v>
      </c>
      <c r="E174" s="301" t="e">
        <f aca="false">#REF!</f>
        <v>#REF!</v>
      </c>
    </row>
    <row r="175" customFormat="false" ht="12.75" hidden="false" customHeight="false" outlineLevel="0" collapsed="false">
      <c r="A175" s="282" t="e">
        <f aca="false">#REF!</f>
        <v>#REF!</v>
      </c>
      <c r="B175" s="300" t="e">
        <f aca="false">#REF!</f>
        <v>#REF!</v>
      </c>
      <c r="C175" s="300" t="e">
        <f aca="false">#REF!</f>
        <v>#REF!</v>
      </c>
      <c r="D175" s="301" t="e">
        <f aca="false">#REF!</f>
        <v>#REF!</v>
      </c>
      <c r="E175" s="301" t="e">
        <f aca="false">#REF!</f>
        <v>#REF!</v>
      </c>
    </row>
    <row r="176" customFormat="false" ht="12.75" hidden="false" customHeight="false" outlineLevel="0" collapsed="false">
      <c r="A176" s="282" t="e">
        <f aca="false">#REF!</f>
        <v>#REF!</v>
      </c>
      <c r="B176" s="300" t="e">
        <f aca="false">#REF!</f>
        <v>#REF!</v>
      </c>
      <c r="C176" s="300" t="e">
        <f aca="false">#REF!</f>
        <v>#REF!</v>
      </c>
      <c r="D176" s="301" t="e">
        <f aca="false">#REF!</f>
        <v>#REF!</v>
      </c>
      <c r="E176" s="301" t="e">
        <f aca="false">#REF!</f>
        <v>#REF!</v>
      </c>
    </row>
    <row r="177" customFormat="false" ht="12.75" hidden="false" customHeight="false" outlineLevel="0" collapsed="false">
      <c r="A177" s="282" t="e">
        <f aca="false">#REF!</f>
        <v>#REF!</v>
      </c>
      <c r="B177" s="300" t="e">
        <f aca="false">#REF!</f>
        <v>#REF!</v>
      </c>
      <c r="C177" s="300" t="e">
        <f aca="false">#REF!</f>
        <v>#REF!</v>
      </c>
      <c r="D177" s="301" t="e">
        <f aca="false">#REF!</f>
        <v>#REF!</v>
      </c>
      <c r="E177" s="301" t="e">
        <f aca="false">#REF!</f>
        <v>#REF!</v>
      </c>
    </row>
    <row r="178" customFormat="false" ht="12.75" hidden="false" customHeight="false" outlineLevel="0" collapsed="false">
      <c r="A178" s="282" t="e">
        <f aca="false">#REF!</f>
        <v>#REF!</v>
      </c>
      <c r="B178" s="300" t="e">
        <f aca="false">#REF!</f>
        <v>#REF!</v>
      </c>
      <c r="C178" s="300" t="e">
        <f aca="false">#REF!</f>
        <v>#REF!</v>
      </c>
      <c r="D178" s="301" t="e">
        <f aca="false">#REF!</f>
        <v>#REF!</v>
      </c>
      <c r="E178" s="301" t="e">
        <f aca="false">#REF!</f>
        <v>#REF!</v>
      </c>
    </row>
    <row r="179" customFormat="false" ht="12.75" hidden="false" customHeight="false" outlineLevel="0" collapsed="false">
      <c r="A179" s="282" t="e">
        <f aca="false">#REF!</f>
        <v>#REF!</v>
      </c>
      <c r="B179" s="300" t="e">
        <f aca="false">#REF!</f>
        <v>#REF!</v>
      </c>
      <c r="C179" s="300" t="e">
        <f aca="false">#REF!</f>
        <v>#REF!</v>
      </c>
      <c r="D179" s="301" t="e">
        <f aca="false">#REF!</f>
        <v>#REF!</v>
      </c>
      <c r="E179" s="301" t="e">
        <f aca="false">#REF!</f>
        <v>#REF!</v>
      </c>
    </row>
    <row r="180" customFormat="false" ht="12.75" hidden="false" customHeight="false" outlineLevel="0" collapsed="false">
      <c r="A180" s="282" t="e">
        <f aca="false">#REF!</f>
        <v>#REF!</v>
      </c>
      <c r="B180" s="300" t="e">
        <f aca="false">#REF!</f>
        <v>#REF!</v>
      </c>
      <c r="C180" s="300" t="e">
        <f aca="false">#REF!</f>
        <v>#REF!</v>
      </c>
      <c r="D180" s="301" t="e">
        <f aca="false">#REF!</f>
        <v>#REF!</v>
      </c>
      <c r="E180" s="301" t="e">
        <f aca="false">#REF!</f>
        <v>#REF!</v>
      </c>
    </row>
    <row r="181" customFormat="false" ht="12.75" hidden="false" customHeight="false" outlineLevel="0" collapsed="false">
      <c r="A181" s="282" t="e">
        <f aca="false">#REF!</f>
        <v>#REF!</v>
      </c>
      <c r="B181" s="300" t="e">
        <f aca="false">#REF!</f>
        <v>#REF!</v>
      </c>
      <c r="C181" s="300" t="e">
        <f aca="false">#REF!</f>
        <v>#REF!</v>
      </c>
      <c r="D181" s="301" t="e">
        <f aca="false">#REF!</f>
        <v>#REF!</v>
      </c>
      <c r="E181" s="301" t="e">
        <f aca="false">#REF!</f>
        <v>#REF!</v>
      </c>
    </row>
    <row r="182" customFormat="false" ht="12.75" hidden="false" customHeight="false" outlineLevel="0" collapsed="false">
      <c r="A182" s="282" t="e">
        <f aca="false">#REF!</f>
        <v>#REF!</v>
      </c>
      <c r="B182" s="300" t="e">
        <f aca="false">#REF!</f>
        <v>#REF!</v>
      </c>
      <c r="C182" s="300" t="e">
        <f aca="false">#REF!</f>
        <v>#REF!</v>
      </c>
      <c r="D182" s="301" t="e">
        <f aca="false">#REF!</f>
        <v>#REF!</v>
      </c>
      <c r="E182" s="301" t="e">
        <f aca="false">#REF!</f>
        <v>#REF!</v>
      </c>
    </row>
    <row r="183" customFormat="false" ht="12.75" hidden="false" customHeight="false" outlineLevel="0" collapsed="false">
      <c r="A183" s="282" t="e">
        <f aca="false">#REF!</f>
        <v>#REF!</v>
      </c>
      <c r="B183" s="300" t="e">
        <f aca="false">#REF!</f>
        <v>#REF!</v>
      </c>
      <c r="C183" s="300" t="e">
        <f aca="false">#REF!</f>
        <v>#REF!</v>
      </c>
      <c r="D183" s="301" t="e">
        <f aca="false">#REF!</f>
        <v>#REF!</v>
      </c>
      <c r="E183" s="301" t="e">
        <f aca="false">#REF!</f>
        <v>#REF!</v>
      </c>
    </row>
    <row r="184" customFormat="false" ht="12.75" hidden="false" customHeight="false" outlineLevel="0" collapsed="false">
      <c r="A184" s="282" t="e">
        <f aca="false">#REF!</f>
        <v>#REF!</v>
      </c>
      <c r="B184" s="300" t="e">
        <f aca="false">#REF!</f>
        <v>#REF!</v>
      </c>
      <c r="C184" s="300" t="e">
        <f aca="false">#REF!</f>
        <v>#REF!</v>
      </c>
      <c r="D184" s="301" t="e">
        <f aca="false">#REF!</f>
        <v>#REF!</v>
      </c>
      <c r="E184" s="301" t="e">
        <f aca="false">#REF!</f>
        <v>#REF!</v>
      </c>
    </row>
    <row r="185" customFormat="false" ht="12.75" hidden="false" customHeight="false" outlineLevel="0" collapsed="false">
      <c r="A185" s="282" t="e">
        <f aca="false">#REF!</f>
        <v>#REF!</v>
      </c>
      <c r="B185" s="300" t="e">
        <f aca="false">#REF!</f>
        <v>#REF!</v>
      </c>
      <c r="C185" s="300" t="e">
        <f aca="false">#REF!</f>
        <v>#REF!</v>
      </c>
      <c r="D185" s="301" t="e">
        <f aca="false">#REF!</f>
        <v>#REF!</v>
      </c>
      <c r="E185" s="301" t="e">
        <f aca="false">#REF!</f>
        <v>#REF!</v>
      </c>
    </row>
    <row r="186" customFormat="false" ht="12.75" hidden="false" customHeight="false" outlineLevel="0" collapsed="false">
      <c r="A186" s="282" t="e">
        <f aca="false">#REF!</f>
        <v>#REF!</v>
      </c>
      <c r="B186" s="300" t="e">
        <f aca="false">#REF!</f>
        <v>#REF!</v>
      </c>
      <c r="C186" s="300" t="e">
        <f aca="false">#REF!</f>
        <v>#REF!</v>
      </c>
      <c r="D186" s="301" t="e">
        <f aca="false">#REF!</f>
        <v>#REF!</v>
      </c>
      <c r="E186" s="301" t="e">
        <f aca="false">#REF!</f>
        <v>#REF!</v>
      </c>
    </row>
    <row r="187" customFormat="false" ht="12.75" hidden="false" customHeight="false" outlineLevel="0" collapsed="false">
      <c r="A187" s="282" t="e">
        <f aca="false">#REF!</f>
        <v>#REF!</v>
      </c>
      <c r="B187" s="300" t="e">
        <f aca="false">#REF!</f>
        <v>#REF!</v>
      </c>
      <c r="C187" s="300" t="e">
        <f aca="false">#REF!</f>
        <v>#REF!</v>
      </c>
      <c r="D187" s="301" t="e">
        <f aca="false">#REF!</f>
        <v>#REF!</v>
      </c>
      <c r="E187" s="301" t="e">
        <f aca="false">#REF!</f>
        <v>#REF!</v>
      </c>
    </row>
    <row r="188" customFormat="false" ht="12.75" hidden="false" customHeight="false" outlineLevel="0" collapsed="false">
      <c r="A188" s="282" t="e">
        <f aca="false">#REF!</f>
        <v>#REF!</v>
      </c>
      <c r="B188" s="300" t="e">
        <f aca="false">#REF!</f>
        <v>#REF!</v>
      </c>
      <c r="C188" s="300" t="e">
        <f aca="false">#REF!</f>
        <v>#REF!</v>
      </c>
      <c r="D188" s="301" t="e">
        <f aca="false">#REF!</f>
        <v>#REF!</v>
      </c>
      <c r="E188" s="301" t="e">
        <f aca="false">#REF!</f>
        <v>#REF!</v>
      </c>
    </row>
    <row r="189" customFormat="false" ht="12.75" hidden="false" customHeight="false" outlineLevel="0" collapsed="false">
      <c r="A189" s="282" t="e">
        <f aca="false">#REF!</f>
        <v>#REF!</v>
      </c>
      <c r="B189" s="300" t="e">
        <f aca="false">#REF!</f>
        <v>#REF!</v>
      </c>
      <c r="C189" s="300" t="e">
        <f aca="false">#REF!</f>
        <v>#REF!</v>
      </c>
      <c r="D189" s="301" t="e">
        <f aca="false">#REF!</f>
        <v>#REF!</v>
      </c>
      <c r="E189" s="301" t="e">
        <f aca="false">#REF!</f>
        <v>#REF!</v>
      </c>
    </row>
    <row r="190" customFormat="false" ht="12.75" hidden="false" customHeight="false" outlineLevel="0" collapsed="false">
      <c r="A190" s="282" t="e">
        <f aca="false">#REF!</f>
        <v>#REF!</v>
      </c>
      <c r="B190" s="300" t="e">
        <f aca="false">#REF!</f>
        <v>#REF!</v>
      </c>
      <c r="C190" s="300" t="e">
        <f aca="false">#REF!</f>
        <v>#REF!</v>
      </c>
      <c r="D190" s="301" t="e">
        <f aca="false">#REF!</f>
        <v>#REF!</v>
      </c>
      <c r="E190" s="301" t="e">
        <f aca="false">#REF!</f>
        <v>#REF!</v>
      </c>
    </row>
    <row r="191" customFormat="false" ht="12.75" hidden="false" customHeight="false" outlineLevel="0" collapsed="false">
      <c r="A191" s="282" t="e">
        <f aca="false">#REF!</f>
        <v>#REF!</v>
      </c>
      <c r="B191" s="300" t="e">
        <f aca="false">#REF!</f>
        <v>#REF!</v>
      </c>
      <c r="C191" s="300" t="e">
        <f aca="false">#REF!</f>
        <v>#REF!</v>
      </c>
      <c r="D191" s="301" t="e">
        <f aca="false">#REF!</f>
        <v>#REF!</v>
      </c>
      <c r="E191" s="301" t="e">
        <f aca="false">#REF!</f>
        <v>#REF!</v>
      </c>
    </row>
    <row r="192" customFormat="false" ht="12.75" hidden="false" customHeight="false" outlineLevel="0" collapsed="false">
      <c r="A192" s="282" t="e">
        <f aca="false">#REF!</f>
        <v>#REF!</v>
      </c>
      <c r="B192" s="300" t="e">
        <f aca="false">#REF!</f>
        <v>#REF!</v>
      </c>
      <c r="C192" s="300" t="e">
        <f aca="false">#REF!</f>
        <v>#REF!</v>
      </c>
      <c r="D192" s="301" t="e">
        <f aca="false">#REF!</f>
        <v>#REF!</v>
      </c>
      <c r="E192" s="301" t="e">
        <f aca="false">#REF!</f>
        <v>#REF!</v>
      </c>
    </row>
    <row r="193" customFormat="false" ht="12.75" hidden="false" customHeight="false" outlineLevel="0" collapsed="false">
      <c r="A193" s="282" t="e">
        <f aca="false">#REF!</f>
        <v>#REF!</v>
      </c>
      <c r="B193" s="300" t="e">
        <f aca="false">#REF!</f>
        <v>#REF!</v>
      </c>
      <c r="C193" s="300" t="e">
        <f aca="false">#REF!</f>
        <v>#REF!</v>
      </c>
      <c r="D193" s="301" t="e">
        <f aca="false">#REF!</f>
        <v>#REF!</v>
      </c>
      <c r="E193" s="301" t="e">
        <f aca="false">#REF!</f>
        <v>#REF!</v>
      </c>
    </row>
    <row r="194" customFormat="false" ht="12.75" hidden="false" customHeight="false" outlineLevel="0" collapsed="false">
      <c r="A194" s="282" t="e">
        <f aca="false">#REF!</f>
        <v>#REF!</v>
      </c>
      <c r="B194" s="300" t="e">
        <f aca="false">#REF!</f>
        <v>#REF!</v>
      </c>
      <c r="C194" s="300" t="e">
        <f aca="false">#REF!</f>
        <v>#REF!</v>
      </c>
      <c r="D194" s="301" t="e">
        <f aca="false">#REF!</f>
        <v>#REF!</v>
      </c>
      <c r="E194" s="301" t="e">
        <f aca="false">#REF!</f>
        <v>#REF!</v>
      </c>
    </row>
    <row r="195" customFormat="false" ht="12.75" hidden="false" customHeight="false" outlineLevel="0" collapsed="false">
      <c r="A195" s="282" t="e">
        <f aca="false">#REF!</f>
        <v>#REF!</v>
      </c>
      <c r="B195" s="300" t="e">
        <f aca="false">#REF!</f>
        <v>#REF!</v>
      </c>
      <c r="C195" s="300" t="e">
        <f aca="false">#REF!</f>
        <v>#REF!</v>
      </c>
      <c r="D195" s="301" t="e">
        <f aca="false">#REF!</f>
        <v>#REF!</v>
      </c>
      <c r="E195" s="301" t="e">
        <f aca="false">#REF!</f>
        <v>#REF!</v>
      </c>
    </row>
    <row r="196" customFormat="false" ht="12.75" hidden="false" customHeight="false" outlineLevel="0" collapsed="false">
      <c r="A196" s="282" t="e">
        <f aca="false">#REF!</f>
        <v>#REF!</v>
      </c>
      <c r="B196" s="300" t="e">
        <f aca="false">#REF!</f>
        <v>#REF!</v>
      </c>
      <c r="C196" s="300" t="e">
        <f aca="false">#REF!</f>
        <v>#REF!</v>
      </c>
      <c r="D196" s="301" t="e">
        <f aca="false">#REF!</f>
        <v>#REF!</v>
      </c>
      <c r="E196" s="301" t="e">
        <f aca="false">#REF!</f>
        <v>#REF!</v>
      </c>
    </row>
    <row r="197" customFormat="false" ht="12.75" hidden="false" customHeight="false" outlineLevel="0" collapsed="false">
      <c r="A197" s="282" t="e">
        <f aca="false">#REF!</f>
        <v>#REF!</v>
      </c>
      <c r="B197" s="300" t="e">
        <f aca="false">#REF!</f>
        <v>#REF!</v>
      </c>
      <c r="C197" s="300" t="e">
        <f aca="false">#REF!</f>
        <v>#REF!</v>
      </c>
      <c r="D197" s="301" t="e">
        <f aca="false">#REF!</f>
        <v>#REF!</v>
      </c>
      <c r="E197" s="301" t="e">
        <f aca="false">#REF!</f>
        <v>#REF!</v>
      </c>
    </row>
    <row r="198" customFormat="false" ht="12.75" hidden="false" customHeight="false" outlineLevel="0" collapsed="false">
      <c r="A198" s="282" t="e">
        <f aca="false">#REF!</f>
        <v>#REF!</v>
      </c>
      <c r="B198" s="300" t="e">
        <f aca="false">#REF!</f>
        <v>#REF!</v>
      </c>
      <c r="C198" s="300" t="e">
        <f aca="false">#REF!</f>
        <v>#REF!</v>
      </c>
      <c r="D198" s="301" t="e">
        <f aca="false">#REF!</f>
        <v>#REF!</v>
      </c>
      <c r="E198" s="301" t="e">
        <f aca="false">#REF!</f>
        <v>#REF!</v>
      </c>
    </row>
    <row r="199" customFormat="false" ht="12.75" hidden="false" customHeight="false" outlineLevel="0" collapsed="false">
      <c r="A199" s="282" t="e">
        <f aca="false">#REF!</f>
        <v>#REF!</v>
      </c>
      <c r="B199" s="300" t="e">
        <f aca="false">#REF!</f>
        <v>#REF!</v>
      </c>
      <c r="C199" s="300" t="e">
        <f aca="false">#REF!</f>
        <v>#REF!</v>
      </c>
      <c r="D199" s="301" t="e">
        <f aca="false">#REF!</f>
        <v>#REF!</v>
      </c>
      <c r="E199" s="301" t="e">
        <f aca="false">#REF!</f>
        <v>#REF!</v>
      </c>
    </row>
    <row r="200" customFormat="false" ht="12.75" hidden="false" customHeight="false" outlineLevel="0" collapsed="false">
      <c r="A200" s="282" t="e">
        <f aca="false">#REF!</f>
        <v>#REF!</v>
      </c>
      <c r="B200" s="300" t="e">
        <f aca="false">#REF!</f>
        <v>#REF!</v>
      </c>
      <c r="C200" s="300" t="e">
        <f aca="false">#REF!</f>
        <v>#REF!</v>
      </c>
      <c r="D200" s="301" t="e">
        <f aca="false">#REF!</f>
        <v>#REF!</v>
      </c>
      <c r="E200" s="301" t="e">
        <f aca="false">#REF!</f>
        <v>#REF!</v>
      </c>
    </row>
    <row r="201" customFormat="false" ht="12.75" hidden="false" customHeight="false" outlineLevel="0" collapsed="false">
      <c r="A201" s="282" t="e">
        <f aca="false">#REF!</f>
        <v>#REF!</v>
      </c>
      <c r="B201" s="300" t="e">
        <f aca="false">#REF!</f>
        <v>#REF!</v>
      </c>
      <c r="C201" s="300" t="e">
        <f aca="false">#REF!</f>
        <v>#REF!</v>
      </c>
      <c r="D201" s="301" t="e">
        <f aca="false">#REF!</f>
        <v>#REF!</v>
      </c>
      <c r="E201" s="301" t="e">
        <f aca="false">#REF!</f>
        <v>#REF!</v>
      </c>
    </row>
    <row r="202" customFormat="false" ht="12.75" hidden="false" customHeight="false" outlineLevel="0" collapsed="false">
      <c r="A202" s="282" t="e">
        <f aca="false">#REF!</f>
        <v>#REF!</v>
      </c>
      <c r="B202" s="300" t="e">
        <f aca="false">#REF!</f>
        <v>#REF!</v>
      </c>
      <c r="C202" s="300" t="e">
        <f aca="false">#REF!</f>
        <v>#REF!</v>
      </c>
      <c r="D202" s="301" t="e">
        <f aca="false">#REF!</f>
        <v>#REF!</v>
      </c>
      <c r="E202" s="301" t="e">
        <f aca="false">#REF!</f>
        <v>#REF!</v>
      </c>
    </row>
    <row r="203" customFormat="false" ht="12.75" hidden="false" customHeight="false" outlineLevel="0" collapsed="false">
      <c r="A203" s="282" t="e">
        <f aca="false">#REF!</f>
        <v>#REF!</v>
      </c>
      <c r="B203" s="300" t="e">
        <f aca="false">#REF!</f>
        <v>#REF!</v>
      </c>
      <c r="C203" s="300" t="e">
        <f aca="false">#REF!</f>
        <v>#REF!</v>
      </c>
      <c r="D203" s="301" t="e">
        <f aca="false">#REF!</f>
        <v>#REF!</v>
      </c>
      <c r="E203" s="301" t="e">
        <f aca="false">#REF!</f>
        <v>#REF!</v>
      </c>
    </row>
    <row r="204" customFormat="false" ht="12.75" hidden="false" customHeight="false" outlineLevel="0" collapsed="false">
      <c r="A204" s="282" t="e">
        <f aca="false">#REF!</f>
        <v>#REF!</v>
      </c>
      <c r="B204" s="300" t="e">
        <f aca="false">#REF!</f>
        <v>#REF!</v>
      </c>
      <c r="C204" s="300" t="e">
        <f aca="false">#REF!</f>
        <v>#REF!</v>
      </c>
      <c r="D204" s="301" t="e">
        <f aca="false">#REF!</f>
        <v>#REF!</v>
      </c>
      <c r="E204" s="301" t="e">
        <f aca="false">#REF!</f>
        <v>#REF!</v>
      </c>
    </row>
    <row r="205" customFormat="false" ht="12.75" hidden="false" customHeight="false" outlineLevel="0" collapsed="false">
      <c r="A205" s="282" t="e">
        <f aca="false">#REF!</f>
        <v>#REF!</v>
      </c>
      <c r="B205" s="300" t="e">
        <f aca="false">#REF!</f>
        <v>#REF!</v>
      </c>
      <c r="C205" s="300" t="e">
        <f aca="false">#REF!</f>
        <v>#REF!</v>
      </c>
      <c r="D205" s="301" t="e">
        <f aca="false">#REF!</f>
        <v>#REF!</v>
      </c>
      <c r="E205" s="301" t="e">
        <f aca="false">#REF!</f>
        <v>#REF!</v>
      </c>
    </row>
    <row r="206" customFormat="false" ht="12.75" hidden="false" customHeight="false" outlineLevel="0" collapsed="false">
      <c r="A206" s="282" t="e">
        <f aca="false">#REF!</f>
        <v>#REF!</v>
      </c>
      <c r="B206" s="300" t="e">
        <f aca="false">#REF!</f>
        <v>#REF!</v>
      </c>
      <c r="C206" s="300" t="e">
        <f aca="false">#REF!</f>
        <v>#REF!</v>
      </c>
      <c r="D206" s="301" t="e">
        <f aca="false">#REF!</f>
        <v>#REF!</v>
      </c>
      <c r="E206" s="301" t="e">
        <f aca="false">#REF!</f>
        <v>#REF!</v>
      </c>
    </row>
    <row r="207" customFormat="false" ht="12.75" hidden="false" customHeight="false" outlineLevel="0" collapsed="false">
      <c r="A207" s="282" t="e">
        <f aca="false">#REF!</f>
        <v>#REF!</v>
      </c>
      <c r="B207" s="300" t="e">
        <f aca="false">#REF!</f>
        <v>#REF!</v>
      </c>
      <c r="C207" s="300" t="e">
        <f aca="false">#REF!</f>
        <v>#REF!</v>
      </c>
      <c r="D207" s="301" t="e">
        <f aca="false">#REF!</f>
        <v>#REF!</v>
      </c>
      <c r="E207" s="301" t="e">
        <f aca="false">#REF!</f>
        <v>#REF!</v>
      </c>
    </row>
    <row r="208" customFormat="false" ht="12.75" hidden="false" customHeight="false" outlineLevel="0" collapsed="false">
      <c r="A208" s="282" t="e">
        <f aca="false">#REF!</f>
        <v>#REF!</v>
      </c>
      <c r="B208" s="300" t="e">
        <f aca="false">#REF!</f>
        <v>#REF!</v>
      </c>
      <c r="C208" s="300" t="e">
        <f aca="false">#REF!</f>
        <v>#REF!</v>
      </c>
      <c r="D208" s="301" t="e">
        <f aca="false">#REF!</f>
        <v>#REF!</v>
      </c>
      <c r="E208" s="301" t="e">
        <f aca="false">#REF!</f>
        <v>#REF!</v>
      </c>
    </row>
    <row r="209" customFormat="false" ht="12.75" hidden="false" customHeight="false" outlineLevel="0" collapsed="false">
      <c r="A209" s="282" t="e">
        <f aca="false">#REF!</f>
        <v>#REF!</v>
      </c>
      <c r="B209" s="300" t="e">
        <f aca="false">#REF!</f>
        <v>#REF!</v>
      </c>
      <c r="C209" s="300" t="e">
        <f aca="false">#REF!</f>
        <v>#REF!</v>
      </c>
      <c r="D209" s="301" t="e">
        <f aca="false">#REF!</f>
        <v>#REF!</v>
      </c>
      <c r="E209" s="301" t="e">
        <f aca="false">#REF!</f>
        <v>#REF!</v>
      </c>
    </row>
    <row r="210" customFormat="false" ht="12.75" hidden="false" customHeight="false" outlineLevel="0" collapsed="false">
      <c r="A210" s="282" t="e">
        <f aca="false">#REF!</f>
        <v>#REF!</v>
      </c>
      <c r="B210" s="300" t="e">
        <f aca="false">#REF!</f>
        <v>#REF!</v>
      </c>
      <c r="C210" s="300" t="e">
        <f aca="false">#REF!</f>
        <v>#REF!</v>
      </c>
      <c r="D210" s="301" t="e">
        <f aca="false">#REF!</f>
        <v>#REF!</v>
      </c>
      <c r="E210" s="301" t="e">
        <f aca="false">#REF!</f>
        <v>#REF!</v>
      </c>
    </row>
    <row r="211" customFormat="false" ht="12.75" hidden="false" customHeight="false" outlineLevel="0" collapsed="false">
      <c r="A211" s="282" t="e">
        <f aca="false">#REF!</f>
        <v>#REF!</v>
      </c>
      <c r="B211" s="300" t="e">
        <f aca="false">#REF!</f>
        <v>#REF!</v>
      </c>
      <c r="C211" s="300" t="e">
        <f aca="false">#REF!</f>
        <v>#REF!</v>
      </c>
      <c r="D211" s="301" t="e">
        <f aca="false">#REF!</f>
        <v>#REF!</v>
      </c>
      <c r="E211" s="301" t="e">
        <f aca="false">#REF!</f>
        <v>#REF!</v>
      </c>
    </row>
    <row r="212" customFormat="false" ht="12.75" hidden="false" customHeight="false" outlineLevel="0" collapsed="false">
      <c r="A212" s="282" t="e">
        <f aca="false">#REF!</f>
        <v>#REF!</v>
      </c>
      <c r="B212" s="300" t="e">
        <f aca="false">#REF!</f>
        <v>#REF!</v>
      </c>
      <c r="C212" s="300" t="e">
        <f aca="false">#REF!</f>
        <v>#REF!</v>
      </c>
      <c r="D212" s="301" t="e">
        <f aca="false">#REF!</f>
        <v>#REF!</v>
      </c>
      <c r="E212" s="301" t="e">
        <f aca="false">#REF!</f>
        <v>#REF!</v>
      </c>
    </row>
    <row r="213" customFormat="false" ht="12.75" hidden="false" customHeight="false" outlineLevel="0" collapsed="false">
      <c r="A213" s="282" t="e">
        <f aca="false">#REF!</f>
        <v>#REF!</v>
      </c>
      <c r="B213" s="300" t="e">
        <f aca="false">#REF!</f>
        <v>#REF!</v>
      </c>
      <c r="C213" s="300" t="e">
        <f aca="false">#REF!</f>
        <v>#REF!</v>
      </c>
      <c r="D213" s="301" t="e">
        <f aca="false">#REF!</f>
        <v>#REF!</v>
      </c>
      <c r="E213" s="301" t="e">
        <f aca="false">#REF!</f>
        <v>#REF!</v>
      </c>
    </row>
    <row r="214" customFormat="false" ht="12.75" hidden="false" customHeight="false" outlineLevel="0" collapsed="false">
      <c r="A214" s="282" t="e">
        <f aca="false">#REF!</f>
        <v>#REF!</v>
      </c>
      <c r="B214" s="300" t="e">
        <f aca="false">#REF!</f>
        <v>#REF!</v>
      </c>
      <c r="C214" s="300" t="e">
        <f aca="false">#REF!</f>
        <v>#REF!</v>
      </c>
      <c r="D214" s="301" t="e">
        <f aca="false">#REF!</f>
        <v>#REF!</v>
      </c>
      <c r="E214" s="301" t="e">
        <f aca="false">#REF!</f>
        <v>#REF!</v>
      </c>
    </row>
    <row r="215" customFormat="false" ht="12.75" hidden="false" customHeight="false" outlineLevel="0" collapsed="false">
      <c r="A215" s="282" t="e">
        <f aca="false">#REF!</f>
        <v>#REF!</v>
      </c>
      <c r="B215" s="300" t="e">
        <f aca="false">#REF!</f>
        <v>#REF!</v>
      </c>
      <c r="C215" s="300" t="e">
        <f aca="false">#REF!</f>
        <v>#REF!</v>
      </c>
      <c r="D215" s="301" t="e">
        <f aca="false">#REF!</f>
        <v>#REF!</v>
      </c>
      <c r="E215" s="301" t="e">
        <f aca="false">#REF!</f>
        <v>#REF!</v>
      </c>
    </row>
    <row r="216" customFormat="false" ht="12.75" hidden="false" customHeight="false" outlineLevel="0" collapsed="false">
      <c r="A216" s="282" t="e">
        <f aca="false">#REF!</f>
        <v>#REF!</v>
      </c>
      <c r="B216" s="300" t="e">
        <f aca="false">#REF!</f>
        <v>#REF!</v>
      </c>
      <c r="C216" s="300" t="e">
        <f aca="false">#REF!</f>
        <v>#REF!</v>
      </c>
      <c r="D216" s="301" t="e">
        <f aca="false">#REF!</f>
        <v>#REF!</v>
      </c>
      <c r="E216" s="301" t="e">
        <f aca="false">#REF!</f>
        <v>#REF!</v>
      </c>
    </row>
    <row r="217" customFormat="false" ht="12.75" hidden="false" customHeight="false" outlineLevel="0" collapsed="false">
      <c r="A217" s="282" t="e">
        <f aca="false">#REF!</f>
        <v>#REF!</v>
      </c>
      <c r="B217" s="300" t="e">
        <f aca="false">#REF!</f>
        <v>#REF!</v>
      </c>
      <c r="C217" s="300" t="e">
        <f aca="false">#REF!</f>
        <v>#REF!</v>
      </c>
      <c r="D217" s="301" t="e">
        <f aca="false">#REF!</f>
        <v>#REF!</v>
      </c>
      <c r="E217" s="301" t="e">
        <f aca="false">#REF!</f>
        <v>#REF!</v>
      </c>
    </row>
    <row r="218" customFormat="false" ht="12.75" hidden="false" customHeight="false" outlineLevel="0" collapsed="false">
      <c r="A218" s="282" t="e">
        <f aca="false">#REF!</f>
        <v>#REF!</v>
      </c>
      <c r="B218" s="300" t="e">
        <f aca="false">#REF!</f>
        <v>#REF!</v>
      </c>
      <c r="C218" s="300" t="e">
        <f aca="false">#REF!</f>
        <v>#REF!</v>
      </c>
      <c r="D218" s="301" t="e">
        <f aca="false">#REF!</f>
        <v>#REF!</v>
      </c>
      <c r="E218" s="301" t="e">
        <f aca="false">#REF!</f>
        <v>#REF!</v>
      </c>
    </row>
    <row r="219" customFormat="false" ht="12.75" hidden="false" customHeight="false" outlineLevel="0" collapsed="false">
      <c r="A219" s="282" t="e">
        <f aca="false">#REF!</f>
        <v>#REF!</v>
      </c>
      <c r="B219" s="300" t="e">
        <f aca="false">#REF!</f>
        <v>#REF!</v>
      </c>
      <c r="C219" s="300" t="e">
        <f aca="false">#REF!</f>
        <v>#REF!</v>
      </c>
      <c r="D219" s="301" t="e">
        <f aca="false">#REF!</f>
        <v>#REF!</v>
      </c>
      <c r="E219" s="301" t="e">
        <f aca="false">#REF!</f>
        <v>#REF!</v>
      </c>
    </row>
    <row r="220" customFormat="false" ht="12.75" hidden="false" customHeight="false" outlineLevel="0" collapsed="false">
      <c r="A220" s="282" t="e">
        <f aca="false">#REF!</f>
        <v>#REF!</v>
      </c>
      <c r="B220" s="300" t="e">
        <f aca="false">#REF!</f>
        <v>#REF!</v>
      </c>
      <c r="C220" s="300" t="e">
        <f aca="false">#REF!</f>
        <v>#REF!</v>
      </c>
      <c r="D220" s="301" t="e">
        <f aca="false">#REF!</f>
        <v>#REF!</v>
      </c>
      <c r="E220" s="301" t="e">
        <f aca="false">#REF!</f>
        <v>#REF!</v>
      </c>
    </row>
    <row r="221" customFormat="false" ht="12.75" hidden="false" customHeight="false" outlineLevel="0" collapsed="false">
      <c r="A221" s="282" t="e">
        <f aca="false">#REF!</f>
        <v>#REF!</v>
      </c>
      <c r="B221" s="300" t="e">
        <f aca="false">#REF!</f>
        <v>#REF!</v>
      </c>
      <c r="C221" s="300" t="e">
        <f aca="false">#REF!</f>
        <v>#REF!</v>
      </c>
      <c r="D221" s="301" t="e">
        <f aca="false">#REF!</f>
        <v>#REF!</v>
      </c>
      <c r="E221" s="301" t="e">
        <f aca="false">#REF!</f>
        <v>#REF!</v>
      </c>
    </row>
    <row r="222" customFormat="false" ht="12.75" hidden="false" customHeight="false" outlineLevel="0" collapsed="false">
      <c r="A222" s="282" t="e">
        <f aca="false">#REF!</f>
        <v>#REF!</v>
      </c>
      <c r="B222" s="300" t="e">
        <f aca="false">#REF!</f>
        <v>#REF!</v>
      </c>
      <c r="C222" s="300" t="e">
        <f aca="false">#REF!</f>
        <v>#REF!</v>
      </c>
      <c r="D222" s="301" t="e">
        <f aca="false">#REF!</f>
        <v>#REF!</v>
      </c>
      <c r="E222" s="301" t="e">
        <f aca="false">#REF!</f>
        <v>#REF!</v>
      </c>
    </row>
    <row r="223" customFormat="false" ht="12.75" hidden="false" customHeight="false" outlineLevel="0" collapsed="false">
      <c r="A223" s="282" t="e">
        <f aca="false">#REF!</f>
        <v>#REF!</v>
      </c>
      <c r="B223" s="300" t="e">
        <f aca="false">#REF!</f>
        <v>#REF!</v>
      </c>
      <c r="C223" s="300" t="e">
        <f aca="false">#REF!</f>
        <v>#REF!</v>
      </c>
      <c r="D223" s="301" t="e">
        <f aca="false">#REF!</f>
        <v>#REF!</v>
      </c>
      <c r="E223" s="301" t="e">
        <f aca="false">#REF!</f>
        <v>#REF!</v>
      </c>
    </row>
    <row r="224" customFormat="false" ht="12.75" hidden="false" customHeight="false" outlineLevel="0" collapsed="false">
      <c r="A224" s="282" t="e">
        <f aca="false">#REF!</f>
        <v>#REF!</v>
      </c>
      <c r="B224" s="300" t="e">
        <f aca="false">#REF!</f>
        <v>#REF!</v>
      </c>
      <c r="C224" s="300" t="e">
        <f aca="false">#REF!</f>
        <v>#REF!</v>
      </c>
      <c r="D224" s="301" t="e">
        <f aca="false">#REF!</f>
        <v>#REF!</v>
      </c>
      <c r="E224" s="301" t="e">
        <f aca="false">#REF!</f>
        <v>#REF!</v>
      </c>
    </row>
    <row r="225" customFormat="false" ht="12.75" hidden="false" customHeight="false" outlineLevel="0" collapsed="false">
      <c r="A225" s="282" t="e">
        <f aca="false">#REF!</f>
        <v>#REF!</v>
      </c>
      <c r="B225" s="300" t="e">
        <f aca="false">#REF!</f>
        <v>#REF!</v>
      </c>
      <c r="C225" s="300" t="e">
        <f aca="false">#REF!</f>
        <v>#REF!</v>
      </c>
      <c r="D225" s="301" t="e">
        <f aca="false">#REF!</f>
        <v>#REF!</v>
      </c>
      <c r="E225" s="301" t="e">
        <f aca="false">#REF!</f>
        <v>#REF!</v>
      </c>
    </row>
    <row r="226" customFormat="false" ht="12.75" hidden="false" customHeight="false" outlineLevel="0" collapsed="false">
      <c r="A226" s="282" t="e">
        <f aca="false">#REF!</f>
        <v>#REF!</v>
      </c>
      <c r="B226" s="300" t="e">
        <f aca="false">#REF!</f>
        <v>#REF!</v>
      </c>
      <c r="C226" s="300" t="e">
        <f aca="false">#REF!</f>
        <v>#REF!</v>
      </c>
      <c r="D226" s="301" t="e">
        <f aca="false">#REF!</f>
        <v>#REF!</v>
      </c>
      <c r="E226" s="301" t="e">
        <f aca="false">#REF!</f>
        <v>#REF!</v>
      </c>
    </row>
    <row r="227" customFormat="false" ht="12.75" hidden="false" customHeight="false" outlineLevel="0" collapsed="false">
      <c r="A227" s="282" t="e">
        <f aca="false">#REF!</f>
        <v>#REF!</v>
      </c>
      <c r="B227" s="300" t="e">
        <f aca="false">#REF!</f>
        <v>#REF!</v>
      </c>
      <c r="C227" s="300" t="e">
        <f aca="false">#REF!</f>
        <v>#REF!</v>
      </c>
      <c r="D227" s="301" t="e">
        <f aca="false">#REF!</f>
        <v>#REF!</v>
      </c>
      <c r="E227" s="301" t="e">
        <f aca="false">#REF!</f>
        <v>#REF!</v>
      </c>
    </row>
    <row r="228" customFormat="false" ht="12.75" hidden="false" customHeight="false" outlineLevel="0" collapsed="false">
      <c r="A228" s="282" t="e">
        <f aca="false">#REF!</f>
        <v>#REF!</v>
      </c>
      <c r="B228" s="300" t="e">
        <f aca="false">#REF!</f>
        <v>#REF!</v>
      </c>
      <c r="C228" s="300" t="e">
        <f aca="false">#REF!</f>
        <v>#REF!</v>
      </c>
      <c r="D228" s="301" t="e">
        <f aca="false">#REF!</f>
        <v>#REF!</v>
      </c>
      <c r="E228" s="301" t="e">
        <f aca="false">#REF!</f>
        <v>#REF!</v>
      </c>
    </row>
    <row r="229" customFormat="false" ht="12.75" hidden="false" customHeight="false" outlineLevel="0" collapsed="false">
      <c r="A229" s="282" t="e">
        <f aca="false">#REF!</f>
        <v>#REF!</v>
      </c>
      <c r="B229" s="300" t="e">
        <f aca="false">#REF!</f>
        <v>#REF!</v>
      </c>
      <c r="C229" s="300" t="e">
        <f aca="false">#REF!</f>
        <v>#REF!</v>
      </c>
      <c r="D229" s="301" t="e">
        <f aca="false">#REF!</f>
        <v>#REF!</v>
      </c>
      <c r="E229" s="301" t="e">
        <f aca="false">#REF!</f>
        <v>#REF!</v>
      </c>
    </row>
    <row r="230" customFormat="false" ht="12.75" hidden="false" customHeight="false" outlineLevel="0" collapsed="false">
      <c r="A230" s="282" t="e">
        <f aca="false">#REF!</f>
        <v>#REF!</v>
      </c>
      <c r="B230" s="300" t="e">
        <f aca="false">#REF!</f>
        <v>#REF!</v>
      </c>
      <c r="C230" s="300" t="e">
        <f aca="false">#REF!</f>
        <v>#REF!</v>
      </c>
      <c r="D230" s="301" t="e">
        <f aca="false">#REF!</f>
        <v>#REF!</v>
      </c>
      <c r="E230" s="301" t="e">
        <f aca="false">#REF!</f>
        <v>#REF!</v>
      </c>
    </row>
    <row r="231" customFormat="false" ht="12.75" hidden="false" customHeight="false" outlineLevel="0" collapsed="false">
      <c r="A231" s="282" t="e">
        <f aca="false">#REF!</f>
        <v>#REF!</v>
      </c>
      <c r="B231" s="300" t="e">
        <f aca="false">#REF!</f>
        <v>#REF!</v>
      </c>
      <c r="C231" s="300" t="e">
        <f aca="false">#REF!</f>
        <v>#REF!</v>
      </c>
      <c r="D231" s="301" t="e">
        <f aca="false">#REF!</f>
        <v>#REF!</v>
      </c>
      <c r="E231" s="301" t="e">
        <f aca="false">#REF!</f>
        <v>#REF!</v>
      </c>
    </row>
    <row r="232" customFormat="false" ht="12.75" hidden="false" customHeight="false" outlineLevel="0" collapsed="false">
      <c r="A232" s="282" t="e">
        <f aca="false">#REF!</f>
        <v>#REF!</v>
      </c>
      <c r="B232" s="300" t="e">
        <f aca="false">#REF!</f>
        <v>#REF!</v>
      </c>
      <c r="C232" s="300" t="e">
        <f aca="false">#REF!</f>
        <v>#REF!</v>
      </c>
      <c r="D232" s="301" t="e">
        <f aca="false">#REF!</f>
        <v>#REF!</v>
      </c>
      <c r="E232" s="301" t="e">
        <f aca="false">#REF!</f>
        <v>#REF!</v>
      </c>
    </row>
    <row r="233" customFormat="false" ht="12.75" hidden="false" customHeight="false" outlineLevel="0" collapsed="false">
      <c r="A233" s="282" t="e">
        <f aca="false">#REF!</f>
        <v>#REF!</v>
      </c>
      <c r="B233" s="300" t="e">
        <f aca="false">#REF!</f>
        <v>#REF!</v>
      </c>
      <c r="C233" s="300" t="e">
        <f aca="false">#REF!</f>
        <v>#REF!</v>
      </c>
      <c r="D233" s="301" t="e">
        <f aca="false">#REF!</f>
        <v>#REF!</v>
      </c>
      <c r="E233" s="301" t="e">
        <f aca="false">#REF!</f>
        <v>#REF!</v>
      </c>
    </row>
    <row r="234" customFormat="false" ht="12.75" hidden="false" customHeight="false" outlineLevel="0" collapsed="false">
      <c r="A234" s="282" t="e">
        <f aca="false">#REF!</f>
        <v>#REF!</v>
      </c>
      <c r="B234" s="300" t="e">
        <f aca="false">#REF!</f>
        <v>#REF!</v>
      </c>
      <c r="C234" s="300" t="e">
        <f aca="false">#REF!</f>
        <v>#REF!</v>
      </c>
      <c r="D234" s="301" t="e">
        <f aca="false">#REF!</f>
        <v>#REF!</v>
      </c>
      <c r="E234" s="301" t="e">
        <f aca="false">#REF!</f>
        <v>#REF!</v>
      </c>
    </row>
    <row r="235" customFormat="false" ht="12.75" hidden="false" customHeight="false" outlineLevel="0" collapsed="false">
      <c r="A235" s="282" t="e">
        <f aca="false">#REF!</f>
        <v>#REF!</v>
      </c>
      <c r="B235" s="300" t="e">
        <f aca="false">#REF!</f>
        <v>#REF!</v>
      </c>
      <c r="C235" s="300" t="e">
        <f aca="false">#REF!</f>
        <v>#REF!</v>
      </c>
      <c r="D235" s="301" t="e">
        <f aca="false">#REF!</f>
        <v>#REF!</v>
      </c>
      <c r="E235" s="301" t="e">
        <f aca="false">#REF!</f>
        <v>#REF!</v>
      </c>
    </row>
    <row r="236" customFormat="false" ht="12.75" hidden="false" customHeight="false" outlineLevel="0" collapsed="false">
      <c r="A236" s="282" t="e">
        <f aca="false">#REF!</f>
        <v>#REF!</v>
      </c>
      <c r="B236" s="300" t="e">
        <f aca="false">#REF!</f>
        <v>#REF!</v>
      </c>
      <c r="C236" s="300" t="e">
        <f aca="false">#REF!</f>
        <v>#REF!</v>
      </c>
      <c r="D236" s="301" t="e">
        <f aca="false">#REF!</f>
        <v>#REF!</v>
      </c>
      <c r="E236" s="301" t="e">
        <f aca="false">#REF!</f>
        <v>#REF!</v>
      </c>
    </row>
    <row r="237" customFormat="false" ht="12.75" hidden="false" customHeight="false" outlineLevel="0" collapsed="false">
      <c r="A237" s="282" t="e">
        <f aca="false">#REF!</f>
        <v>#REF!</v>
      </c>
      <c r="B237" s="300" t="e">
        <f aca="false">#REF!</f>
        <v>#REF!</v>
      </c>
      <c r="C237" s="300" t="e">
        <f aca="false">#REF!</f>
        <v>#REF!</v>
      </c>
      <c r="D237" s="301" t="e">
        <f aca="false">#REF!</f>
        <v>#REF!</v>
      </c>
      <c r="E237" s="301" t="e">
        <f aca="false">#REF!</f>
        <v>#REF!</v>
      </c>
    </row>
    <row r="238" customFormat="false" ht="12.75" hidden="false" customHeight="false" outlineLevel="0" collapsed="false">
      <c r="A238" s="282" t="e">
        <f aca="false">#REF!</f>
        <v>#REF!</v>
      </c>
      <c r="B238" s="300" t="e">
        <f aca="false">#REF!</f>
        <v>#REF!</v>
      </c>
      <c r="C238" s="300" t="e">
        <f aca="false">#REF!</f>
        <v>#REF!</v>
      </c>
      <c r="D238" s="301" t="e">
        <f aca="false">#REF!</f>
        <v>#REF!</v>
      </c>
      <c r="E238" s="301" t="e">
        <f aca="false">#REF!</f>
        <v>#REF!</v>
      </c>
    </row>
    <row r="239" customFormat="false" ht="12.75" hidden="false" customHeight="false" outlineLevel="0" collapsed="false">
      <c r="A239" s="282" t="e">
        <f aca="false">#REF!</f>
        <v>#REF!</v>
      </c>
      <c r="B239" s="300" t="e">
        <f aca="false">#REF!</f>
        <v>#REF!</v>
      </c>
      <c r="C239" s="300" t="e">
        <f aca="false">#REF!</f>
        <v>#REF!</v>
      </c>
      <c r="D239" s="301" t="e">
        <f aca="false">#REF!</f>
        <v>#REF!</v>
      </c>
      <c r="E239" s="301" t="e">
        <f aca="false">#REF!</f>
        <v>#REF!</v>
      </c>
    </row>
    <row r="240" customFormat="false" ht="12.75" hidden="false" customHeight="false" outlineLevel="0" collapsed="false">
      <c r="A240" s="282" t="e">
        <f aca="false">#REF!</f>
        <v>#REF!</v>
      </c>
      <c r="B240" s="300" t="e">
        <f aca="false">#REF!</f>
        <v>#REF!</v>
      </c>
      <c r="C240" s="300" t="e">
        <f aca="false">#REF!</f>
        <v>#REF!</v>
      </c>
      <c r="D240" s="301" t="e">
        <f aca="false">#REF!</f>
        <v>#REF!</v>
      </c>
      <c r="E240" s="301" t="e">
        <f aca="false">#REF!</f>
        <v>#REF!</v>
      </c>
    </row>
    <row r="241" customFormat="false" ht="12.75" hidden="false" customHeight="false" outlineLevel="0" collapsed="false">
      <c r="A241" s="282" t="e">
        <f aca="false">#REF!</f>
        <v>#REF!</v>
      </c>
      <c r="B241" s="300" t="e">
        <f aca="false">#REF!</f>
        <v>#REF!</v>
      </c>
      <c r="C241" s="300" t="e">
        <f aca="false">#REF!</f>
        <v>#REF!</v>
      </c>
      <c r="D241" s="301" t="e">
        <f aca="false">#REF!</f>
        <v>#REF!</v>
      </c>
      <c r="E241" s="301" t="e">
        <f aca="false">#REF!</f>
        <v>#REF!</v>
      </c>
    </row>
    <row r="242" customFormat="false" ht="12.75" hidden="false" customHeight="false" outlineLevel="0" collapsed="false">
      <c r="A242" s="282" t="e">
        <f aca="false">#REF!</f>
        <v>#REF!</v>
      </c>
      <c r="B242" s="300" t="e">
        <f aca="false">#REF!</f>
        <v>#REF!</v>
      </c>
      <c r="C242" s="300" t="e">
        <f aca="false">#REF!</f>
        <v>#REF!</v>
      </c>
      <c r="D242" s="301" t="e">
        <f aca="false">#REF!</f>
        <v>#REF!</v>
      </c>
      <c r="E242" s="301" t="e">
        <f aca="false">#REF!</f>
        <v>#REF!</v>
      </c>
    </row>
    <row r="243" customFormat="false" ht="12.75" hidden="false" customHeight="false" outlineLevel="0" collapsed="false">
      <c r="A243" s="282" t="e">
        <f aca="false">#REF!</f>
        <v>#REF!</v>
      </c>
      <c r="B243" s="300" t="e">
        <f aca="false">#REF!</f>
        <v>#REF!</v>
      </c>
      <c r="C243" s="300" t="e">
        <f aca="false">#REF!</f>
        <v>#REF!</v>
      </c>
      <c r="D243" s="301" t="e">
        <f aca="false">#REF!</f>
        <v>#REF!</v>
      </c>
      <c r="E243" s="301" t="e">
        <f aca="false">#REF!</f>
        <v>#REF!</v>
      </c>
    </row>
    <row r="244" customFormat="false" ht="12.75" hidden="false" customHeight="false" outlineLevel="0" collapsed="false">
      <c r="A244" s="282" t="e">
        <f aca="false">#REF!</f>
        <v>#REF!</v>
      </c>
      <c r="B244" s="300" t="e">
        <f aca="false">#REF!</f>
        <v>#REF!</v>
      </c>
      <c r="C244" s="300" t="e">
        <f aca="false">#REF!</f>
        <v>#REF!</v>
      </c>
      <c r="D244" s="301" t="e">
        <f aca="false">#REF!</f>
        <v>#REF!</v>
      </c>
      <c r="E244" s="301" t="e">
        <f aca="false">#REF!</f>
        <v>#REF!</v>
      </c>
    </row>
    <row r="245" customFormat="false" ht="12.75" hidden="false" customHeight="false" outlineLevel="0" collapsed="false">
      <c r="A245" s="282" t="e">
        <f aca="false">#REF!</f>
        <v>#REF!</v>
      </c>
      <c r="B245" s="300" t="e">
        <f aca="false">#REF!</f>
        <v>#REF!</v>
      </c>
      <c r="C245" s="300" t="e">
        <f aca="false">#REF!</f>
        <v>#REF!</v>
      </c>
      <c r="D245" s="301" t="e">
        <f aca="false">#REF!</f>
        <v>#REF!</v>
      </c>
      <c r="E245" s="301" t="e">
        <f aca="false">#REF!</f>
        <v>#REF!</v>
      </c>
    </row>
    <row r="246" customFormat="false" ht="12.75" hidden="false" customHeight="false" outlineLevel="0" collapsed="false">
      <c r="A246" s="282" t="e">
        <f aca="false">#REF!</f>
        <v>#REF!</v>
      </c>
      <c r="B246" s="300" t="e">
        <f aca="false">#REF!</f>
        <v>#REF!</v>
      </c>
      <c r="C246" s="300" t="e">
        <f aca="false">#REF!</f>
        <v>#REF!</v>
      </c>
      <c r="D246" s="301" t="e">
        <f aca="false">#REF!</f>
        <v>#REF!</v>
      </c>
      <c r="E246" s="301" t="e">
        <f aca="false">#REF!</f>
        <v>#REF!</v>
      </c>
    </row>
    <row r="247" customFormat="false" ht="12.75" hidden="false" customHeight="false" outlineLevel="0" collapsed="false">
      <c r="A247" s="282" t="e">
        <f aca="false">#REF!</f>
        <v>#REF!</v>
      </c>
      <c r="B247" s="300" t="e">
        <f aca="false">#REF!</f>
        <v>#REF!</v>
      </c>
      <c r="C247" s="300" t="e">
        <f aca="false">#REF!</f>
        <v>#REF!</v>
      </c>
      <c r="D247" s="301" t="e">
        <f aca="false">#REF!</f>
        <v>#REF!</v>
      </c>
      <c r="E247" s="301" t="e">
        <f aca="false">#REF!</f>
        <v>#REF!</v>
      </c>
    </row>
    <row r="248" customFormat="false" ht="12.75" hidden="false" customHeight="false" outlineLevel="0" collapsed="false">
      <c r="A248" s="282" t="e">
        <f aca="false">#REF!</f>
        <v>#REF!</v>
      </c>
      <c r="B248" s="300" t="e">
        <f aca="false">#REF!</f>
        <v>#REF!</v>
      </c>
      <c r="C248" s="300" t="e">
        <f aca="false">#REF!</f>
        <v>#REF!</v>
      </c>
      <c r="D248" s="301" t="e">
        <f aca="false">#REF!</f>
        <v>#REF!</v>
      </c>
      <c r="E248" s="301" t="e">
        <f aca="false">#REF!</f>
        <v>#REF!</v>
      </c>
    </row>
    <row r="249" customFormat="false" ht="12.75" hidden="false" customHeight="false" outlineLevel="0" collapsed="false">
      <c r="A249" s="282" t="e">
        <f aca="false">#REF!</f>
        <v>#REF!</v>
      </c>
      <c r="B249" s="300" t="e">
        <f aca="false">#REF!</f>
        <v>#REF!</v>
      </c>
      <c r="C249" s="300" t="e">
        <f aca="false">#REF!</f>
        <v>#REF!</v>
      </c>
      <c r="D249" s="301" t="e">
        <f aca="false">#REF!</f>
        <v>#REF!</v>
      </c>
      <c r="E249" s="301" t="e">
        <f aca="false">#REF!</f>
        <v>#REF!</v>
      </c>
    </row>
    <row r="250" customFormat="false" ht="12.75" hidden="false" customHeight="false" outlineLevel="0" collapsed="false">
      <c r="A250" s="282" t="e">
        <f aca="false">#REF!</f>
        <v>#REF!</v>
      </c>
      <c r="B250" s="300" t="e">
        <f aca="false">#REF!</f>
        <v>#REF!</v>
      </c>
      <c r="C250" s="300" t="e">
        <f aca="false">#REF!</f>
        <v>#REF!</v>
      </c>
      <c r="D250" s="301" t="e">
        <f aca="false">#REF!</f>
        <v>#REF!</v>
      </c>
      <c r="E250" s="301" t="e">
        <f aca="false">#REF!</f>
        <v>#REF!</v>
      </c>
    </row>
    <row r="251" customFormat="false" ht="12.75" hidden="false" customHeight="false" outlineLevel="0" collapsed="false">
      <c r="A251" s="282" t="e">
        <f aca="false">#REF!</f>
        <v>#REF!</v>
      </c>
      <c r="B251" s="300" t="e">
        <f aca="false">#REF!</f>
        <v>#REF!</v>
      </c>
      <c r="C251" s="300" t="e">
        <f aca="false">#REF!</f>
        <v>#REF!</v>
      </c>
      <c r="D251" s="301" t="e">
        <f aca="false">#REF!</f>
        <v>#REF!</v>
      </c>
      <c r="E251" s="301" t="e">
        <f aca="false">#REF!</f>
        <v>#REF!</v>
      </c>
    </row>
    <row r="252" customFormat="false" ht="12.75" hidden="false" customHeight="false" outlineLevel="0" collapsed="false">
      <c r="A252" s="282" t="e">
        <f aca="false">#REF!</f>
        <v>#REF!</v>
      </c>
      <c r="B252" s="300" t="e">
        <f aca="false">#REF!</f>
        <v>#REF!</v>
      </c>
      <c r="C252" s="300" t="e">
        <f aca="false">#REF!</f>
        <v>#REF!</v>
      </c>
      <c r="D252" s="301" t="e">
        <f aca="false">#REF!</f>
        <v>#REF!</v>
      </c>
      <c r="E252" s="301" t="e">
        <f aca="false">#REF!</f>
        <v>#REF!</v>
      </c>
    </row>
    <row r="253" customFormat="false" ht="12.75" hidden="false" customHeight="false" outlineLevel="0" collapsed="false">
      <c r="A253" s="282" t="e">
        <f aca="false">#REF!</f>
        <v>#REF!</v>
      </c>
      <c r="B253" s="300" t="e">
        <f aca="false">#REF!</f>
        <v>#REF!</v>
      </c>
      <c r="C253" s="300" t="e">
        <f aca="false">#REF!</f>
        <v>#REF!</v>
      </c>
      <c r="D253" s="301" t="e">
        <f aca="false">#REF!</f>
        <v>#REF!</v>
      </c>
      <c r="E253" s="301" t="e">
        <f aca="false">#REF!</f>
        <v>#REF!</v>
      </c>
    </row>
    <row r="254" customFormat="false" ht="12.75" hidden="false" customHeight="false" outlineLevel="0" collapsed="false">
      <c r="A254" s="282" t="e">
        <f aca="false">#REF!</f>
        <v>#REF!</v>
      </c>
      <c r="B254" s="300" t="e">
        <f aca="false">#REF!</f>
        <v>#REF!</v>
      </c>
      <c r="C254" s="300" t="e">
        <f aca="false">#REF!</f>
        <v>#REF!</v>
      </c>
      <c r="D254" s="301" t="e">
        <f aca="false">#REF!</f>
        <v>#REF!</v>
      </c>
      <c r="E254" s="301" t="e">
        <f aca="false">#REF!</f>
        <v>#REF!</v>
      </c>
    </row>
    <row r="255" customFormat="false" ht="12.75" hidden="false" customHeight="false" outlineLevel="0" collapsed="false">
      <c r="A255" s="282" t="e">
        <f aca="false">#REF!</f>
        <v>#REF!</v>
      </c>
      <c r="B255" s="300" t="e">
        <f aca="false">#REF!</f>
        <v>#REF!</v>
      </c>
      <c r="C255" s="300" t="e">
        <f aca="false">#REF!</f>
        <v>#REF!</v>
      </c>
      <c r="D255" s="301" t="e">
        <f aca="false">#REF!</f>
        <v>#REF!</v>
      </c>
      <c r="E255" s="301" t="e">
        <f aca="false">#REF!</f>
        <v>#REF!</v>
      </c>
    </row>
    <row r="256" customFormat="false" ht="12.75" hidden="false" customHeight="false" outlineLevel="0" collapsed="false">
      <c r="A256" s="282" t="e">
        <f aca="false">#REF!</f>
        <v>#REF!</v>
      </c>
      <c r="B256" s="300" t="e">
        <f aca="false">#REF!</f>
        <v>#REF!</v>
      </c>
      <c r="C256" s="300" t="e">
        <f aca="false">#REF!</f>
        <v>#REF!</v>
      </c>
      <c r="D256" s="301" t="e">
        <f aca="false">#REF!</f>
        <v>#REF!</v>
      </c>
      <c r="E256" s="301" t="e">
        <f aca="false">#REF!</f>
        <v>#REF!</v>
      </c>
    </row>
    <row r="257" customFormat="false" ht="12.75" hidden="false" customHeight="false" outlineLevel="0" collapsed="false">
      <c r="A257" s="282" t="e">
        <f aca="false">#REF!</f>
        <v>#REF!</v>
      </c>
      <c r="B257" s="300" t="e">
        <f aca="false">#REF!</f>
        <v>#REF!</v>
      </c>
      <c r="C257" s="300" t="e">
        <f aca="false">#REF!</f>
        <v>#REF!</v>
      </c>
      <c r="D257" s="301" t="e">
        <f aca="false">#REF!</f>
        <v>#REF!</v>
      </c>
      <c r="E257" s="301" t="e">
        <f aca="false">#REF!</f>
        <v>#REF!</v>
      </c>
    </row>
    <row r="258" customFormat="false" ht="12.75" hidden="false" customHeight="false" outlineLevel="0" collapsed="false">
      <c r="A258" s="282" t="e">
        <f aca="false">#REF!</f>
        <v>#REF!</v>
      </c>
      <c r="B258" s="300" t="e">
        <f aca="false">#REF!</f>
        <v>#REF!</v>
      </c>
      <c r="C258" s="300" t="e">
        <f aca="false">#REF!</f>
        <v>#REF!</v>
      </c>
      <c r="D258" s="301" t="e">
        <f aca="false">#REF!</f>
        <v>#REF!</v>
      </c>
      <c r="E258" s="301" t="e">
        <f aca="false">#REF!</f>
        <v>#REF!</v>
      </c>
    </row>
  </sheetData>
  <mergeCells count="3">
    <mergeCell ref="B3:E3"/>
    <mergeCell ref="B4:C4"/>
    <mergeCell ref="D4:E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1997-10-07T15:58:31Z</dcterms:created>
  <dc:creator>Micah</dc:creator>
  <dc:description>- Oracle 8i ODBC QueryFix Applied</dc:description>
  <dc:language>en-US</dc:language>
  <cp:lastModifiedBy>s_mcrouch</cp:lastModifiedBy>
  <cp:lastPrinted>2000-07-27T16:22:55Z</cp:lastPrinted>
  <cp:revision>0</cp:revision>
  <dc:subject/>
  <dc:title/>
</cp:coreProperties>
</file>