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<sst xmlns="http://schemas.openxmlformats.org/spreadsheetml/2006/main" count="127" uniqueCount="93">
  <si>
    <t xml:space="preserve">Vendor</t>
  </si>
  <si>
    <t xml:space="preserve">Aircraft</t>
  </si>
  <si>
    <t xml:space="preserve">Interest</t>
  </si>
  <si>
    <t xml:space="preserve">After Tax Opportunity Cost</t>
  </si>
  <si>
    <t xml:space="preserve">Annual Aircraft Depreciation</t>
  </si>
  <si>
    <t xml:space="preserve">Annual Monthly Price Increase</t>
  </si>
  <si>
    <t xml:space="preserve">Annual Hourly Price Increase</t>
  </si>
  <si>
    <t xml:space="preserve">Tax on Hourly Charge</t>
  </si>
  <si>
    <t xml:space="preserve">Est. Hourly Fuel Surcharge</t>
  </si>
  <si>
    <t xml:space="preserve">Charged Hours</t>
  </si>
  <si>
    <t xml:space="preserve">for Taxi Time</t>
  </si>
  <si>
    <t xml:space="preserve">Average Leg Length (hrs)</t>
  </si>
  <si>
    <t xml:space="preserve">Purchase Price</t>
  </si>
  <si>
    <t xml:space="preserve">Initial Monthly Mgmt Fee</t>
  </si>
  <si>
    <t xml:space="preserve">Initial Occupied Hourly Rate</t>
  </si>
  <si>
    <t xml:space="preserve">Annual Hours</t>
  </si>
  <si>
    <t xml:space="preserve">Annual Flight Hours</t>
  </si>
  <si>
    <t xml:space="preserve">Avg Hourly Rate</t>
  </si>
  <si>
    <t xml:space="preserve">Avg Hourly Fuel</t>
  </si>
  <si>
    <t xml:space="preserve">Variable Hourly Cost</t>
  </si>
  <si>
    <t xml:space="preserve">Avg Hourly Management</t>
  </si>
  <si>
    <t xml:space="preserve">Depreciation per hour</t>
  </si>
  <si>
    <t xml:space="preserve">Opportunity charge per hour</t>
  </si>
  <si>
    <t xml:space="preserve">Fixed Hourly Cost</t>
  </si>
  <si>
    <t xml:space="preserve">Total Hourly Cost</t>
  </si>
  <si>
    <t xml:space="preserve">Avg Annual Cash Cost</t>
  </si>
  <si>
    <t xml:space="preserve">Total Depreciation</t>
  </si>
  <si>
    <t xml:space="preserve">Total 5 year Cash Cost</t>
  </si>
  <si>
    <t xml:space="preserve">Total 5 year Opportunity Cost</t>
  </si>
  <si>
    <t xml:space="preserve">Total 5 year Cost</t>
  </si>
  <si>
    <t xml:space="preserve">Selection 1</t>
  </si>
  <si>
    <t xml:space="preserve">Selection 2</t>
  </si>
  <si>
    <t xml:space="preserve">Selection 3</t>
  </si>
  <si>
    <t xml:space="preserve">Selection 4</t>
  </si>
  <si>
    <t xml:space="preserve">Selection 5</t>
  </si>
  <si>
    <t xml:space="preserve">Intersest</t>
  </si>
  <si>
    <t xml:space="preserve">Yes/No</t>
  </si>
  <si>
    <t xml:space="preserve">Vendors</t>
  </si>
  <si>
    <t xml:space="preserve">NetJets</t>
  </si>
  <si>
    <t xml:space="preserve">TravelAir</t>
  </si>
  <si>
    <t xml:space="preserve">FlightOptions</t>
  </si>
  <si>
    <t xml:space="preserve">Eights</t>
  </si>
  <si>
    <t xml:space="preserve">Hours</t>
  </si>
  <si>
    <t xml:space="preserve">Range</t>
  </si>
  <si>
    <t xml:space="preserve">Purchase</t>
  </si>
  <si>
    <t xml:space="preserve">Monthly</t>
  </si>
  <si>
    <t xml:space="preserve">Hourly</t>
  </si>
  <si>
    <t xml:space="preserve">Average Leg</t>
  </si>
  <si>
    <t xml:space="preserve">Adder</t>
  </si>
  <si>
    <t xml:space="preserve">FltHrs</t>
  </si>
  <si>
    <t xml:space="preserve">Tot Legs</t>
  </si>
  <si>
    <t xml:space="preserve">Total</t>
  </si>
  <si>
    <t xml:space="preserve">Hourly esc</t>
  </si>
  <si>
    <t xml:space="preserve">Hourly tax</t>
  </si>
  <si>
    <t xml:space="preserve">Year 1 Hourly</t>
  </si>
  <si>
    <t xml:space="preserve">Year 2 Hourly</t>
  </si>
  <si>
    <t xml:space="preserve">Year 3 Hourly</t>
  </si>
  <si>
    <t xml:space="preserve">Year 4 Hourly</t>
  </si>
  <si>
    <t xml:space="preserve">Year 5 Hourly</t>
  </si>
  <si>
    <t xml:space="preserve">Total Hourly</t>
  </si>
  <si>
    <t xml:space="preserve">Monthly esc</t>
  </si>
  <si>
    <t xml:space="preserve">Year 1 Monthly</t>
  </si>
  <si>
    <t xml:space="preserve">Year 2 Monthly</t>
  </si>
  <si>
    <t xml:space="preserve">Year 3 Monthly</t>
  </si>
  <si>
    <t xml:space="preserve">Year 4 Monthly</t>
  </si>
  <si>
    <t xml:space="preserve">Year 5 Monthly</t>
  </si>
  <si>
    <t xml:space="preserve">Total Monthly</t>
  </si>
  <si>
    <t xml:space="preserve">Hrly Fuel</t>
  </si>
  <si>
    <t xml:space="preserve">Annual Fuel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</si>
  <si>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</si>
  <si>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</si>
  <si>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</si>
  <si>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</si>
  <si>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</si>
  <si>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Cost for 1/8</t>
  </si>
  <si>
    <t xml:space="preserve">Monthly 1/16</t>
  </si>
  <si>
    <t xml:space="preserve">Monthly 1/8</t>
  </si>
  <si>
    <t xml:space="preserve">Citation V Ultra</t>
  </si>
  <si>
    <t xml:space="preserve">Citation Excel</t>
  </si>
  <si>
    <t xml:space="preserve">Citation VII</t>
  </si>
  <si>
    <t xml:space="preserve">Hawker 800XP</t>
  </si>
  <si>
    <t xml:space="preserve">Citation X</t>
  </si>
  <si>
    <t xml:space="preserve">Falcon 2000</t>
  </si>
  <si>
    <t xml:space="preserve">GIV-SP</t>
  </si>
  <si>
    <t xml:space="preserve">GV</t>
  </si>
  <si>
    <t xml:space="preserve"> </t>
  </si>
  <si>
    <t xml:space="preserve">King Air B200</t>
  </si>
  <si>
    <t xml:space="preserve">Premier I</t>
  </si>
  <si>
    <t xml:space="preserve">Beechjet 400A</t>
  </si>
  <si>
    <t xml:space="preserve">Citation II</t>
  </si>
  <si>
    <t xml:space="preserve">Citation III</t>
  </si>
  <si>
    <t xml:space="preserve">Falcon 50</t>
  </si>
  <si>
    <t xml:space="preserve">Challenger 601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</si>
</sst>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%"/>
    <numFmt numFmtId="166" formatCode="0.00%"/>
    <numFmt numFmtId="167" formatCode="_(\$* #,##0.00_);_(\$* \(#,##0.00\);_(\$* \-??_);_(@_)"/>
    <numFmt numFmtId="168" formatCode="_(* #,##0.00_);_(* \(#,##0.00\);_(* \-??_);_(@_)"/>
    <numFmt numFmtId="169" formatCode="_(* #,##0_);_(* \(#,##0\);_(* \-??_);_(@_)"/>
    <numFmt numFmtId="170" formatCode="# ??/??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  <font>
      <b val="true"/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99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3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4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3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717840</xdr:colOff>
          <xdr:row>2</xdr:row>
          <xdr:rowOff>146520</xdr:rowOff>
        </xdr:from>
        <xdr:to>
          <xdr:col>3</xdr:col>
          <xdr:colOff>166320</xdr:colOff>
          <xdr:row>4</xdr:row>
          <xdr:rowOff>23040</xdr:rowOff>
        </xdr:to>
        <xdr:sp>
          <xdr:nvSpPr>
            <xdr:cNvPr id="0" name="Drop Down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708120</xdr:colOff>
          <xdr:row>4</xdr:row>
          <xdr:rowOff>87840</xdr:rowOff>
        </xdr:from>
        <xdr:to>
          <xdr:col>3</xdr:col>
          <xdr:colOff>155880</xdr:colOff>
          <xdr:row>5</xdr:row>
          <xdr:rowOff>125640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717840</xdr:colOff>
          <xdr:row>1</xdr:row>
          <xdr:rowOff>43920</xdr:rowOff>
        </xdr:from>
        <xdr:to>
          <xdr:col>3</xdr:col>
          <xdr:colOff>166320</xdr:colOff>
          <xdr:row>2</xdr:row>
          <xdr:rowOff>81720</xdr:rowOff>
        </xdr:to>
        <xdr:sp>
          <xdr:nvSpPr>
            <xdr:cNvPr id="0" name="Drop Down 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466560</xdr:colOff>
          <xdr:row>11</xdr:row>
          <xdr:rowOff>152280</xdr:rowOff>
        </xdr:from>
        <xdr:to>
          <xdr:col>3</xdr:col>
          <xdr:colOff>65160</xdr:colOff>
          <xdr:row>13</xdr:row>
          <xdr:rowOff>47520</xdr:rowOff>
        </xdr:to>
        <xdr:sp>
          <xdr:nvSpPr>
            <xdr:cNvPr id="0" name="Option Button 5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466560</xdr:colOff>
          <xdr:row>13</xdr:row>
          <xdr:rowOff>360</xdr:rowOff>
        </xdr:from>
        <xdr:to>
          <xdr:col>3</xdr:col>
          <xdr:colOff>65160</xdr:colOff>
          <xdr:row>14</xdr:row>
          <xdr:rowOff>57240</xdr:rowOff>
        </xdr:to>
        <xdr:sp>
          <xdr:nvSpPr>
            <xdr:cNvPr id="0" name="Option Button 6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456840</xdr:colOff>
          <xdr:row>2</xdr:row>
          <xdr:rowOff>146520</xdr:rowOff>
        </xdr:from>
        <xdr:to>
          <xdr:col>4</xdr:col>
          <xdr:colOff>799200</xdr:colOff>
          <xdr:row>4</xdr:row>
          <xdr:rowOff>23040</xdr:rowOff>
        </xdr:to>
        <xdr:sp>
          <xdr:nvSpPr>
            <xdr:cNvPr id="0" name="Drop Down 1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456840</xdr:colOff>
          <xdr:row>4</xdr:row>
          <xdr:rowOff>87840</xdr:rowOff>
        </xdr:from>
        <xdr:to>
          <xdr:col>4</xdr:col>
          <xdr:colOff>799200</xdr:colOff>
          <xdr:row>5</xdr:row>
          <xdr:rowOff>125640</xdr:rowOff>
        </xdr:to>
        <xdr:sp>
          <xdr:nvSpPr>
            <xdr:cNvPr id="0" name="Drop Down 1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456840</xdr:colOff>
          <xdr:row>1</xdr:row>
          <xdr:rowOff>43920</xdr:rowOff>
        </xdr:from>
        <xdr:to>
          <xdr:col>4</xdr:col>
          <xdr:colOff>799200</xdr:colOff>
          <xdr:row>2</xdr:row>
          <xdr:rowOff>81720</xdr:rowOff>
        </xdr:to>
        <xdr:sp>
          <xdr:nvSpPr>
            <xdr:cNvPr id="0" name="Drop Down 1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245160</xdr:colOff>
          <xdr:row>12</xdr:row>
          <xdr:rowOff>19080</xdr:rowOff>
        </xdr:from>
        <xdr:to>
          <xdr:col>5</xdr:col>
          <xdr:colOff>-216360</xdr:colOff>
          <xdr:row>13</xdr:row>
          <xdr:rowOff>76320</xdr:rowOff>
        </xdr:to>
        <xdr:sp>
          <xdr:nvSpPr>
            <xdr:cNvPr id="0" name="Option Button 29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245160</xdr:colOff>
          <xdr:row>12</xdr:row>
          <xdr:rowOff>152280</xdr:rowOff>
        </xdr:from>
        <xdr:to>
          <xdr:col>5</xdr:col>
          <xdr:colOff>-236880</xdr:colOff>
          <xdr:row>14</xdr:row>
          <xdr:rowOff>95040</xdr:rowOff>
        </xdr:to>
        <xdr:sp>
          <xdr:nvSpPr>
            <xdr:cNvPr id="0" name="Option Button 30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0</xdr:rowOff>
        </xdr:from>
        <xdr:to>
          <xdr:col>4</xdr:col>
          <xdr:colOff>360</xdr:colOff>
          <xdr:row>17</xdr:row>
          <xdr:rowOff>9720</xdr:rowOff>
        </xdr:to>
        <xdr:sp>
          <xdr:nvSpPr>
            <xdr:cNvPr id="0" name="Group Box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0</xdr:rowOff>
        </xdr:from>
        <xdr:to>
          <xdr:col>7</xdr:col>
          <xdr:colOff>360</xdr:colOff>
          <xdr:row>16</xdr:row>
          <xdr:rowOff>162000</xdr:rowOff>
        </xdr:to>
        <xdr:sp>
          <xdr:nvSpPr>
            <xdr:cNvPr id="0" name="Group Box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204840</xdr:colOff>
          <xdr:row>2</xdr:row>
          <xdr:rowOff>146520</xdr:rowOff>
        </xdr:from>
        <xdr:to>
          <xdr:col>6</xdr:col>
          <xdr:colOff>546840</xdr:colOff>
          <xdr:row>4</xdr:row>
          <xdr:rowOff>23040</xdr:rowOff>
        </xdr:to>
        <xdr:sp>
          <xdr:nvSpPr>
            <xdr:cNvPr id="0" name="Drop Down 3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204840</xdr:colOff>
          <xdr:row>4</xdr:row>
          <xdr:rowOff>87840</xdr:rowOff>
        </xdr:from>
        <xdr:to>
          <xdr:col>6</xdr:col>
          <xdr:colOff>546840</xdr:colOff>
          <xdr:row>5</xdr:row>
          <xdr:rowOff>125640</xdr:rowOff>
        </xdr:to>
        <xdr:sp>
          <xdr:nvSpPr>
            <xdr:cNvPr id="0" name="Drop Down 3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204840</xdr:colOff>
          <xdr:row>1</xdr:row>
          <xdr:rowOff>43920</xdr:rowOff>
        </xdr:from>
        <xdr:to>
          <xdr:col>6</xdr:col>
          <xdr:colOff>546840</xdr:colOff>
          <xdr:row>2</xdr:row>
          <xdr:rowOff>81720</xdr:rowOff>
        </xdr:to>
        <xdr:sp>
          <xdr:nvSpPr>
            <xdr:cNvPr id="0" name="Drop Down 3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888480</xdr:colOff>
          <xdr:row>12</xdr:row>
          <xdr:rowOff>19080</xdr:rowOff>
        </xdr:from>
        <xdr:to>
          <xdr:col>6</xdr:col>
          <xdr:colOff>426240</xdr:colOff>
          <xdr:row>13</xdr:row>
          <xdr:rowOff>76320</xdr:rowOff>
        </xdr:to>
        <xdr:sp>
          <xdr:nvSpPr>
            <xdr:cNvPr id="0" name="Option Button 38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888480</xdr:colOff>
          <xdr:row>12</xdr:row>
          <xdr:rowOff>152280</xdr:rowOff>
        </xdr:from>
        <xdr:to>
          <xdr:col>6</xdr:col>
          <xdr:colOff>405720</xdr:colOff>
          <xdr:row>14</xdr:row>
          <xdr:rowOff>95040</xdr:rowOff>
        </xdr:to>
        <xdr:sp>
          <xdr:nvSpPr>
            <xdr:cNvPr id="0" name="Option Button 39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</xdr:row>
          <xdr:rowOff>0</xdr:rowOff>
        </xdr:from>
        <xdr:to>
          <xdr:col>10</xdr:col>
          <xdr:colOff>360</xdr:colOff>
          <xdr:row>16</xdr:row>
          <xdr:rowOff>162000</xdr:rowOff>
        </xdr:to>
        <xdr:sp>
          <xdr:nvSpPr>
            <xdr:cNvPr id="0" name="Group Box 4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847800</xdr:colOff>
          <xdr:row>2</xdr:row>
          <xdr:rowOff>146520</xdr:rowOff>
        </xdr:from>
        <xdr:to>
          <xdr:col>8</xdr:col>
          <xdr:colOff>294480</xdr:colOff>
          <xdr:row>4</xdr:row>
          <xdr:rowOff>23040</xdr:rowOff>
        </xdr:to>
        <xdr:sp>
          <xdr:nvSpPr>
            <xdr:cNvPr id="0" name="Drop Down 4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847800</xdr:colOff>
          <xdr:row>4</xdr:row>
          <xdr:rowOff>87840</xdr:rowOff>
        </xdr:from>
        <xdr:to>
          <xdr:col>8</xdr:col>
          <xdr:colOff>294480</xdr:colOff>
          <xdr:row>5</xdr:row>
          <xdr:rowOff>125640</xdr:rowOff>
        </xdr:to>
        <xdr:sp>
          <xdr:nvSpPr>
            <xdr:cNvPr id="0" name="Drop Down 4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847800</xdr:colOff>
          <xdr:row>1</xdr:row>
          <xdr:rowOff>43920</xdr:rowOff>
        </xdr:from>
        <xdr:to>
          <xdr:col>8</xdr:col>
          <xdr:colOff>294480</xdr:colOff>
          <xdr:row>2</xdr:row>
          <xdr:rowOff>81720</xdr:rowOff>
        </xdr:to>
        <xdr:sp>
          <xdr:nvSpPr>
            <xdr:cNvPr id="0" name="Drop Down 4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636120</xdr:colOff>
          <xdr:row>12</xdr:row>
          <xdr:rowOff>19080</xdr:rowOff>
        </xdr:from>
        <xdr:to>
          <xdr:col>8</xdr:col>
          <xdr:colOff>174240</xdr:colOff>
          <xdr:row>13</xdr:row>
          <xdr:rowOff>76320</xdr:rowOff>
        </xdr:to>
        <xdr:sp>
          <xdr:nvSpPr>
            <xdr:cNvPr id="0" name="Option Button 44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636120</xdr:colOff>
          <xdr:row>12</xdr:row>
          <xdr:rowOff>152280</xdr:rowOff>
        </xdr:from>
        <xdr:to>
          <xdr:col>8</xdr:col>
          <xdr:colOff>153720</xdr:colOff>
          <xdr:row>14</xdr:row>
          <xdr:rowOff>95040</xdr:rowOff>
        </xdr:to>
        <xdr:sp>
          <xdr:nvSpPr>
            <xdr:cNvPr id="0" name="Option Button 45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12</xdr:row>
          <xdr:rowOff>0</xdr:rowOff>
        </xdr:from>
        <xdr:to>
          <xdr:col>13</xdr:col>
          <xdr:colOff>360</xdr:colOff>
          <xdr:row>16</xdr:row>
          <xdr:rowOff>162000</xdr:rowOff>
        </xdr:to>
        <xdr:sp>
          <xdr:nvSpPr>
            <xdr:cNvPr id="0" name="Group Box 4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595440</xdr:colOff>
          <xdr:row>2</xdr:row>
          <xdr:rowOff>146520</xdr:rowOff>
        </xdr:from>
        <xdr:to>
          <xdr:col>10</xdr:col>
          <xdr:colOff>42480</xdr:colOff>
          <xdr:row>4</xdr:row>
          <xdr:rowOff>23040</xdr:rowOff>
        </xdr:to>
        <xdr:sp>
          <xdr:nvSpPr>
            <xdr:cNvPr id="0" name="Drop Down 4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595440</xdr:colOff>
          <xdr:row>4</xdr:row>
          <xdr:rowOff>87840</xdr:rowOff>
        </xdr:from>
        <xdr:to>
          <xdr:col>10</xdr:col>
          <xdr:colOff>42480</xdr:colOff>
          <xdr:row>5</xdr:row>
          <xdr:rowOff>125640</xdr:rowOff>
        </xdr:to>
        <xdr:sp>
          <xdr:nvSpPr>
            <xdr:cNvPr id="0" name="Drop Down 4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595440</xdr:colOff>
          <xdr:row>1</xdr:row>
          <xdr:rowOff>43920</xdr:rowOff>
        </xdr:from>
        <xdr:to>
          <xdr:col>10</xdr:col>
          <xdr:colOff>42480</xdr:colOff>
          <xdr:row>2</xdr:row>
          <xdr:rowOff>81720</xdr:rowOff>
        </xdr:to>
        <xdr:sp>
          <xdr:nvSpPr>
            <xdr:cNvPr id="0" name="Drop Down 4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383760</xdr:colOff>
          <xdr:row>12</xdr:row>
          <xdr:rowOff>19080</xdr:rowOff>
        </xdr:from>
        <xdr:to>
          <xdr:col>10</xdr:col>
          <xdr:colOff>-77760</xdr:colOff>
          <xdr:row>13</xdr:row>
          <xdr:rowOff>76320</xdr:rowOff>
        </xdr:to>
        <xdr:sp>
          <xdr:nvSpPr>
            <xdr:cNvPr id="0" name="Option Button 50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383760</xdr:colOff>
          <xdr:row>12</xdr:row>
          <xdr:rowOff>152280</xdr:rowOff>
        </xdr:from>
        <xdr:to>
          <xdr:col>10</xdr:col>
          <xdr:colOff>-98280</xdr:colOff>
          <xdr:row>14</xdr:row>
          <xdr:rowOff>95040</xdr:rowOff>
        </xdr:to>
        <xdr:sp>
          <xdr:nvSpPr>
            <xdr:cNvPr id="0" name="Option Button 51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</xdr:row>
          <xdr:rowOff>0</xdr:rowOff>
        </xdr:from>
        <xdr:to>
          <xdr:col>16</xdr:col>
          <xdr:colOff>720</xdr:colOff>
          <xdr:row>16</xdr:row>
          <xdr:rowOff>162000</xdr:rowOff>
        </xdr:to>
        <xdr:sp>
          <xdr:nvSpPr>
            <xdr:cNvPr id="0" name="Group Box 5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3" min="3" style="0" width="17.7"/>
    <col collapsed="false" customWidth="true" hidden="false" outlineLevel="0" max="4" min="4" style="0" width="10.28"/>
    <col collapsed="false" customWidth="true" hidden="false" outlineLevel="0" max="5" min="5" style="0" width="3.7"/>
    <col collapsed="false" customWidth="true" hidden="false" outlineLevel="0" max="6" min="6" style="0" width="7.85"/>
    <col collapsed="false" customWidth="true" hidden="false" outlineLevel="0" max="7" min="7" style="0" width="10.28"/>
    <col collapsed="false" customWidth="true" hidden="false" outlineLevel="0" max="8" min="8" style="0" width="3.7"/>
    <col collapsed="false" customWidth="true" hidden="false" outlineLevel="0" max="9" min="9" style="0" width="7.85"/>
    <col collapsed="false" customWidth="true" hidden="false" outlineLevel="0" max="10" min="10" style="0" width="10.28"/>
    <col collapsed="false" customWidth="true" hidden="false" outlineLevel="0" max="11" min="11" style="0" width="3.7"/>
    <col collapsed="false" customWidth="true" hidden="false" outlineLevel="0" max="12" min="12" style="0" width="7.85"/>
    <col collapsed="false" customWidth="true" hidden="false" outlineLevel="0" max="13" min="13" style="0" width="10.28"/>
    <col collapsed="false" customWidth="true" hidden="false" outlineLevel="0" max="14" min="14" style="0" width="3.7"/>
    <col collapsed="false" customWidth="true" hidden="false" outlineLevel="0" max="15" min="15" style="0" width="7.85"/>
    <col collapsed="false" customWidth="true" hidden="false" outlineLevel="0" max="16" min="16" style="0" width="10.28"/>
  </cols>
  <sheetData>
    <row r="1" customFormat="false" ht="8.1" hidden="false" customHeight="true" outlineLevel="0" collapsed="false"/>
    <row r="2" customFormat="false" ht="8.1" hidden="false" customHeight="true" outlineLevel="0" collapsed="false">
      <c r="B2" s="1"/>
      <c r="C2" s="1"/>
      <c r="D2" s="1"/>
      <c r="F2" s="1"/>
      <c r="G2" s="1"/>
      <c r="I2" s="1"/>
      <c r="J2" s="1"/>
      <c r="L2" s="1"/>
      <c r="M2" s="1"/>
      <c r="O2" s="1"/>
      <c r="P2" s="1"/>
    </row>
    <row r="3" customFormat="false" ht="12.75" hidden="false" customHeight="false" outlineLevel="0" collapsed="false">
      <c r="B3" s="1" t="s">
        <v>0</v>
      </c>
      <c r="C3" s="1"/>
      <c r="D3" s="1"/>
      <c r="F3" s="1"/>
      <c r="G3" s="1"/>
      <c r="I3" s="1"/>
      <c r="J3" s="1"/>
      <c r="L3" s="1"/>
      <c r="M3" s="1"/>
      <c r="O3" s="1"/>
      <c r="P3" s="1"/>
    </row>
    <row r="4" customFormat="false" ht="8.1" hidden="false" customHeight="true" outlineLevel="0" collapsed="false">
      <c r="B4" s="1"/>
      <c r="C4" s="1"/>
      <c r="D4" s="2"/>
      <c r="F4" s="1"/>
      <c r="G4" s="2"/>
      <c r="I4" s="1"/>
      <c r="J4" s="2"/>
      <c r="L4" s="1"/>
      <c r="M4" s="2"/>
      <c r="O4" s="1"/>
      <c r="P4" s="2"/>
    </row>
    <row r="5" customFormat="false" ht="12.75" hidden="false" customHeight="false" outlineLevel="0" collapsed="false">
      <c r="B5" s="1" t="s">
        <v>1</v>
      </c>
      <c r="C5" s="1"/>
      <c r="D5" s="1"/>
      <c r="F5" s="1"/>
      <c r="G5" s="1"/>
      <c r="I5" s="1"/>
      <c r="J5" s="1"/>
      <c r="L5" s="1"/>
      <c r="M5" s="1"/>
      <c r="O5" s="1"/>
      <c r="P5" s="1"/>
    </row>
    <row r="6" customFormat="false" ht="8.1" hidden="false" customHeight="true" outlineLevel="0" collapsed="false">
      <c r="B6" s="1"/>
      <c r="C6" s="1"/>
      <c r="D6" s="1"/>
      <c r="F6" s="1"/>
      <c r="G6" s="1"/>
      <c r="I6" s="1"/>
      <c r="J6" s="1"/>
      <c r="L6" s="1"/>
      <c r="M6" s="1"/>
      <c r="O6" s="1"/>
      <c r="P6" s="1"/>
    </row>
    <row r="7" customFormat="false" ht="12.75" hidden="false" customHeight="false" outlineLevel="0" collapsed="false">
      <c r="B7" s="1" t="s">
        <v>2</v>
      </c>
      <c r="C7" s="1"/>
      <c r="D7" s="1"/>
      <c r="F7" s="1"/>
      <c r="G7" s="1"/>
      <c r="I7" s="1"/>
      <c r="J7" s="1"/>
      <c r="L7" s="1"/>
      <c r="M7" s="1"/>
      <c r="O7" s="1"/>
      <c r="P7" s="1"/>
    </row>
    <row r="8" customFormat="false" ht="8.1" hidden="false" customHeight="true" outlineLevel="0" collapsed="false">
      <c r="B8" s="3"/>
      <c r="C8" s="3"/>
      <c r="D8" s="3"/>
      <c r="F8" s="3"/>
      <c r="G8" s="3"/>
      <c r="I8" s="3"/>
      <c r="J8" s="3"/>
      <c r="L8" s="3"/>
      <c r="M8" s="3"/>
      <c r="O8" s="3"/>
      <c r="P8" s="3"/>
    </row>
    <row r="9" customFormat="false" ht="12.75" hidden="false" customHeight="false" outlineLevel="0" collapsed="false">
      <c r="B9" s="1" t="s">
        <v>3</v>
      </c>
      <c r="C9" s="1"/>
      <c r="D9" s="4" t="n">
        <v>0.06</v>
      </c>
      <c r="E9" s="5"/>
      <c r="F9" s="6"/>
      <c r="G9" s="4" t="n">
        <f aca="false">D9</f>
        <v>0.06</v>
      </c>
      <c r="H9" s="5"/>
      <c r="I9" s="6"/>
      <c r="J9" s="4" t="n">
        <f aca="false">G9</f>
        <v>0.06</v>
      </c>
      <c r="K9" s="5"/>
      <c r="L9" s="6"/>
      <c r="M9" s="4" t="n">
        <f aca="false">J9</f>
        <v>0.06</v>
      </c>
      <c r="N9" s="5"/>
      <c r="O9" s="6"/>
      <c r="P9" s="4" t="n">
        <f aca="false">M9</f>
        <v>0.06</v>
      </c>
    </row>
    <row r="10" customFormat="false" ht="12.75" hidden="false" customHeight="false" outlineLevel="0" collapsed="false">
      <c r="B10" s="1" t="s">
        <v>4</v>
      </c>
      <c r="C10" s="1"/>
      <c r="D10" s="7" t="n">
        <v>0.025</v>
      </c>
      <c r="E10" s="5"/>
      <c r="F10" s="6"/>
      <c r="G10" s="7" t="n">
        <v>0.05</v>
      </c>
      <c r="H10" s="5"/>
      <c r="I10" s="6"/>
      <c r="J10" s="7" t="n">
        <v>0.025</v>
      </c>
      <c r="K10" s="5"/>
      <c r="L10" s="6"/>
      <c r="M10" s="7" t="n">
        <v>0.05</v>
      </c>
      <c r="N10" s="5"/>
      <c r="O10" s="6"/>
      <c r="P10" s="7" t="n">
        <v>0.05</v>
      </c>
    </row>
    <row r="11" customFormat="false" ht="12.75" hidden="false" customHeight="false" outlineLevel="0" collapsed="false">
      <c r="B11" s="1" t="s">
        <v>5</v>
      </c>
      <c r="C11" s="1"/>
      <c r="D11" s="7" t="n">
        <v>0.025</v>
      </c>
      <c r="E11" s="5"/>
      <c r="F11" s="6"/>
      <c r="G11" s="7" t="n">
        <v>0.025</v>
      </c>
      <c r="H11" s="5"/>
      <c r="I11" s="6"/>
      <c r="J11" s="7" t="n">
        <v>0.025</v>
      </c>
      <c r="K11" s="5"/>
      <c r="L11" s="6"/>
      <c r="M11" s="7" t="n">
        <v>0.025</v>
      </c>
      <c r="N11" s="5"/>
      <c r="O11" s="6"/>
      <c r="P11" s="7" t="n">
        <v>0.0375</v>
      </c>
    </row>
    <row r="12" customFormat="false" ht="12.75" hidden="false" customHeight="false" outlineLevel="0" collapsed="false">
      <c r="B12" s="1" t="s">
        <v>6</v>
      </c>
      <c r="C12" s="1"/>
      <c r="D12" s="7" t="n">
        <v>0.025</v>
      </c>
      <c r="E12" s="5"/>
      <c r="F12" s="6"/>
      <c r="G12" s="4" t="n">
        <f aca="false">D12</f>
        <v>0.025</v>
      </c>
      <c r="H12" s="5"/>
      <c r="I12" s="6"/>
      <c r="J12" s="4" t="n">
        <f aca="false">G12</f>
        <v>0.025</v>
      </c>
      <c r="K12" s="5"/>
      <c r="L12" s="6"/>
      <c r="M12" s="4" t="n">
        <f aca="false">J12</f>
        <v>0.025</v>
      </c>
      <c r="N12" s="5"/>
      <c r="O12" s="6"/>
      <c r="P12" s="4" t="n">
        <f aca="false">M12</f>
        <v>0.025</v>
      </c>
    </row>
    <row r="13" customFormat="false" ht="12.75" hidden="false" customHeight="false" outlineLevel="0" collapsed="false">
      <c r="B13" s="1" t="s">
        <v>7</v>
      </c>
      <c r="C13" s="1"/>
      <c r="D13" s="7" t="n">
        <v>0.075</v>
      </c>
      <c r="E13" s="5"/>
      <c r="F13" s="6"/>
      <c r="G13" s="4" t="n">
        <f aca="false">D13</f>
        <v>0.075</v>
      </c>
      <c r="H13" s="5"/>
      <c r="I13" s="6"/>
      <c r="J13" s="4" t="n">
        <f aca="false">G13</f>
        <v>0.075</v>
      </c>
      <c r="K13" s="5"/>
      <c r="L13" s="6"/>
      <c r="M13" s="4" t="n">
        <f aca="false">J13</f>
        <v>0.075</v>
      </c>
      <c r="N13" s="5"/>
      <c r="O13" s="6"/>
      <c r="P13" s="4" t="n">
        <f aca="false">M13</f>
        <v>0.075</v>
      </c>
    </row>
    <row r="14" customFormat="false" ht="13.5" hidden="false" customHeight="false" outlineLevel="0" collapsed="false">
      <c r="B14" s="3" t="s">
        <v>8</v>
      </c>
      <c r="C14" s="3"/>
      <c r="D14" s="8" t="n">
        <v>135</v>
      </c>
      <c r="E14" s="5"/>
      <c r="F14" s="9"/>
      <c r="G14" s="8" t="n">
        <v>135</v>
      </c>
      <c r="H14" s="5"/>
      <c r="I14" s="9"/>
      <c r="J14" s="8" t="n">
        <v>175</v>
      </c>
      <c r="K14" s="5"/>
      <c r="L14" s="9"/>
      <c r="M14" s="8" t="n">
        <v>175</v>
      </c>
      <c r="N14" s="5"/>
      <c r="O14" s="9"/>
      <c r="P14" s="8" t="n">
        <v>175</v>
      </c>
    </row>
    <row r="15" customFormat="false" ht="12.75" hidden="false" customHeight="false" outlineLevel="0" collapsed="false">
      <c r="B15" s="1" t="s">
        <v>9</v>
      </c>
      <c r="C15" s="1"/>
      <c r="D15" s="10"/>
      <c r="E15" s="5"/>
      <c r="F15" s="6"/>
      <c r="G15" s="10"/>
      <c r="H15" s="5"/>
      <c r="I15" s="6"/>
      <c r="J15" s="10"/>
      <c r="K15" s="5"/>
      <c r="L15" s="6"/>
      <c r="M15" s="10"/>
      <c r="N15" s="5"/>
      <c r="O15" s="6"/>
      <c r="P15" s="10"/>
    </row>
    <row r="16" customFormat="false" ht="13.5" hidden="false" customHeight="false" outlineLevel="0" collapsed="false">
      <c r="B16" s="3" t="s">
        <v>10</v>
      </c>
      <c r="C16" s="3"/>
      <c r="D16" s="11"/>
      <c r="E16" s="5"/>
      <c r="F16" s="9"/>
      <c r="G16" s="11"/>
      <c r="H16" s="5"/>
      <c r="I16" s="9"/>
      <c r="J16" s="11"/>
      <c r="K16" s="5"/>
      <c r="L16" s="9"/>
      <c r="M16" s="11"/>
      <c r="N16" s="5"/>
      <c r="O16" s="9"/>
      <c r="P16" s="11"/>
    </row>
    <row r="17" customFormat="false" ht="12.75" hidden="false" customHeight="false" outlineLevel="0" collapsed="false">
      <c r="B17" s="1" t="s">
        <v>11</v>
      </c>
      <c r="C17" s="1"/>
      <c r="D17" s="12" t="n">
        <v>2</v>
      </c>
      <c r="E17" s="5"/>
      <c r="F17" s="6"/>
      <c r="G17" s="12" t="n">
        <v>2</v>
      </c>
      <c r="H17" s="5"/>
      <c r="I17" s="6"/>
      <c r="J17" s="12" t="n">
        <v>3</v>
      </c>
      <c r="K17" s="5"/>
      <c r="L17" s="6"/>
      <c r="M17" s="12" t="n">
        <v>3</v>
      </c>
      <c r="N17" s="5"/>
      <c r="O17" s="6"/>
      <c r="P17" s="12" t="n">
        <v>3</v>
      </c>
    </row>
    <row r="18" customFormat="false" ht="8.1" hidden="false" customHeight="true" outlineLevel="0" collapsed="false">
      <c r="B18" s="13"/>
      <c r="C18" s="13"/>
      <c r="D18" s="13"/>
      <c r="F18" s="13"/>
      <c r="G18" s="13"/>
      <c r="I18" s="13"/>
      <c r="J18" s="13"/>
      <c r="L18" s="13"/>
      <c r="M18" s="13"/>
      <c r="O18" s="13"/>
      <c r="P18" s="13"/>
    </row>
    <row r="19" customFormat="false" ht="12.75" hidden="false" customHeight="false" outlineLevel="0" collapsed="false">
      <c r="A19" s="14"/>
      <c r="B19" s="15" t="s">
        <v>12</v>
      </c>
      <c r="C19" s="16"/>
      <c r="D19" s="17" t="n">
        <f aca="false">Sheet2!E21</f>
        <v>275000</v>
      </c>
      <c r="E19" s="16"/>
      <c r="F19" s="16"/>
      <c r="G19" s="17" t="n">
        <f aca="false">Sheet2!H21</f>
        <v>417000</v>
      </c>
      <c r="H19" s="16"/>
      <c r="I19" s="16"/>
      <c r="J19" s="17" t="n">
        <f aca="false">Sheet2!K21</f>
        <v>1062000</v>
      </c>
      <c r="K19" s="16"/>
      <c r="L19" s="16"/>
      <c r="M19" s="17" t="n">
        <f aca="false">Sheet2!N21</f>
        <v>1558500</v>
      </c>
      <c r="N19" s="16"/>
      <c r="O19" s="16"/>
      <c r="P19" s="18" t="n">
        <f aca="false">Sheet2!Q21</f>
        <v>1595000</v>
      </c>
    </row>
    <row r="20" customFormat="false" ht="12.75" hidden="false" customHeight="false" outlineLevel="0" collapsed="false">
      <c r="A20" s="19"/>
      <c r="B20" s="20" t="s">
        <v>13</v>
      </c>
      <c r="C20" s="21"/>
      <c r="D20" s="22" t="n">
        <f aca="false">Sheet2!E22</f>
        <v>4578</v>
      </c>
      <c r="E20" s="21"/>
      <c r="F20" s="21"/>
      <c r="G20" s="22" t="n">
        <f aca="false">Sheet2!H22</f>
        <v>3897.5</v>
      </c>
      <c r="H20" s="21"/>
      <c r="I20" s="21"/>
      <c r="J20" s="22" t="n">
        <f aca="false">Sheet2!K22</f>
        <v>10380</v>
      </c>
      <c r="K20" s="21"/>
      <c r="L20" s="21"/>
      <c r="M20" s="22" t="n">
        <f aca="false">Sheet2!N22</f>
        <v>10575</v>
      </c>
      <c r="N20" s="21"/>
      <c r="O20" s="21"/>
      <c r="P20" s="23" t="n">
        <f aca="false">Sheet2!Q22</f>
        <v>10580</v>
      </c>
    </row>
    <row r="21" customFormat="false" ht="12.75" hidden="false" customHeight="false" outlineLevel="0" collapsed="false">
      <c r="A21" s="24"/>
      <c r="B21" s="25" t="s">
        <v>14</v>
      </c>
      <c r="C21" s="26"/>
      <c r="D21" s="27" t="n">
        <f aca="false">Sheet2!E23</f>
        <v>1250</v>
      </c>
      <c r="E21" s="26"/>
      <c r="F21" s="26"/>
      <c r="G21" s="27" t="n">
        <f aca="false">Sheet2!H23</f>
        <v>1285</v>
      </c>
      <c r="H21" s="26"/>
      <c r="I21" s="26"/>
      <c r="J21" s="27" t="n">
        <f aca="false">Sheet2!K23</f>
        <v>1625</v>
      </c>
      <c r="K21" s="26"/>
      <c r="L21" s="26"/>
      <c r="M21" s="27" t="n">
        <f aca="false">Sheet2!N23</f>
        <v>1730</v>
      </c>
      <c r="N21" s="26"/>
      <c r="O21" s="26"/>
      <c r="P21" s="28" t="n">
        <f aca="false">Sheet2!Q23</f>
        <v>1735</v>
      </c>
    </row>
    <row r="22" customFormat="false" ht="12.75" hidden="false" customHeight="false" outlineLevel="0" collapsed="false">
      <c r="A22" s="13"/>
      <c r="B22" s="29" t="s">
        <v>15</v>
      </c>
      <c r="C22" s="30"/>
      <c r="D22" s="31" t="n">
        <f aca="false">Sheet2!E18</f>
        <v>50</v>
      </c>
      <c r="E22" s="30"/>
      <c r="F22" s="30"/>
      <c r="G22" s="31" t="n">
        <f aca="false">Sheet2!H18</f>
        <v>50</v>
      </c>
      <c r="H22" s="30"/>
      <c r="I22" s="30"/>
      <c r="J22" s="31" t="n">
        <f aca="false">Sheet2!K18</f>
        <v>100</v>
      </c>
      <c r="K22" s="30"/>
      <c r="L22" s="30"/>
      <c r="M22" s="31" t="n">
        <f aca="false">Sheet2!N18</f>
        <v>100</v>
      </c>
      <c r="N22" s="30"/>
      <c r="O22" s="30"/>
      <c r="P22" s="32" t="n">
        <f aca="false">Sheet2!Q18</f>
        <v>100</v>
      </c>
    </row>
    <row r="23" customFormat="false" ht="12.75" hidden="false" customHeight="false" outlineLevel="0" collapsed="false">
      <c r="A23" s="24"/>
      <c r="B23" s="26" t="s">
        <v>16</v>
      </c>
      <c r="C23" s="26"/>
      <c r="D23" s="33" t="n">
        <f aca="false">Sheet2!E26</f>
        <v>45.4545454545455</v>
      </c>
      <c r="E23" s="26"/>
      <c r="F23" s="26"/>
      <c r="G23" s="33" t="n">
        <f aca="false">Sheet2!H26</f>
        <v>50</v>
      </c>
      <c r="H23" s="26"/>
      <c r="I23" s="26"/>
      <c r="J23" s="33" t="n">
        <f aca="false">Sheet2!K26</f>
        <v>93.75</v>
      </c>
      <c r="K23" s="26"/>
      <c r="L23" s="26"/>
      <c r="M23" s="33" t="n">
        <f aca="false">Sheet2!N26</f>
        <v>100</v>
      </c>
      <c r="N23" s="26"/>
      <c r="O23" s="26"/>
      <c r="P23" s="33" t="n">
        <f aca="false">Sheet2!Q26</f>
        <v>93.75</v>
      </c>
    </row>
    <row r="24" customFormat="false" ht="12.75" hidden="false" customHeight="false" outlineLevel="0" collapsed="false">
      <c r="A24" s="19"/>
      <c r="B24" s="21" t="s">
        <v>17</v>
      </c>
      <c r="C24" s="21"/>
      <c r="D24" s="34" t="n">
        <f aca="false">AVERAGE(Sheet2!E32:E36)/D23</f>
        <v>1553.90211743164</v>
      </c>
      <c r="E24" s="21"/>
      <c r="F24" s="21"/>
      <c r="G24" s="34" t="n">
        <f aca="false">AVERAGE(Sheet2!H32:H36)/G23</f>
        <v>1597.41137671973</v>
      </c>
      <c r="H24" s="21"/>
      <c r="I24" s="21"/>
      <c r="J24" s="34" t="n">
        <f aca="false">AVERAGE(Sheet2!K32:K36)/J23</f>
        <v>1958.85842682292</v>
      </c>
      <c r="K24" s="21"/>
      <c r="L24" s="21"/>
      <c r="M24" s="34" t="n">
        <f aca="false">AVERAGE(Sheet2!N32:N36)/M23</f>
        <v>2085.43081747917</v>
      </c>
      <c r="N24" s="21"/>
      <c r="O24" s="21"/>
      <c r="P24" s="34" t="n">
        <f aca="false">AVERAGE(Sheet2!Q32:Q36)/P23</f>
        <v>2091.45807417708</v>
      </c>
    </row>
    <row r="25" customFormat="false" ht="12.75" hidden="false" customHeight="false" outlineLevel="0" collapsed="false">
      <c r="A25" s="19"/>
      <c r="B25" s="21" t="s">
        <v>18</v>
      </c>
      <c r="C25" s="21"/>
      <c r="D25" s="34" t="n">
        <f aca="false">Sheet2!E46/D23</f>
        <v>148.5</v>
      </c>
      <c r="E25" s="21"/>
      <c r="F25" s="21"/>
      <c r="G25" s="34" t="n">
        <f aca="false">Sheet2!H46/G23</f>
        <v>148.5</v>
      </c>
      <c r="H25" s="21"/>
      <c r="I25" s="21"/>
      <c r="J25" s="34" t="n">
        <f aca="false">Sheet2!K46/J23</f>
        <v>186.666666666667</v>
      </c>
      <c r="K25" s="21"/>
      <c r="L25" s="21"/>
      <c r="M25" s="34" t="n">
        <f aca="false">Sheet2!N46/M23</f>
        <v>186.666666666667</v>
      </c>
      <c r="N25" s="21"/>
      <c r="O25" s="21"/>
      <c r="P25" s="34" t="n">
        <f aca="false">Sheet2!Q46/P23</f>
        <v>186.666666666667</v>
      </c>
    </row>
    <row r="26" customFormat="false" ht="12.75" hidden="false" customHeight="false" outlineLevel="0" collapsed="false">
      <c r="A26" s="14"/>
      <c r="B26" s="26" t="s">
        <v>19</v>
      </c>
      <c r="C26" s="26"/>
      <c r="D26" s="35" t="n">
        <f aca="false">D24+D25</f>
        <v>1702.40211743164</v>
      </c>
      <c r="E26" s="26"/>
      <c r="F26" s="26"/>
      <c r="G26" s="35" t="n">
        <f aca="false">G24+G25</f>
        <v>1745.91137671973</v>
      </c>
      <c r="H26" s="26"/>
      <c r="I26" s="26"/>
      <c r="J26" s="35" t="n">
        <f aca="false">J24+J25</f>
        <v>2145.52509348958</v>
      </c>
      <c r="K26" s="26"/>
      <c r="L26" s="26"/>
      <c r="M26" s="35" t="n">
        <f aca="false">M24+M25</f>
        <v>2272.09748414583</v>
      </c>
      <c r="N26" s="26"/>
      <c r="O26" s="26"/>
      <c r="P26" s="35" t="n">
        <f aca="false">P24+P25</f>
        <v>2278.12474084375</v>
      </c>
    </row>
    <row r="27" customFormat="false" ht="12.75" hidden="false" customHeight="false" outlineLevel="0" collapsed="false">
      <c r="A27" s="19"/>
      <c r="B27" s="21" t="s">
        <v>20</v>
      </c>
      <c r="C27" s="21"/>
      <c r="D27" s="34" t="n">
        <f aca="false">AVERAGE(Sheet2!E39:E43)/D23</f>
        <v>1270.55131867125</v>
      </c>
      <c r="E27" s="21"/>
      <c r="F27" s="21"/>
      <c r="G27" s="34" t="n">
        <f aca="false">AVERAGE(Sheet2!H39:H43)/G23</f>
        <v>983.353938703125</v>
      </c>
      <c r="H27" s="21"/>
      <c r="I27" s="21"/>
      <c r="J27" s="34" t="n">
        <f aca="false">AVERAGE(Sheet2!K39:K43)/J23</f>
        <v>1396.7536638</v>
      </c>
      <c r="K27" s="21"/>
      <c r="L27" s="21"/>
      <c r="M27" s="34" t="n">
        <f aca="false">AVERAGE(Sheet2!N39:N43)/M23</f>
        <v>1334.05617726563</v>
      </c>
      <c r="N27" s="21"/>
      <c r="O27" s="21"/>
      <c r="P27" s="34" t="n">
        <f aca="false">AVERAGE(Sheet2!Q39:Q43)/P23</f>
        <v>1459.6887506125</v>
      </c>
    </row>
    <row r="28" customFormat="false" ht="12.75" hidden="false" customHeight="false" outlineLevel="0" collapsed="false">
      <c r="A28" s="19"/>
      <c r="B28" s="36" t="s">
        <v>21</v>
      </c>
      <c r="C28" s="36"/>
      <c r="D28" s="22" t="n">
        <f aca="false">D10*D19/D23</f>
        <v>151.25</v>
      </c>
      <c r="E28" s="21"/>
      <c r="F28" s="21"/>
      <c r="G28" s="22" t="n">
        <f aca="false">G10*G19/G23</f>
        <v>417</v>
      </c>
      <c r="H28" s="21"/>
      <c r="I28" s="21"/>
      <c r="J28" s="22" t="n">
        <f aca="false">J10*J19/J23</f>
        <v>283.2</v>
      </c>
      <c r="K28" s="21"/>
      <c r="L28" s="21"/>
      <c r="M28" s="22" t="n">
        <f aca="false">M10*M19/M23</f>
        <v>779.25</v>
      </c>
      <c r="N28" s="21"/>
      <c r="O28" s="21"/>
      <c r="P28" s="22" t="n">
        <f aca="false">P10*P19/P23</f>
        <v>850.666666666667</v>
      </c>
    </row>
    <row r="29" customFormat="false" ht="12.75" hidden="false" customHeight="false" outlineLevel="0" collapsed="false">
      <c r="A29" s="19"/>
      <c r="B29" s="36" t="s">
        <v>22</v>
      </c>
      <c r="C29" s="36"/>
      <c r="D29" s="22" t="n">
        <f aca="false">D9*D19/D23</f>
        <v>363</v>
      </c>
      <c r="E29" s="21"/>
      <c r="F29" s="21"/>
      <c r="G29" s="22" t="n">
        <f aca="false">G9*G19/G23</f>
        <v>500.4</v>
      </c>
      <c r="H29" s="21"/>
      <c r="I29" s="21"/>
      <c r="J29" s="22" t="n">
        <f aca="false">J9*J19/J23</f>
        <v>679.68</v>
      </c>
      <c r="K29" s="21"/>
      <c r="L29" s="21"/>
      <c r="M29" s="22" t="n">
        <f aca="false">M9*M19/M23</f>
        <v>935.1</v>
      </c>
      <c r="N29" s="21"/>
      <c r="O29" s="21"/>
      <c r="P29" s="22" t="n">
        <f aca="false">P9*P19/P23</f>
        <v>1020.8</v>
      </c>
    </row>
    <row r="30" customFormat="false" ht="12.75" hidden="false" customHeight="false" outlineLevel="0" collapsed="false">
      <c r="A30" s="24"/>
      <c r="B30" s="26" t="s">
        <v>23</v>
      </c>
      <c r="C30" s="26"/>
      <c r="D30" s="37" t="n">
        <f aca="false">SUM(D27:D29)</f>
        <v>1784.80131867125</v>
      </c>
      <c r="E30" s="26"/>
      <c r="F30" s="26"/>
      <c r="G30" s="37" t="n">
        <f aca="false">SUM(G27:G29)</f>
        <v>1900.75393870312</v>
      </c>
      <c r="H30" s="26"/>
      <c r="I30" s="26"/>
      <c r="J30" s="37" t="n">
        <f aca="false">SUM(J27:J29)</f>
        <v>2359.6336638</v>
      </c>
      <c r="K30" s="26"/>
      <c r="L30" s="26"/>
      <c r="M30" s="37" t="n">
        <f aca="false">SUM(M27:M29)</f>
        <v>3048.40617726562</v>
      </c>
      <c r="N30" s="26"/>
      <c r="O30" s="26"/>
      <c r="P30" s="37" t="n">
        <f aca="false">SUM(P27:P29)</f>
        <v>3331.15541727917</v>
      </c>
    </row>
    <row r="31" customFormat="false" ht="12.75" hidden="false" customHeight="false" outlineLevel="0" collapsed="false">
      <c r="A31" s="38"/>
      <c r="B31" s="38" t="s">
        <v>24</v>
      </c>
      <c r="C31" s="38"/>
      <c r="D31" s="39" t="n">
        <f aca="false">D30+D26</f>
        <v>3487.20343610289</v>
      </c>
      <c r="E31" s="38"/>
      <c r="F31" s="38"/>
      <c r="G31" s="39" t="n">
        <f aca="false">G30+G26</f>
        <v>3646.66531542285</v>
      </c>
      <c r="H31" s="38"/>
      <c r="I31" s="38"/>
      <c r="J31" s="39" t="n">
        <f aca="false">J30+J26</f>
        <v>4505.15875728958</v>
      </c>
      <c r="K31" s="38"/>
      <c r="L31" s="38"/>
      <c r="M31" s="39" t="n">
        <f aca="false">M30+M26</f>
        <v>5320.50366141146</v>
      </c>
      <c r="N31" s="38"/>
      <c r="O31" s="38"/>
      <c r="P31" s="39" t="n">
        <f aca="false">P30+P26</f>
        <v>5609.28015812292</v>
      </c>
    </row>
    <row r="32" customFormat="false" ht="12.75" hidden="false" customHeight="false" outlineLevel="0" collapsed="false">
      <c r="A32" s="14"/>
      <c r="B32" s="14" t="s">
        <v>25</v>
      </c>
      <c r="C32" s="14"/>
      <c r="D32" s="40" t="n">
        <f aca="false">(D26+D27)*D23</f>
        <v>135134.247095586</v>
      </c>
      <c r="E32" s="14"/>
      <c r="F32" s="14"/>
      <c r="G32" s="40" t="n">
        <f aca="false">(G26+G27)*G23</f>
        <v>136463.265771143</v>
      </c>
      <c r="H32" s="14"/>
      <c r="I32" s="14"/>
      <c r="J32" s="40" t="n">
        <f aca="false">(J26+J27)*J23</f>
        <v>332088.633495898</v>
      </c>
      <c r="K32" s="14"/>
      <c r="L32" s="14"/>
      <c r="M32" s="40" t="n">
        <f aca="false">(M26+M27)*M23</f>
        <v>360615.366141146</v>
      </c>
      <c r="N32" s="14"/>
      <c r="O32" s="14"/>
      <c r="P32" s="40" t="n">
        <f aca="false">(P26+P27)*P23</f>
        <v>350420.014824023</v>
      </c>
    </row>
    <row r="33" customFormat="false" ht="12.75" hidden="false" customHeight="false" outlineLevel="0" collapsed="false">
      <c r="A33" s="19"/>
      <c r="B33" s="21" t="s">
        <v>26</v>
      </c>
      <c r="C33" s="41"/>
      <c r="D33" s="42" t="n">
        <f aca="false">D28*D23*5</f>
        <v>34375</v>
      </c>
      <c r="E33" s="42"/>
      <c r="F33" s="41"/>
      <c r="G33" s="42" t="n">
        <f aca="false">G28*G23*5</f>
        <v>104250</v>
      </c>
      <c r="H33" s="21"/>
      <c r="I33" s="41"/>
      <c r="J33" s="42" t="n">
        <f aca="false">J28*J23*5</f>
        <v>132750</v>
      </c>
      <c r="K33" s="21"/>
      <c r="L33" s="41"/>
      <c r="M33" s="42" t="n">
        <f aca="false">M28*M23*5</f>
        <v>389625</v>
      </c>
      <c r="N33" s="21"/>
      <c r="O33" s="41"/>
      <c r="P33" s="42" t="n">
        <f aca="false">P28*P23*5</f>
        <v>398750</v>
      </c>
    </row>
    <row r="34" customFormat="false" ht="12.75" hidden="false" customHeight="false" outlineLevel="0" collapsed="false">
      <c r="A34" s="14"/>
      <c r="B34" s="14" t="s">
        <v>27</v>
      </c>
      <c r="C34" s="43"/>
      <c r="D34" s="40" t="n">
        <f aca="false">D32*5+D33</f>
        <v>710046.23547793</v>
      </c>
      <c r="E34" s="40"/>
      <c r="F34" s="43"/>
      <c r="G34" s="40" t="n">
        <f aca="false">G32*5+G33</f>
        <v>786566.328855713</v>
      </c>
      <c r="H34" s="14"/>
      <c r="I34" s="43"/>
      <c r="J34" s="40" t="n">
        <f aca="false">J32*5+J33</f>
        <v>1793193.16747949</v>
      </c>
      <c r="K34" s="14"/>
      <c r="L34" s="43"/>
      <c r="M34" s="40" t="n">
        <f aca="false">M32*5+M33</f>
        <v>2192701.83070573</v>
      </c>
      <c r="N34" s="14"/>
      <c r="O34" s="43"/>
      <c r="P34" s="40" t="n">
        <f aca="false">P32*5+P33</f>
        <v>2150850.07412012</v>
      </c>
    </row>
    <row r="35" customFormat="false" ht="12.75" hidden="false" customHeight="false" outlineLevel="0" collapsed="false">
      <c r="A35" s="19"/>
      <c r="B35" s="21" t="s">
        <v>28</v>
      </c>
      <c r="C35" s="41"/>
      <c r="D35" s="42" t="n">
        <f aca="false">D29*D23*5</f>
        <v>82500</v>
      </c>
      <c r="E35" s="42"/>
      <c r="F35" s="41"/>
      <c r="G35" s="42" t="n">
        <f aca="false">G29*G23*5</f>
        <v>125100</v>
      </c>
      <c r="H35" s="21"/>
      <c r="I35" s="41"/>
      <c r="J35" s="42" t="n">
        <f aca="false">J29*J23*5</f>
        <v>318600</v>
      </c>
      <c r="K35" s="21"/>
      <c r="L35" s="41"/>
      <c r="M35" s="42" t="n">
        <f aca="false">M29*M23*5</f>
        <v>467550</v>
      </c>
      <c r="N35" s="21"/>
      <c r="O35" s="41"/>
      <c r="P35" s="42" t="n">
        <f aca="false">P29*P23*5</f>
        <v>478500</v>
      </c>
    </row>
    <row r="36" customFormat="false" ht="12.75" hidden="false" customHeight="false" outlineLevel="0" collapsed="false">
      <c r="A36" s="14"/>
      <c r="B36" s="14" t="s">
        <v>29</v>
      </c>
      <c r="C36" s="43"/>
      <c r="D36" s="40" t="n">
        <f aca="false">D31*D23*5</f>
        <v>792546.23547793</v>
      </c>
      <c r="E36" s="40"/>
      <c r="F36" s="43"/>
      <c r="G36" s="40" t="n">
        <f aca="false">G31*G23*5</f>
        <v>911666.328855713</v>
      </c>
      <c r="H36" s="14"/>
      <c r="I36" s="43"/>
      <c r="J36" s="40" t="n">
        <f aca="false">J31*J23*5</f>
        <v>2111793.16747949</v>
      </c>
      <c r="K36" s="14"/>
      <c r="L36" s="43"/>
      <c r="M36" s="40" t="n">
        <f aca="false">M31*M23*5</f>
        <v>2660251.83070573</v>
      </c>
      <c r="N36" s="14"/>
      <c r="O36" s="43"/>
      <c r="P36" s="40" t="n">
        <f aca="false">P31*P23*5</f>
        <v>2629350.07412012</v>
      </c>
    </row>
    <row r="37" customFormat="false" ht="12.75" hidden="false" customHeight="false" outlineLevel="0" collapsed="false">
      <c r="A37" s="19"/>
      <c r="B37" s="19"/>
      <c r="C37" s="19"/>
      <c r="D37" s="19"/>
      <c r="E37" s="44"/>
      <c r="F37" s="45"/>
      <c r="G37" s="46"/>
      <c r="H37" s="19"/>
      <c r="I37" s="45"/>
      <c r="J37" s="46"/>
      <c r="K37" s="19"/>
      <c r="L37" s="45"/>
      <c r="M37" s="46"/>
      <c r="N37" s="19"/>
      <c r="O37" s="45"/>
      <c r="P37" s="46"/>
    </row>
    <row r="38" customFormat="false" ht="12.75" hidden="false" customHeight="false" outlineLevel="0" collapsed="false">
      <c r="B38" s="47"/>
      <c r="C38" s="45"/>
      <c r="D38" s="46"/>
      <c r="F38" s="48"/>
      <c r="G38" s="48"/>
      <c r="J38" s="48"/>
    </row>
    <row r="39" customFormat="false" ht="12.75" hidden="false" customHeight="false" outlineLevel="0" collapsed="false">
      <c r="D39" s="48"/>
    </row>
    <row r="40" customFormat="false" ht="12.75" hidden="false" customHeight="false" outlineLevel="0" collapsed="false">
      <c r="D40" s="48"/>
    </row>
    <row r="41" customFormat="false" ht="12.75" hidden="false" customHeight="false" outlineLevel="0" collapsed="false">
      <c r="D41" s="48"/>
    </row>
    <row r="48" customFormat="false" ht="12.75" hidden="false" customHeight="false" outlineLevel="0" collapsed="false">
      <c r="D48" s="48"/>
    </row>
    <row r="49" customFormat="false" ht="12.75" hidden="false" customHeight="false" outlineLevel="0" collapsed="false">
      <c r="D49" s="48"/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Q95"/>
  <sheetViews>
    <sheetView showFormulas="false" showGridLines="true" showRowColHeaders="true" showZeros="true" rightToLeft="false" tabSelected="false" showOutlineSymbols="true" defaultGridColor="true" view="normal" topLeftCell="G68" colorId="64" zoomScale="100" zoomScaleNormal="100" zoomScalePageLayoutView="100" workbookViewId="0">
      <selection pane="topLeft" activeCell="M93" activeCellId="0" sqref="M9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6" min="1" style="0" width="12.7"/>
    <col collapsed="false" customWidth="true" hidden="false" outlineLevel="0" max="17" min="17" style="0" width="12.99"/>
  </cols>
  <sheetData>
    <row r="2" customFormat="false" ht="12.75" hidden="false" customHeight="false" outlineLevel="0" collapsed="false">
      <c r="E2" s="49" t="s">
        <v>30</v>
      </c>
      <c r="H2" s="49" t="s">
        <v>31</v>
      </c>
      <c r="K2" s="49" t="s">
        <v>32</v>
      </c>
      <c r="N2" s="49" t="s">
        <v>33</v>
      </c>
      <c r="Q2" s="49" t="s">
        <v>34</v>
      </c>
    </row>
    <row r="3" customFormat="false" ht="12.75" hidden="false" customHeight="false" outlineLevel="0" collapsed="false">
      <c r="D3" s="0" t="s">
        <v>0</v>
      </c>
      <c r="E3" s="0" t="n">
        <v>3</v>
      </c>
      <c r="H3" s="0" t="n">
        <v>2</v>
      </c>
      <c r="K3" s="0" t="n">
        <v>3</v>
      </c>
      <c r="N3" s="0" t="n">
        <v>2</v>
      </c>
      <c r="Q3" s="0" t="n">
        <v>1</v>
      </c>
    </row>
    <row r="4" customFormat="false" ht="12.75" hidden="false" customHeight="false" outlineLevel="0" collapsed="false">
      <c r="D4" s="0" t="s">
        <v>1</v>
      </c>
      <c r="E4" s="0" t="n">
        <v>2</v>
      </c>
      <c r="H4" s="0" t="n">
        <v>3</v>
      </c>
      <c r="K4" s="0" t="n">
        <v>4</v>
      </c>
      <c r="N4" s="0" t="n">
        <v>4</v>
      </c>
      <c r="Q4" s="0" t="n">
        <v>4</v>
      </c>
    </row>
    <row r="5" customFormat="false" ht="12.75" hidden="false" customHeight="false" outlineLevel="0" collapsed="false">
      <c r="D5" s="0" t="s">
        <v>35</v>
      </c>
      <c r="E5" s="0" t="n">
        <v>1</v>
      </c>
      <c r="H5" s="0" t="n">
        <v>1</v>
      </c>
      <c r="K5" s="0" t="n">
        <v>2</v>
      </c>
      <c r="N5" s="0" t="n">
        <v>2</v>
      </c>
      <c r="Q5" s="0" t="n">
        <v>2</v>
      </c>
    </row>
    <row r="6" customFormat="false" ht="12.75" hidden="false" customHeight="false" outlineLevel="0" collapsed="false">
      <c r="D6" s="0" t="s">
        <v>36</v>
      </c>
      <c r="E6" s="0" t="n">
        <v>1</v>
      </c>
      <c r="H6" s="0" t="n">
        <v>2</v>
      </c>
      <c r="K6" s="0" t="n">
        <v>1</v>
      </c>
      <c r="N6" s="0" t="n">
        <v>2</v>
      </c>
      <c r="Q6" s="0" t="n">
        <v>1</v>
      </c>
    </row>
    <row r="7" customFormat="false" ht="12.75" hidden="false" customHeight="false" outlineLevel="0" collapsed="false">
      <c r="A7" s="49" t="s">
        <v>37</v>
      </c>
      <c r="B7" s="49" t="s">
        <v>2</v>
      </c>
      <c r="D7" s="0" t="s">
        <v>1</v>
      </c>
      <c r="E7" s="50" t="str">
        <f aca="false">CHOOSE(E$3,$I61,$I74,$I87)</f>
        <v>Citation II</v>
      </c>
      <c r="H7" s="50" t="str">
        <f aca="false">CHOOSE(H$3,$I61,$I74,$I87)</f>
        <v>King Air B200</v>
      </c>
      <c r="K7" s="50" t="str">
        <f aca="false">CHOOSE(K$3,$I61,$I74,$I87)</f>
        <v>Citation II</v>
      </c>
      <c r="N7" s="50" t="str">
        <f aca="false">CHOOSE(N$3,$I61,$I74,$I87)</f>
        <v>King Air B200</v>
      </c>
      <c r="Q7" s="50" t="str">
        <f aca="false">CHOOSE(Q$3,$I61,$I74,$I87)</f>
        <v>Citation V Ultra</v>
      </c>
    </row>
    <row r="8" customFormat="false" ht="12.75" hidden="false" customHeight="false" outlineLevel="0" collapsed="false">
      <c r="A8" s="0" t="s">
        <v>38</v>
      </c>
      <c r="B8" s="51" t="n">
        <v>0.0625</v>
      </c>
      <c r="E8" s="50" t="str">
        <f aca="false">CHOOSE(E$3,$I62,$I75,$I88)</f>
        <v>Beechjet 400A</v>
      </c>
      <c r="H8" s="50" t="str">
        <f aca="false">CHOOSE(H$3,$I62,$I75,$I88)</f>
        <v>Premier I</v>
      </c>
      <c r="K8" s="50" t="str">
        <f aca="false">CHOOSE(K$3,$I62,$I75,$I88)</f>
        <v>Beechjet 400A</v>
      </c>
      <c r="N8" s="50" t="str">
        <f aca="false">CHOOSE(N$3,$I62,$I75,$I88)</f>
        <v>Premier I</v>
      </c>
      <c r="Q8" s="50" t="str">
        <f aca="false">CHOOSE(Q$3,$I62,$I75,$I88)</f>
        <v>Citation Excel</v>
      </c>
    </row>
    <row r="9" customFormat="false" ht="12.75" hidden="false" customHeight="false" outlineLevel="0" collapsed="false">
      <c r="A9" s="0" t="s">
        <v>39</v>
      </c>
      <c r="B9" s="51" t="n">
        <f aca="false">B8+1/16</f>
        <v>0.125</v>
      </c>
      <c r="E9" s="50" t="str">
        <f aca="false">CHOOSE(E$3,$I63,$I76,$I89)</f>
        <v>Citation III</v>
      </c>
      <c r="H9" s="50" t="str">
        <f aca="false">CHOOSE(H$3,$I63,$I76,$I89)</f>
        <v>Beechjet 400A</v>
      </c>
      <c r="K9" s="50" t="str">
        <f aca="false">CHOOSE(K$3,$I63,$I76,$I89)</f>
        <v>Citation III</v>
      </c>
      <c r="N9" s="50" t="str">
        <f aca="false">CHOOSE(N$3,$I63,$I76,$I89)</f>
        <v>Beechjet 400A</v>
      </c>
      <c r="Q9" s="50" t="str">
        <f aca="false">CHOOSE(Q$3,$I63,$I76,$I89)</f>
        <v>Citation VII</v>
      </c>
    </row>
    <row r="10" customFormat="false" ht="12.75" hidden="false" customHeight="false" outlineLevel="0" collapsed="false">
      <c r="A10" s="0" t="s">
        <v>40</v>
      </c>
      <c r="B10" s="51" t="n">
        <f aca="false">B9+1/16</f>
        <v>0.1875</v>
      </c>
      <c r="E10" s="50" t="str">
        <f aca="false">CHOOSE(E$3,$I64,$I77,$I90)</f>
        <v>Hawker 800XP</v>
      </c>
      <c r="H10" s="50" t="str">
        <f aca="false">CHOOSE(H$3,$I64,$I77,$I90)</f>
        <v>Hawker 800XP</v>
      </c>
      <c r="K10" s="50" t="str">
        <f aca="false">CHOOSE(K$3,$I64,$I77,$I90)</f>
        <v>Hawker 800XP</v>
      </c>
      <c r="N10" s="50" t="str">
        <f aca="false">CHOOSE(N$3,$I64,$I77,$I90)</f>
        <v>Hawker 800XP</v>
      </c>
      <c r="Q10" s="50" t="str">
        <f aca="false">CHOOSE(Q$3,$I64,$I77,$I90)</f>
        <v>Hawker 800XP</v>
      </c>
    </row>
    <row r="11" customFormat="false" ht="12.75" hidden="false" customHeight="false" outlineLevel="0" collapsed="false">
      <c r="B11" s="51" t="n">
        <f aca="false">B10+1/16</f>
        <v>0.25</v>
      </c>
      <c r="E11" s="50" t="str">
        <f aca="false">CHOOSE(E$3,$I65,$I78,$I91)</f>
        <v>Falcon 50</v>
      </c>
      <c r="H11" s="50" t="str">
        <f aca="false">CHOOSE(H$3,$I65,$I78,$I91)</f>
        <v> </v>
      </c>
      <c r="K11" s="50" t="str">
        <f aca="false">CHOOSE(K$3,$I65,$I78,$I91)</f>
        <v>Falcon 50</v>
      </c>
      <c r="N11" s="50" t="str">
        <f aca="false">CHOOSE(N$3,$I65,$I78,$I91)</f>
        <v> </v>
      </c>
      <c r="Q11" s="50" t="str">
        <f aca="false">CHOOSE(Q$3,$I65,$I78,$I91)</f>
        <v>Citation X</v>
      </c>
    </row>
    <row r="12" customFormat="false" ht="12.75" hidden="false" customHeight="false" outlineLevel="0" collapsed="false">
      <c r="B12" s="51" t="n">
        <f aca="false">B11+1/16</f>
        <v>0.3125</v>
      </c>
      <c r="E12" s="50" t="str">
        <f aca="false">CHOOSE(E$3,$I66,$I79,$I92)</f>
        <v>Challenger 601</v>
      </c>
      <c r="H12" s="50" t="str">
        <f aca="false">CHOOSE(H$3,$I66,$I79,$I92)</f>
        <v> </v>
      </c>
      <c r="K12" s="50" t="str">
        <f aca="false">CHOOSE(K$3,$I66,$I79,$I92)</f>
        <v>Challenger 601</v>
      </c>
      <c r="N12" s="50" t="str">
        <f aca="false">CHOOSE(N$3,$I66,$I79,$I92)</f>
        <v> </v>
      </c>
      <c r="Q12" s="50" t="str">
        <f aca="false">CHOOSE(Q$3,$I66,$I79,$I92)</f>
        <v>Falcon 2000</v>
      </c>
    </row>
    <row r="13" customFormat="false" ht="12.75" hidden="false" customHeight="false" outlineLevel="0" collapsed="false">
      <c r="B13" s="51" t="n">
        <f aca="false">B12+1/16</f>
        <v>0.375</v>
      </c>
      <c r="E13" s="50" t="str">
        <f aca="false">CHOOSE(E$3,$I67,$I80,$I93)</f>
        <v> </v>
      </c>
      <c r="H13" s="50" t="str">
        <f aca="false">CHOOSE(H$3,$I67,$I80,$I93)</f>
        <v> </v>
      </c>
      <c r="K13" s="50" t="str">
        <f aca="false">CHOOSE(K$3,$I67,$I80,$I93)</f>
        <v> </v>
      </c>
      <c r="N13" s="50" t="str">
        <f aca="false">CHOOSE(N$3,$I67,$I80,$I93)</f>
        <v> </v>
      </c>
      <c r="Q13" s="50" t="str">
        <f aca="false">CHOOSE(Q$3,$I67,$I80,$I93)</f>
        <v>GIV-SP</v>
      </c>
    </row>
    <row r="14" customFormat="false" ht="12.75" hidden="false" customHeight="false" outlineLevel="0" collapsed="false">
      <c r="B14" s="51" t="n">
        <f aca="false">B13+1/16</f>
        <v>0.4375</v>
      </c>
      <c r="E14" s="50" t="str">
        <f aca="false">CHOOSE(E$3,$I68,$I81,$I94)</f>
        <v> </v>
      </c>
      <c r="H14" s="50" t="str">
        <f aca="false">CHOOSE(H$3,$I68,$I81,$I94)</f>
        <v> </v>
      </c>
      <c r="K14" s="50" t="str">
        <f aca="false">CHOOSE(K$3,$I68,$I81,$I94)</f>
        <v> </v>
      </c>
      <c r="N14" s="50" t="str">
        <f aca="false">CHOOSE(N$3,$I68,$I81,$I94)</f>
        <v> </v>
      </c>
      <c r="Q14" s="50" t="str">
        <f aca="false">CHOOSE(Q$3,$I68,$I81,$I94)</f>
        <v>GV</v>
      </c>
    </row>
    <row r="15" customFormat="false" ht="12.75" hidden="false" customHeight="false" outlineLevel="0" collapsed="false">
      <c r="B15" s="51" t="n">
        <f aca="false">B14+1/16</f>
        <v>0.5</v>
      </c>
      <c r="E15" s="50" t="str">
        <f aca="false">CHOOSE(E$3,$I69,$I82,$I95)</f>
        <v> </v>
      </c>
      <c r="H15" s="50" t="str">
        <f aca="false">CHOOSE(H$3,$I69,$I82,$I95)</f>
        <v> </v>
      </c>
      <c r="K15" s="50" t="str">
        <f aca="false">CHOOSE(K$3,$I69,$I82,$I95)</f>
        <v> </v>
      </c>
      <c r="N15" s="50" t="str">
        <f aca="false">CHOOSE(N$3,$I69,$I82,$I95)</f>
        <v> </v>
      </c>
      <c r="Q15" s="50" t="str">
        <f aca="false">CHOOSE(Q$3,$I69,$I82,$I95)</f>
        <v> </v>
      </c>
    </row>
    <row r="16" customFormat="false" ht="12.75" hidden="false" customHeight="false" outlineLevel="0" collapsed="false">
      <c r="D16" s="0" t="s">
        <v>41</v>
      </c>
      <c r="E16" s="0" t="n">
        <f aca="false">E5/2</f>
        <v>0.5</v>
      </c>
      <c r="H16" s="0" t="n">
        <f aca="false">H5/2</f>
        <v>0.5</v>
      </c>
      <c r="K16" s="0" t="n">
        <f aca="false">K5/2</f>
        <v>1</v>
      </c>
      <c r="N16" s="0" t="n">
        <f aca="false">N5/2</f>
        <v>1</v>
      </c>
      <c r="Q16" s="0" t="n">
        <f aca="false">Q5/2</f>
        <v>1</v>
      </c>
    </row>
    <row r="17" customFormat="false" ht="12.75" hidden="false" customHeight="false" outlineLevel="0" collapsed="false">
      <c r="D17" s="0" t="s">
        <v>2</v>
      </c>
      <c r="E17" s="51" t="n">
        <f aca="false">E5*1/16</f>
        <v>0.0625</v>
      </c>
      <c r="H17" s="51" t="n">
        <f aca="false">H5*1/16</f>
        <v>0.0625</v>
      </c>
      <c r="K17" s="51" t="n">
        <f aca="false">K5*1/16</f>
        <v>0.125</v>
      </c>
      <c r="N17" s="51" t="n">
        <f aca="false">N5*1/16</f>
        <v>0.125</v>
      </c>
      <c r="Q17" s="51" t="n">
        <f aca="false">Q5*1/16</f>
        <v>0.125</v>
      </c>
    </row>
    <row r="18" customFormat="false" ht="12.75" hidden="false" customHeight="false" outlineLevel="0" collapsed="false">
      <c r="D18" s="0" t="s">
        <v>42</v>
      </c>
      <c r="E18" s="52" t="n">
        <f aca="false">E17*800</f>
        <v>50</v>
      </c>
      <c r="H18" s="52" t="n">
        <f aca="false">H17*800</f>
        <v>50</v>
      </c>
      <c r="K18" s="52" t="n">
        <f aca="false">K17*800</f>
        <v>100</v>
      </c>
      <c r="N18" s="52" t="n">
        <f aca="false">N17*800</f>
        <v>100</v>
      </c>
      <c r="Q18" s="52" t="n">
        <f aca="false">Q17*800</f>
        <v>100</v>
      </c>
    </row>
    <row r="19" customFormat="false" ht="12.75" hidden="false" customHeight="false" outlineLevel="0" collapsed="false">
      <c r="D19" s="0" t="s">
        <v>43</v>
      </c>
      <c r="E19" s="0" t="str">
        <f aca="false">CHOOSE(E3,$G$61,$G$74,$G$87)</f>
        <v>$I$87:$M$95</v>
      </c>
      <c r="H19" s="0" t="str">
        <f aca="false">CHOOSE(H3,$G$61,$G$74,$G$87)</f>
        <v>$I$74:$M$82</v>
      </c>
      <c r="K19" s="0" t="str">
        <f aca="false">CHOOSE(K3,$G$61,$G$74,$G$87)</f>
        <v>$I$87:$M$95</v>
      </c>
      <c r="N19" s="0" t="str">
        <f aca="false">CHOOSE(N3,$G$61,$G$74,$G$87)</f>
        <v>$I$74:$M$82</v>
      </c>
      <c r="Q19" s="0" t="str">
        <f aca="false">CHOOSE(Q3,$G$61,$G$74,$G$87)</f>
        <v>$I$61:$M$69</v>
      </c>
    </row>
    <row r="20" customFormat="false" ht="12.75" hidden="false" customHeight="false" outlineLevel="0" collapsed="false">
      <c r="C20" s="0" t="n">
        <v>1</v>
      </c>
      <c r="D20" s="0" t="s">
        <v>1</v>
      </c>
      <c r="E20" s="0" t="str">
        <f aca="true">INDEX(INDIRECT(E$19),E$4,$C20)</f>
        <v>Beechjet 400A</v>
      </c>
      <c r="H20" s="0" t="str">
        <f aca="true">INDEX(INDIRECT(H$19),H$4,$C20)</f>
        <v>Beechjet 400A</v>
      </c>
      <c r="K20" s="0" t="str">
        <f aca="true">INDEX(INDIRECT(K$19),K$4,$C20)</f>
        <v>Hawker 800XP</v>
      </c>
      <c r="N20" s="0" t="str">
        <f aca="true">INDEX(INDIRECT(N$19),N$4,$C20)</f>
        <v>Hawker 800XP</v>
      </c>
      <c r="Q20" s="0" t="str">
        <f aca="true">INDEX(INDIRECT(Q$19),Q$4,$C20)</f>
        <v>Hawker 800XP</v>
      </c>
    </row>
    <row r="21" customFormat="false" ht="12.75" hidden="false" customHeight="false" outlineLevel="0" collapsed="false">
      <c r="C21" s="0" t="n">
        <v>2</v>
      </c>
      <c r="D21" s="0" t="s">
        <v>44</v>
      </c>
      <c r="E21" s="53" t="n">
        <f aca="true">INDEX(INDIRECT(E$19),E$4,$C21)*E16</f>
        <v>275000</v>
      </c>
      <c r="H21" s="53" t="n">
        <f aca="true">INDEX(INDIRECT(H$19),H$4,$C21)*H16</f>
        <v>417000</v>
      </c>
      <c r="K21" s="53" t="n">
        <f aca="true">INDEX(INDIRECT(K$19),K$4,$C21)*K16</f>
        <v>1062000</v>
      </c>
      <c r="N21" s="53" t="n">
        <f aca="true">INDEX(INDIRECT(N$19),N$4,$C21)*N16</f>
        <v>1558500</v>
      </c>
      <c r="Q21" s="53" t="n">
        <f aca="true">INDEX(INDIRECT(Q$19),Q$4,$C21)*Q16</f>
        <v>1595000</v>
      </c>
    </row>
    <row r="22" customFormat="false" ht="12.75" hidden="false" customHeight="false" outlineLevel="0" collapsed="false">
      <c r="B22" s="0" t="n">
        <v>4</v>
      </c>
      <c r="C22" s="0" t="n">
        <v>3</v>
      </c>
      <c r="D22" s="0" t="s">
        <v>45</v>
      </c>
      <c r="E22" s="53" t="n">
        <f aca="true">INDEX(INDIRECT(E$19),E$4,IF(E16&lt;1,$C22,$B22))*IF(E16&lt;1,1,E16)</f>
        <v>4578</v>
      </c>
      <c r="H22" s="53" t="n">
        <f aca="true">INDEX(INDIRECT(H$19),H$4,IF(H16&lt;1,$C22,$B22))*IF(H16&lt;1,1,H16)</f>
        <v>3897.5</v>
      </c>
      <c r="K22" s="53" t="n">
        <f aca="true">INDEX(INDIRECT(K$19),K$4,IF(K16&lt;1,$C22,$B22))*IF(K16&lt;1,1,K16)</f>
        <v>10380</v>
      </c>
      <c r="N22" s="53" t="n">
        <f aca="true">INDEX(INDIRECT(N$19),N$4,IF(N16&lt;1,$C22,$B22))*IF(N16&lt;1,1,N16)</f>
        <v>10575</v>
      </c>
      <c r="Q22" s="53" t="n">
        <f aca="true">INDEX(INDIRECT(Q$19),Q$4,IF(Q16&lt;1,$C22,$B22))*IF(Q16&lt;1,1,Q16)</f>
        <v>10580</v>
      </c>
    </row>
    <row r="23" customFormat="false" ht="12.75" hidden="false" customHeight="false" outlineLevel="0" collapsed="false">
      <c r="C23" s="0" t="n">
        <v>5</v>
      </c>
      <c r="D23" s="0" t="s">
        <v>46</v>
      </c>
      <c r="E23" s="53" t="n">
        <f aca="true">INDEX(INDIRECT(E$19),E$4,$C23)</f>
        <v>1250</v>
      </c>
      <c r="H23" s="53" t="n">
        <f aca="true">INDEX(INDIRECT(H$19),H$4,$C23)</f>
        <v>1285</v>
      </c>
      <c r="K23" s="53" t="n">
        <f aca="true">INDEX(INDIRECT(K$19),K$4,$C23)</f>
        <v>1625</v>
      </c>
      <c r="N23" s="53" t="n">
        <f aca="true">INDEX(INDIRECT(N$19),N$4,$C23)</f>
        <v>1730</v>
      </c>
      <c r="Q23" s="53" t="n">
        <f aca="true">INDEX(INDIRECT(Q$19),Q$4,$C23)</f>
        <v>1735</v>
      </c>
    </row>
    <row r="24" customFormat="false" ht="12.75" hidden="false" customHeight="false" outlineLevel="0" collapsed="false">
      <c r="D24" s="0" t="s">
        <v>47</v>
      </c>
      <c r="E24" s="0" t="n">
        <f aca="false">Sheet1!D17</f>
        <v>2</v>
      </c>
      <c r="H24" s="0" t="n">
        <f aca="false">Sheet1!G17</f>
        <v>2</v>
      </c>
      <c r="K24" s="0" t="n">
        <f aca="false">Sheet1!J17</f>
        <v>3</v>
      </c>
      <c r="N24" s="0" t="n">
        <f aca="false">Sheet1!M17</f>
        <v>3</v>
      </c>
      <c r="Q24" s="0" t="n">
        <f aca="false">Sheet1!P17</f>
        <v>3</v>
      </c>
    </row>
    <row r="25" customFormat="false" ht="12.75" hidden="false" customHeight="false" outlineLevel="0" collapsed="false">
      <c r="D25" s="0" t="s">
        <v>48</v>
      </c>
      <c r="E25" s="0" t="n">
        <f aca="false">IF(E6=1,0.2,0)+E24</f>
        <v>2.2</v>
      </c>
      <c r="H25" s="0" t="n">
        <f aca="false">IF(H6=1,0.2,0)+H24</f>
        <v>2</v>
      </c>
      <c r="K25" s="0" t="n">
        <f aca="false">IF(K6=1,0.2,0)+K24</f>
        <v>3.2</v>
      </c>
      <c r="N25" s="0" t="n">
        <f aca="false">IF(N6=1,0.2,0)+N24</f>
        <v>3</v>
      </c>
      <c r="Q25" s="0" t="n">
        <f aca="false">IF(Q6=1,0.2,0)+Q24</f>
        <v>3.2</v>
      </c>
    </row>
    <row r="26" customFormat="false" ht="12.75" hidden="false" customHeight="false" outlineLevel="0" collapsed="false">
      <c r="D26" s="0" t="s">
        <v>49</v>
      </c>
      <c r="E26" s="52" t="n">
        <f aca="false">E24*E18/E25</f>
        <v>45.4545454545455</v>
      </c>
      <c r="H26" s="52" t="n">
        <f aca="false">H24*H18/H25</f>
        <v>50</v>
      </c>
      <c r="K26" s="52" t="n">
        <f aca="false">K24*K18/K25</f>
        <v>93.75</v>
      </c>
      <c r="N26" s="52" t="n">
        <f aca="false">N24*N18/N25</f>
        <v>100</v>
      </c>
      <c r="Q26" s="52" t="n">
        <f aca="false">Q24*Q18/Q25</f>
        <v>93.75</v>
      </c>
    </row>
    <row r="27" customFormat="false" ht="12.75" hidden="false" customHeight="false" outlineLevel="0" collapsed="false">
      <c r="D27" s="0" t="s">
        <v>50</v>
      </c>
      <c r="E27" s="52" t="n">
        <f aca="false">E18/E25</f>
        <v>22.7272727272727</v>
      </c>
      <c r="H27" s="52" t="n">
        <f aca="false">H18/H25</f>
        <v>25</v>
      </c>
      <c r="K27" s="52" t="n">
        <f aca="false">K18/K25</f>
        <v>31.25</v>
      </c>
      <c r="N27" s="52" t="n">
        <f aca="false">N18/N25</f>
        <v>33.3333333333333</v>
      </c>
      <c r="Q27" s="52" t="n">
        <f aca="false">Q18/Q25</f>
        <v>31.25</v>
      </c>
    </row>
    <row r="28" customFormat="false" ht="12.75" hidden="false" customHeight="false" outlineLevel="0" collapsed="false">
      <c r="D28" s="0" t="s">
        <v>48</v>
      </c>
      <c r="E28" s="54" t="n">
        <f aca="false">E27*0.2</f>
        <v>4.54545454545455</v>
      </c>
      <c r="H28" s="54" t="n">
        <f aca="false">H27*0.2</f>
        <v>5</v>
      </c>
      <c r="K28" s="54" t="n">
        <f aca="false">K27*0.2</f>
        <v>6.25</v>
      </c>
      <c r="N28" s="54" t="n">
        <f aca="false">N27*0.2</f>
        <v>6.66666666666667</v>
      </c>
      <c r="Q28" s="54" t="n">
        <f aca="false">Q27*0.2</f>
        <v>6.25</v>
      </c>
    </row>
    <row r="29" customFormat="false" ht="12.75" hidden="false" customHeight="false" outlineLevel="0" collapsed="false">
      <c r="D29" s="0" t="s">
        <v>51</v>
      </c>
      <c r="E29" s="54" t="n">
        <f aca="false">E28+E26</f>
        <v>50</v>
      </c>
      <c r="H29" s="54" t="n">
        <f aca="false">H28+H26</f>
        <v>55</v>
      </c>
      <c r="K29" s="54" t="n">
        <f aca="false">K28+K26</f>
        <v>100</v>
      </c>
      <c r="N29" s="54" t="n">
        <f aca="false">N28+N26</f>
        <v>106.666666666667</v>
      </c>
      <c r="Q29" s="54" t="n">
        <f aca="false">Q28+Q26</f>
        <v>100</v>
      </c>
    </row>
    <row r="30" customFormat="false" ht="12.75" hidden="false" customHeight="false" outlineLevel="0" collapsed="false">
      <c r="D30" s="0" t="s">
        <v>52</v>
      </c>
      <c r="E30" s="55" t="n">
        <f aca="false">1+Sheet1!D12</f>
        <v>1.025</v>
      </c>
      <c r="H30" s="55" t="n">
        <f aca="false">1+Sheet1!G12</f>
        <v>1.025</v>
      </c>
      <c r="K30" s="55" t="n">
        <f aca="false">1+Sheet1!J12</f>
        <v>1.025</v>
      </c>
      <c r="N30" s="55" t="n">
        <f aca="false">1+Sheet1!M12</f>
        <v>1.025</v>
      </c>
      <c r="Q30" s="55" t="n">
        <f aca="false">1+Sheet1!P12</f>
        <v>1.025</v>
      </c>
    </row>
    <row r="31" customFormat="false" ht="12.75" hidden="false" customHeight="false" outlineLevel="0" collapsed="false">
      <c r="D31" s="0" t="s">
        <v>53</v>
      </c>
      <c r="E31" s="55" t="n">
        <f aca="false">1+Sheet1!D13</f>
        <v>1.075</v>
      </c>
      <c r="H31" s="55" t="n">
        <f aca="false">1+Sheet1!G13</f>
        <v>1.075</v>
      </c>
      <c r="K31" s="55" t="n">
        <f aca="false">1+Sheet1!J13</f>
        <v>1.075</v>
      </c>
      <c r="N31" s="55" t="n">
        <f aca="false">1+Sheet1!M13</f>
        <v>1.075</v>
      </c>
      <c r="Q31" s="55" t="n">
        <f aca="false">1+Sheet1!P13</f>
        <v>1.075</v>
      </c>
    </row>
    <row r="32" customFormat="false" ht="12.75" hidden="false" customHeight="false" outlineLevel="0" collapsed="false">
      <c r="D32" s="0" t="s">
        <v>54</v>
      </c>
      <c r="E32" s="48" t="n">
        <f aca="false">E29*E23*E31</f>
        <v>67187.5</v>
      </c>
      <c r="H32" s="48" t="n">
        <f aca="false">H29*H23*H31</f>
        <v>75975.625</v>
      </c>
      <c r="K32" s="48" t="n">
        <f aca="false">K29*K23*K31</f>
        <v>174687.5</v>
      </c>
      <c r="N32" s="48" t="n">
        <f aca="false">N29*N23*N31</f>
        <v>198373.333333333</v>
      </c>
      <c r="Q32" s="48" t="n">
        <f aca="false">Q29*Q23*Q31</f>
        <v>186512.5</v>
      </c>
    </row>
    <row r="33" customFormat="false" ht="12.75" hidden="false" customHeight="false" outlineLevel="0" collapsed="false">
      <c r="D33" s="0" t="s">
        <v>55</v>
      </c>
      <c r="E33" s="48" t="n">
        <f aca="false">E32*E$30</f>
        <v>68867.1875</v>
      </c>
      <c r="H33" s="48" t="n">
        <f aca="false">H32*H$30</f>
        <v>77875.015625</v>
      </c>
      <c r="K33" s="48" t="n">
        <f aca="false">K32*K$30</f>
        <v>179054.6875</v>
      </c>
      <c r="N33" s="48" t="n">
        <f aca="false">N32*N$30</f>
        <v>203332.666666667</v>
      </c>
      <c r="Q33" s="48" t="n">
        <f aca="false">Q32*Q$30</f>
        <v>191175.3125</v>
      </c>
    </row>
    <row r="34" customFormat="false" ht="12.75" hidden="false" customHeight="false" outlineLevel="0" collapsed="false">
      <c r="D34" s="0" t="s">
        <v>56</v>
      </c>
      <c r="E34" s="48" t="n">
        <f aca="false">E33*E$30</f>
        <v>70588.8671875</v>
      </c>
      <c r="H34" s="48" t="n">
        <f aca="false">H33*H$30</f>
        <v>79821.891015625</v>
      </c>
      <c r="K34" s="48" t="n">
        <f aca="false">K33*K$30</f>
        <v>183531.0546875</v>
      </c>
      <c r="N34" s="48" t="n">
        <f aca="false">N33*N$30</f>
        <v>208415.983333333</v>
      </c>
      <c r="Q34" s="48" t="n">
        <f aca="false">Q33*Q$30</f>
        <v>195954.6953125</v>
      </c>
    </row>
    <row r="35" customFormat="false" ht="12.75" hidden="false" customHeight="false" outlineLevel="0" collapsed="false">
      <c r="D35" s="0" t="s">
        <v>57</v>
      </c>
      <c r="E35" s="48" t="n">
        <f aca="false">E34*E$30</f>
        <v>72353.5888671875</v>
      </c>
      <c r="H35" s="48" t="n">
        <f aca="false">H34*H$30</f>
        <v>81817.4382910156</v>
      </c>
      <c r="K35" s="48" t="n">
        <f aca="false">K34*K$30</f>
        <v>188119.331054687</v>
      </c>
      <c r="N35" s="48" t="n">
        <f aca="false">N34*N$30</f>
        <v>213626.382916667</v>
      </c>
      <c r="Q35" s="48" t="n">
        <f aca="false">Q34*Q$30</f>
        <v>200853.562695312</v>
      </c>
    </row>
    <row r="36" customFormat="false" ht="12.75" hidden="false" customHeight="false" outlineLevel="0" collapsed="false">
      <c r="D36" s="0" t="s">
        <v>58</v>
      </c>
      <c r="E36" s="48" t="n">
        <f aca="false">E35*E$30</f>
        <v>74162.4285888672</v>
      </c>
      <c r="H36" s="48" t="n">
        <f aca="false">H35*H$30</f>
        <v>83862.874248291</v>
      </c>
      <c r="K36" s="48" t="n">
        <f aca="false">K35*K$30</f>
        <v>192822.314331055</v>
      </c>
      <c r="N36" s="48" t="n">
        <f aca="false">N35*N$30</f>
        <v>218967.042489583</v>
      </c>
      <c r="Q36" s="48" t="n">
        <f aca="false">Q35*Q$30</f>
        <v>205874.901762695</v>
      </c>
    </row>
    <row r="37" customFormat="false" ht="12.75" hidden="false" customHeight="false" outlineLevel="0" collapsed="false">
      <c r="D37" s="0" t="s">
        <v>59</v>
      </c>
      <c r="E37" s="48" t="n">
        <f aca="false">SUM(E32:E36)</f>
        <v>353159.572143555</v>
      </c>
      <c r="H37" s="48" t="n">
        <f aca="false">SUM(H32:H36)</f>
        <v>399352.844179932</v>
      </c>
      <c r="K37" s="48" t="n">
        <f aca="false">SUM(K32:K36)</f>
        <v>918214.887573242</v>
      </c>
      <c r="N37" s="48" t="n">
        <f aca="false">SUM(N32:N36)</f>
        <v>1042715.40873958</v>
      </c>
      <c r="Q37" s="48" t="n">
        <f aca="false">SUM(Q32:Q36)</f>
        <v>980370.972270508</v>
      </c>
    </row>
    <row r="38" customFormat="false" ht="12.75" hidden="false" customHeight="false" outlineLevel="0" collapsed="false">
      <c r="D38" s="0" t="s">
        <v>60</v>
      </c>
      <c r="E38" s="55" t="n">
        <f aca="false">1+Sheet1!D11</f>
        <v>1.025</v>
      </c>
      <c r="H38" s="55" t="n">
        <f aca="false">1+Sheet1!G11</f>
        <v>1.025</v>
      </c>
      <c r="K38" s="55" t="n">
        <f aca="false">1+Sheet1!J11</f>
        <v>1.025</v>
      </c>
      <c r="N38" s="55" t="n">
        <f aca="false">1+Sheet1!M11</f>
        <v>1.025</v>
      </c>
      <c r="Q38" s="55" t="n">
        <f aca="false">1+Sheet1!P11</f>
        <v>1.0375</v>
      </c>
    </row>
    <row r="39" customFormat="false" ht="12.75" hidden="false" customHeight="false" outlineLevel="0" collapsed="false">
      <c r="D39" s="0" t="s">
        <v>61</v>
      </c>
      <c r="E39" s="53" t="n">
        <f aca="false">E22*12</f>
        <v>54936</v>
      </c>
      <c r="H39" s="53" t="n">
        <f aca="false">H22*12</f>
        <v>46770</v>
      </c>
      <c r="K39" s="53" t="n">
        <f aca="false">K22*12</f>
        <v>124560</v>
      </c>
      <c r="N39" s="53" t="n">
        <f aca="false">N22*12</f>
        <v>126900</v>
      </c>
      <c r="Q39" s="53" t="n">
        <f aca="false">Q22*12</f>
        <v>126960</v>
      </c>
    </row>
    <row r="40" customFormat="false" ht="12.75" hidden="false" customHeight="false" outlineLevel="0" collapsed="false">
      <c r="D40" s="0" t="s">
        <v>62</v>
      </c>
      <c r="E40" s="53" t="n">
        <f aca="false">E39*E$38</f>
        <v>56309.4</v>
      </c>
      <c r="H40" s="53" t="n">
        <f aca="false">H39*H$38</f>
        <v>47939.25</v>
      </c>
      <c r="K40" s="53" t="n">
        <f aca="false">K39*K$38</f>
        <v>127674</v>
      </c>
      <c r="N40" s="53" t="n">
        <f aca="false">N39*N$38</f>
        <v>130072.5</v>
      </c>
      <c r="Q40" s="53" t="n">
        <f aca="false">Q39*Q$38</f>
        <v>131721</v>
      </c>
    </row>
    <row r="41" customFormat="false" ht="12.75" hidden="false" customHeight="false" outlineLevel="0" collapsed="false">
      <c r="D41" s="0" t="s">
        <v>63</v>
      </c>
      <c r="E41" s="53" t="n">
        <f aca="false">E40*E$38</f>
        <v>57717.135</v>
      </c>
      <c r="H41" s="53" t="n">
        <f aca="false">H40*H$38</f>
        <v>49137.73125</v>
      </c>
      <c r="K41" s="53" t="n">
        <f aca="false">K40*K$38</f>
        <v>130865.85</v>
      </c>
      <c r="N41" s="53" t="n">
        <f aca="false">N40*N$38</f>
        <v>133324.3125</v>
      </c>
      <c r="Q41" s="53" t="n">
        <f aca="false">Q40*Q$38</f>
        <v>136660.5375</v>
      </c>
    </row>
    <row r="42" customFormat="false" ht="12.75" hidden="false" customHeight="false" outlineLevel="0" collapsed="false">
      <c r="D42" s="0" t="s">
        <v>64</v>
      </c>
      <c r="E42" s="53" t="n">
        <f aca="false">E41*E$38</f>
        <v>59160.063375</v>
      </c>
      <c r="H42" s="53" t="n">
        <f aca="false">H41*H$38</f>
        <v>50366.17453125</v>
      </c>
      <c r="K42" s="53" t="n">
        <f aca="false">K41*K$38</f>
        <v>134137.49625</v>
      </c>
      <c r="N42" s="53" t="n">
        <f aca="false">N41*N$38</f>
        <v>136657.4203125</v>
      </c>
      <c r="Q42" s="53" t="n">
        <f aca="false">Q41*Q$38</f>
        <v>141785.30765625</v>
      </c>
    </row>
    <row r="43" customFormat="false" ht="12.75" hidden="false" customHeight="false" outlineLevel="0" collapsed="false">
      <c r="D43" s="0" t="s">
        <v>65</v>
      </c>
      <c r="E43" s="53" t="n">
        <f aca="false">E42*E$38</f>
        <v>60639.064959375</v>
      </c>
      <c r="H43" s="53" t="n">
        <f aca="false">H42*H$38</f>
        <v>51625.3288945312</v>
      </c>
      <c r="K43" s="53" t="n">
        <f aca="false">K42*K$38</f>
        <v>137490.93365625</v>
      </c>
      <c r="N43" s="53" t="n">
        <f aca="false">N42*N$38</f>
        <v>140073.855820312</v>
      </c>
      <c r="Q43" s="53" t="n">
        <f aca="false">Q42*Q$38</f>
        <v>147102.256693359</v>
      </c>
    </row>
    <row r="44" customFormat="false" ht="12.75" hidden="false" customHeight="false" outlineLevel="0" collapsed="false">
      <c r="D44" s="0" t="s">
        <v>66</v>
      </c>
      <c r="E44" s="48" t="n">
        <f aca="false">SUM(E39:E43)</f>
        <v>288761.663334375</v>
      </c>
      <c r="H44" s="48" t="n">
        <f aca="false">SUM(H39:H43)</f>
        <v>245838.484675781</v>
      </c>
      <c r="K44" s="48" t="n">
        <f aca="false">SUM(K39:K43)</f>
        <v>654728.27990625</v>
      </c>
      <c r="N44" s="48" t="n">
        <f aca="false">SUM(N39:N43)</f>
        <v>667028.088632812</v>
      </c>
      <c r="Q44" s="48" t="n">
        <f aca="false">SUM(Q39:Q43)</f>
        <v>684229.10184961</v>
      </c>
    </row>
    <row r="45" customFormat="false" ht="12.75" hidden="false" customHeight="false" outlineLevel="0" collapsed="false">
      <c r="D45" s="0" t="s">
        <v>67</v>
      </c>
      <c r="E45" s="48" t="n">
        <f aca="false">Sheet1!D14</f>
        <v>135</v>
      </c>
      <c r="H45" s="48" t="n">
        <f aca="false">Sheet1!G14</f>
        <v>135</v>
      </c>
      <c r="K45" s="48" t="n">
        <f aca="false">Sheet1!J14</f>
        <v>175</v>
      </c>
      <c r="N45" s="48" t="n">
        <f aca="false">Sheet1!M14</f>
        <v>175</v>
      </c>
      <c r="Q45" s="48" t="n">
        <f aca="false">Sheet1!P14</f>
        <v>175</v>
      </c>
    </row>
    <row r="46" customFormat="false" ht="12.75" hidden="false" customHeight="false" outlineLevel="0" collapsed="false">
      <c r="D46" s="0" t="s">
        <v>68</v>
      </c>
      <c r="E46" s="48" t="n">
        <f aca="false">E45*E29</f>
        <v>6750</v>
      </c>
      <c r="H46" s="48" t="n">
        <f aca="false">H45*H29</f>
        <v>7425</v>
      </c>
      <c r="K46" s="48" t="n">
        <f aca="false">K45*K29</f>
        <v>17500</v>
      </c>
      <c r="N46" s="48" t="n">
        <f aca="false">N45*N29</f>
        <v>18666.6666666667</v>
      </c>
      <c r="Q46" s="48" t="n">
        <f aca="false">Q45*Q29</f>
        <v>17500</v>
      </c>
    </row>
    <row r="47" customFormat="false" ht="12.75" hidden="false" customHeight="false" outlineLevel="0" collapsed="false">
      <c r="D47" s="0" t="s">
        <v>69</v>
      </c>
      <c r="E47" s="48" t="n">
        <f aca="false">E32+E39+E$46</f>
        <v>128873.5</v>
      </c>
      <c r="H47" s="48" t="n">
        <f aca="false">H32+H39+H$46</f>
        <v>130170.625</v>
      </c>
      <c r="K47" s="48" t="n">
        <f aca="false">K32+K39+K$46</f>
        <v>316747.5</v>
      </c>
      <c r="N47" s="48" t="n">
        <f aca="false">N32+N39+N$46</f>
        <v>343940</v>
      </c>
      <c r="Q47" s="48" t="n">
        <f aca="false">Q32+Q39+Q$46</f>
        <v>330972.5</v>
      </c>
    </row>
    <row r="48" customFormat="false" ht="12.75" hidden="false" customHeight="false" outlineLevel="0" collapsed="false">
      <c r="D48" s="0" t="s">
        <v>70</v>
      </c>
      <c r="E48" s="48" t="n">
        <f aca="false">E33+E40+E$46</f>
        <v>131926.5875</v>
      </c>
      <c r="H48" s="48" t="n">
        <f aca="false">H33+H40+H$46</f>
        <v>133239.265625</v>
      </c>
      <c r="K48" s="48" t="n">
        <f aca="false">K33+K40+K$46</f>
        <v>324228.6875</v>
      </c>
      <c r="N48" s="48" t="n">
        <f aca="false">N33+N40+N$46</f>
        <v>352071.833333333</v>
      </c>
      <c r="Q48" s="48" t="n">
        <f aca="false">Q33+Q40+Q$46</f>
        <v>340396.3125</v>
      </c>
    </row>
    <row r="49" customFormat="false" ht="12.75" hidden="false" customHeight="false" outlineLevel="0" collapsed="false">
      <c r="D49" s="0" t="s">
        <v>71</v>
      </c>
      <c r="E49" s="48" t="n">
        <f aca="false">E34+E41+E$46</f>
        <v>135056.0021875</v>
      </c>
      <c r="H49" s="48" t="n">
        <f aca="false">H34+H41+H$46</f>
        <v>136384.622265625</v>
      </c>
      <c r="K49" s="48" t="n">
        <f aca="false">K34+K41+K$46</f>
        <v>331896.9046875</v>
      </c>
      <c r="N49" s="48" t="n">
        <f aca="false">N34+N41+N$46</f>
        <v>360406.9625</v>
      </c>
      <c r="Q49" s="48" t="n">
        <f aca="false">Q34+Q41+Q$46</f>
        <v>350115.2328125</v>
      </c>
    </row>
    <row r="50" customFormat="false" ht="12.75" hidden="false" customHeight="false" outlineLevel="0" collapsed="false">
      <c r="D50" s="0" t="s">
        <v>72</v>
      </c>
      <c r="E50" s="48" t="n">
        <f aca="false">E35+E42+E$46</f>
        <v>138263.652242187</v>
      </c>
      <c r="H50" s="48" t="n">
        <f aca="false">H35+H42+H$46</f>
        <v>139608.612822266</v>
      </c>
      <c r="K50" s="48" t="n">
        <f aca="false">K35+K42+K$46</f>
        <v>339756.827304687</v>
      </c>
      <c r="N50" s="48" t="n">
        <f aca="false">N35+N42+N$46</f>
        <v>368950.469895833</v>
      </c>
      <c r="Q50" s="48" t="n">
        <f aca="false">Q35+Q42+Q$46</f>
        <v>360138.870351562</v>
      </c>
    </row>
    <row r="51" customFormat="false" ht="12.75" hidden="false" customHeight="false" outlineLevel="0" collapsed="false">
      <c r="D51" s="0" t="s">
        <v>73</v>
      </c>
      <c r="E51" s="48" t="n">
        <f aca="false">E36+E43+E$46</f>
        <v>141551.493548242</v>
      </c>
      <c r="H51" s="48" t="n">
        <f aca="false">H36+H43+H$46</f>
        <v>142913.203142822</v>
      </c>
      <c r="K51" s="48" t="n">
        <f aca="false">K36+K43+K$46</f>
        <v>347813.247987305</v>
      </c>
      <c r="N51" s="48" t="n">
        <f aca="false">N36+N43+N$46</f>
        <v>377707.564976562</v>
      </c>
      <c r="Q51" s="48" t="n">
        <f aca="false">Q36+Q43+Q$46</f>
        <v>370477.158456055</v>
      </c>
    </row>
    <row r="52" customFormat="false" ht="12.75" hidden="false" customHeight="false" outlineLevel="0" collapsed="false">
      <c r="D52" s="0" t="s">
        <v>51</v>
      </c>
      <c r="E52" s="48" t="n">
        <f aca="false">SUM(E47:E51)</f>
        <v>675671.23547793</v>
      </c>
      <c r="H52" s="48" t="n">
        <f aca="false">SUM(H47:H51)</f>
        <v>682316.328855713</v>
      </c>
      <c r="K52" s="48" t="n">
        <f aca="false">SUM(K47:K51)</f>
        <v>1660443.16747949</v>
      </c>
      <c r="N52" s="48" t="n">
        <f aca="false">SUM(N47:N51)</f>
        <v>1803076.83070573</v>
      </c>
      <c r="Q52" s="48" t="n">
        <f aca="false">SUM(Q47:Q51)</f>
        <v>1752100.07412012</v>
      </c>
    </row>
    <row r="59" customFormat="false" ht="12.75" hidden="false" customHeight="false" outlineLevel="0" collapsed="false">
      <c r="G59" s="0" t="str">
        <f aca="true">CELL("address",I61)</f>
        <v>$I$61</v>
      </c>
      <c r="I59" s="56" t="s">
        <v>38</v>
      </c>
      <c r="J59" s="57"/>
      <c r="K59" s="57"/>
      <c r="L59" s="57"/>
      <c r="M59" s="58"/>
    </row>
    <row r="60" customFormat="false" ht="12.75" hidden="false" customHeight="false" outlineLevel="0" collapsed="false">
      <c r="G60" s="0" t="str">
        <f aca="true">CELL("address",M69)</f>
        <v>$M$69</v>
      </c>
      <c r="I60" s="59" t="s">
        <v>1</v>
      </c>
      <c r="J60" s="60" t="s">
        <v>74</v>
      </c>
      <c r="K60" s="60" t="s">
        <v>75</v>
      </c>
      <c r="L60" s="60" t="s">
        <v>76</v>
      </c>
      <c r="M60" s="61" t="s">
        <v>46</v>
      </c>
    </row>
    <row r="61" customFormat="false" ht="12.75" hidden="false" customHeight="false" outlineLevel="0" collapsed="false">
      <c r="G61" s="0" t="str">
        <f aca="false">G59&amp;":"&amp;G60</f>
        <v>$I$61:$M$69</v>
      </c>
      <c r="I61" s="62" t="s">
        <v>77</v>
      </c>
      <c r="J61" s="53" t="n">
        <v>740000</v>
      </c>
      <c r="K61" s="53" t="n">
        <v>5035</v>
      </c>
      <c r="L61" s="53" t="n">
        <v>7900</v>
      </c>
      <c r="M61" s="63" t="n">
        <v>1275</v>
      </c>
    </row>
    <row r="62" customFormat="false" ht="12.75" hidden="false" customHeight="false" outlineLevel="0" collapsed="false">
      <c r="I62" s="64" t="s">
        <v>78</v>
      </c>
      <c r="J62" s="53" t="n">
        <v>1120000</v>
      </c>
      <c r="K62" s="53" t="n">
        <v>6790</v>
      </c>
      <c r="L62" s="53" t="n">
        <v>10600</v>
      </c>
      <c r="M62" s="63" t="n">
        <v>1590</v>
      </c>
    </row>
    <row r="63" customFormat="false" ht="12.75" hidden="false" customHeight="false" outlineLevel="0" collapsed="false">
      <c r="I63" s="64" t="s">
        <v>79</v>
      </c>
      <c r="J63" s="53" t="n">
        <v>1370000</v>
      </c>
      <c r="K63" s="53" t="n">
        <v>7020</v>
      </c>
      <c r="L63" s="53" t="n">
        <v>11110</v>
      </c>
      <c r="M63" s="63" t="n">
        <v>1700</v>
      </c>
    </row>
    <row r="64" customFormat="false" ht="12.75" hidden="false" customHeight="false" outlineLevel="0" collapsed="false">
      <c r="I64" s="64" t="s">
        <v>80</v>
      </c>
      <c r="J64" s="53" t="n">
        <v>1595000</v>
      </c>
      <c r="K64" s="53" t="n">
        <v>6750</v>
      </c>
      <c r="L64" s="53" t="n">
        <v>10580</v>
      </c>
      <c r="M64" s="63" t="n">
        <v>1735</v>
      </c>
    </row>
    <row r="65" customFormat="false" ht="12.75" hidden="false" customHeight="false" outlineLevel="0" collapsed="false">
      <c r="I65" s="64" t="s">
        <v>81</v>
      </c>
      <c r="J65" s="53" t="n">
        <v>2170000</v>
      </c>
      <c r="K65" s="53" t="n">
        <v>8750</v>
      </c>
      <c r="L65" s="53" t="n">
        <v>14200</v>
      </c>
      <c r="M65" s="63" t="n">
        <v>1920</v>
      </c>
    </row>
    <row r="66" customFormat="false" ht="12.75" hidden="false" customHeight="false" outlineLevel="0" collapsed="false">
      <c r="I66" s="64" t="s">
        <v>82</v>
      </c>
      <c r="J66" s="53" t="n">
        <v>2781600</v>
      </c>
      <c r="K66" s="53" t="n">
        <v>10450</v>
      </c>
      <c r="L66" s="53" t="n">
        <v>16950</v>
      </c>
      <c r="M66" s="63" t="n">
        <v>2375</v>
      </c>
    </row>
    <row r="67" customFormat="false" ht="12.75" hidden="false" customHeight="false" outlineLevel="0" collapsed="false">
      <c r="C67" s="49"/>
      <c r="D67" s="49"/>
      <c r="E67" s="49"/>
      <c r="I67" s="64" t="s">
        <v>83</v>
      </c>
      <c r="J67" s="53" t="n">
        <v>3985000</v>
      </c>
      <c r="K67" s="53" t="n">
        <v>13025</v>
      </c>
      <c r="L67" s="53" t="n">
        <v>20500</v>
      </c>
      <c r="M67" s="63" t="n">
        <v>2890</v>
      </c>
    </row>
    <row r="68" customFormat="false" ht="12.75" hidden="false" customHeight="false" outlineLevel="0" collapsed="false">
      <c r="I68" s="64" t="s">
        <v>84</v>
      </c>
      <c r="J68" s="53" t="n">
        <v>5185000</v>
      </c>
      <c r="K68" s="53" t="e">
        <f aca="false">NA()</f>
        <v>#N/A</v>
      </c>
      <c r="L68" s="53" t="n">
        <v>26250</v>
      </c>
      <c r="M68" s="63" t="n">
        <v>2970</v>
      </c>
    </row>
    <row r="69" customFormat="false" ht="12.75" hidden="false" customHeight="false" outlineLevel="0" collapsed="false">
      <c r="I69" s="65" t="s">
        <v>85</v>
      </c>
      <c r="J69" s="66"/>
      <c r="K69" s="66"/>
      <c r="L69" s="66"/>
      <c r="M69" s="67"/>
    </row>
    <row r="72" customFormat="false" ht="12.75" hidden="false" customHeight="false" outlineLevel="0" collapsed="false">
      <c r="C72" s="51"/>
      <c r="D72" s="51"/>
      <c r="E72" s="51"/>
      <c r="G72" s="0" t="str">
        <f aca="true">CELL("address",I74)</f>
        <v>$I$74</v>
      </c>
      <c r="I72" s="56" t="s">
        <v>39</v>
      </c>
      <c r="J72" s="57"/>
      <c r="K72" s="57"/>
      <c r="L72" s="57"/>
      <c r="M72" s="58"/>
    </row>
    <row r="73" customFormat="false" ht="12.75" hidden="false" customHeight="false" outlineLevel="0" collapsed="false">
      <c r="C73" s="51"/>
      <c r="D73" s="51"/>
      <c r="E73" s="51"/>
      <c r="G73" s="0" t="str">
        <f aca="true">CELL("address",M82)</f>
        <v>$M$82</v>
      </c>
      <c r="I73" s="59" t="s">
        <v>1</v>
      </c>
      <c r="J73" s="60" t="s">
        <v>74</v>
      </c>
      <c r="K73" s="60" t="s">
        <v>75</v>
      </c>
      <c r="L73" s="60" t="s">
        <v>76</v>
      </c>
      <c r="M73" s="61" t="s">
        <v>46</v>
      </c>
    </row>
    <row r="74" customFormat="false" ht="12.75" hidden="false" customHeight="false" outlineLevel="0" collapsed="false">
      <c r="G74" s="0" t="str">
        <f aca="false">G72&amp;":"&amp;G73</f>
        <v>$I$74:$M$82</v>
      </c>
      <c r="I74" s="62" t="s">
        <v>86</v>
      </c>
      <c r="J74" s="53" t="n">
        <v>528000</v>
      </c>
      <c r="K74" s="53" t="n">
        <f aca="false">L74/2</f>
        <v>3412.5</v>
      </c>
      <c r="L74" s="53" t="n">
        <v>6825</v>
      </c>
      <c r="M74" s="63" t="n">
        <v>770</v>
      </c>
    </row>
    <row r="75" customFormat="false" ht="12.75" hidden="false" customHeight="false" outlineLevel="0" collapsed="false">
      <c r="I75" s="64" t="s">
        <v>87</v>
      </c>
      <c r="J75" s="53" t="n">
        <v>707500</v>
      </c>
      <c r="K75" s="53" t="n">
        <f aca="false">L75/2</f>
        <v>3887.5</v>
      </c>
      <c r="L75" s="53" t="n">
        <v>7775</v>
      </c>
      <c r="M75" s="63" t="n">
        <v>1175</v>
      </c>
    </row>
    <row r="76" customFormat="false" ht="12.75" hidden="false" customHeight="false" outlineLevel="0" collapsed="false">
      <c r="I76" s="64" t="s">
        <v>88</v>
      </c>
      <c r="J76" s="53" t="n">
        <v>834000</v>
      </c>
      <c r="K76" s="53" t="n">
        <f aca="false">L76/2</f>
        <v>3897.5</v>
      </c>
      <c r="L76" s="53" t="n">
        <v>7795</v>
      </c>
      <c r="M76" s="63" t="n">
        <v>1285</v>
      </c>
    </row>
    <row r="77" customFormat="false" ht="12.75" hidden="false" customHeight="false" outlineLevel="0" collapsed="false">
      <c r="I77" s="64" t="s">
        <v>80</v>
      </c>
      <c r="J77" s="53" t="n">
        <v>1558500</v>
      </c>
      <c r="K77" s="53" t="n">
        <f aca="false">L77/2</f>
        <v>5287.5</v>
      </c>
      <c r="L77" s="53" t="n">
        <v>10575</v>
      </c>
      <c r="M77" s="63" t="n">
        <v>1730</v>
      </c>
    </row>
    <row r="78" customFormat="false" ht="12.75" hidden="false" customHeight="false" outlineLevel="0" collapsed="false">
      <c r="I78" s="64" t="s">
        <v>85</v>
      </c>
      <c r="J78" s="53"/>
      <c r="K78" s="53"/>
      <c r="L78" s="53"/>
      <c r="M78" s="63"/>
    </row>
    <row r="79" customFormat="false" ht="12.75" hidden="false" customHeight="false" outlineLevel="0" collapsed="false">
      <c r="I79" s="64" t="s">
        <v>85</v>
      </c>
      <c r="J79" s="53"/>
      <c r="K79" s="53"/>
      <c r="L79" s="53"/>
      <c r="M79" s="63"/>
    </row>
    <row r="80" customFormat="false" ht="12.75" hidden="false" customHeight="false" outlineLevel="0" collapsed="false">
      <c r="I80" s="64" t="s">
        <v>85</v>
      </c>
      <c r="J80" s="53"/>
      <c r="K80" s="53"/>
      <c r="L80" s="53"/>
      <c r="M80" s="63"/>
    </row>
    <row r="81" customFormat="false" ht="12.75" hidden="false" customHeight="false" outlineLevel="0" collapsed="false">
      <c r="I81" s="64" t="s">
        <v>85</v>
      </c>
      <c r="J81" s="53"/>
      <c r="K81" s="53"/>
      <c r="L81" s="53"/>
      <c r="M81" s="63"/>
    </row>
    <row r="82" customFormat="false" ht="12.75" hidden="false" customHeight="false" outlineLevel="0" collapsed="false">
      <c r="I82" s="65" t="s">
        <v>85</v>
      </c>
      <c r="J82" s="66"/>
      <c r="K82" s="66"/>
      <c r="L82" s="66"/>
      <c r="M82" s="67"/>
    </row>
    <row r="85" customFormat="false" ht="12.75" hidden="false" customHeight="false" outlineLevel="0" collapsed="false">
      <c r="G85" s="0" t="str">
        <f aca="true">CELL("address",I87)</f>
        <v>$I$87</v>
      </c>
      <c r="I85" s="56" t="s">
        <v>40</v>
      </c>
      <c r="J85" s="57"/>
      <c r="K85" s="57"/>
      <c r="L85" s="57"/>
      <c r="M85" s="58"/>
    </row>
    <row r="86" customFormat="false" ht="12.75" hidden="false" customHeight="false" outlineLevel="0" collapsed="false">
      <c r="G86" s="0" t="str">
        <f aca="true">CELL("address",M95)</f>
        <v>$M$95</v>
      </c>
      <c r="I86" s="59" t="s">
        <v>1</v>
      </c>
      <c r="J86" s="60" t="s">
        <v>74</v>
      </c>
      <c r="K86" s="60" t="s">
        <v>75</v>
      </c>
      <c r="L86" s="60" t="s">
        <v>76</v>
      </c>
      <c r="M86" s="61" t="s">
        <v>46</v>
      </c>
    </row>
    <row r="87" customFormat="false" ht="12.75" hidden="false" customHeight="false" outlineLevel="0" collapsed="false">
      <c r="G87" s="0" t="str">
        <f aca="false">G85&amp;":"&amp;G86</f>
        <v>$I$87:$M$95</v>
      </c>
      <c r="I87" s="62" t="s">
        <v>89</v>
      </c>
      <c r="J87" s="53" t="n">
        <v>395000</v>
      </c>
      <c r="K87" s="53" t="n">
        <v>4260</v>
      </c>
      <c r="L87" s="53" t="n">
        <v>7100</v>
      </c>
      <c r="M87" s="63" t="n">
        <v>1240</v>
      </c>
    </row>
    <row r="88" customFormat="false" ht="12.75" hidden="false" customHeight="false" outlineLevel="0" collapsed="false">
      <c r="I88" s="64" t="s">
        <v>88</v>
      </c>
      <c r="J88" s="53" t="n">
        <v>550000</v>
      </c>
      <c r="K88" s="53" t="n">
        <v>4578</v>
      </c>
      <c r="L88" s="53" t="n">
        <v>7630</v>
      </c>
      <c r="M88" s="63" t="n">
        <v>1250</v>
      </c>
    </row>
    <row r="89" customFormat="false" ht="12.75" hidden="false" customHeight="false" outlineLevel="0" collapsed="false">
      <c r="I89" s="64" t="s">
        <v>90</v>
      </c>
      <c r="J89" s="53" t="n">
        <v>835000</v>
      </c>
      <c r="K89" s="53" t="n">
        <v>5500</v>
      </c>
      <c r="L89" s="53" t="n">
        <v>9250</v>
      </c>
      <c r="M89" s="63" t="n">
        <v>1600</v>
      </c>
    </row>
    <row r="90" customFormat="false" ht="12.75" hidden="false" customHeight="false" outlineLevel="0" collapsed="false">
      <c r="I90" s="64" t="s">
        <v>80</v>
      </c>
      <c r="J90" s="53" t="n">
        <v>1062000</v>
      </c>
      <c r="K90" s="53" t="n">
        <v>6228</v>
      </c>
      <c r="L90" s="53" t="n">
        <v>10380</v>
      </c>
      <c r="M90" s="63" t="n">
        <v>1625</v>
      </c>
    </row>
    <row r="91" customFormat="false" ht="12.75" hidden="false" customHeight="false" outlineLevel="0" collapsed="false">
      <c r="I91" s="64" t="s">
        <v>91</v>
      </c>
      <c r="J91" s="53" t="n">
        <v>1600000</v>
      </c>
      <c r="K91" s="53" t="n">
        <v>7878</v>
      </c>
      <c r="L91" s="53" t="n">
        <v>13130</v>
      </c>
      <c r="M91" s="63" t="n">
        <v>1950</v>
      </c>
    </row>
    <row r="92" customFormat="false" ht="12.75" hidden="false" customHeight="false" outlineLevel="0" collapsed="false">
      <c r="I92" s="64" t="s">
        <v>92</v>
      </c>
      <c r="J92" s="53" t="n">
        <v>1975000</v>
      </c>
      <c r="K92" s="53" t="n">
        <v>9900</v>
      </c>
      <c r="L92" s="53" t="n">
        <v>16500</v>
      </c>
      <c r="M92" s="63" t="n">
        <v>2450</v>
      </c>
    </row>
    <row r="93" customFormat="false" ht="12.75" hidden="false" customHeight="false" outlineLevel="0" collapsed="false">
      <c r="I93" s="64" t="s">
        <v>85</v>
      </c>
      <c r="J93" s="53"/>
      <c r="K93" s="53"/>
      <c r="L93" s="53"/>
      <c r="M93" s="63"/>
    </row>
    <row r="94" customFormat="false" ht="12.75" hidden="false" customHeight="false" outlineLevel="0" collapsed="false">
      <c r="I94" s="64" t="s">
        <v>85</v>
      </c>
      <c r="J94" s="53"/>
      <c r="K94" s="53"/>
      <c r="L94" s="53"/>
      <c r="M94" s="63"/>
    </row>
    <row r="95" customFormat="false" ht="12.75" hidden="false" customHeight="false" outlineLevel="0" collapsed="false">
      <c r="I95" s="65" t="s">
        <v>85</v>
      </c>
      <c r="J95" s="66"/>
      <c r="K95" s="66"/>
      <c r="L95" s="66"/>
      <c r="M95" s="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2000-11-04T19:12:33Z</dcterms:created>
  <dc:creator>Enron Technology</dc:creator>
  <dc:description/>
  <dc:language>en-US</dc:language>
  <cp:lastModifiedBy>Greg Whalley</cp:lastModifiedBy>
  <dcterms:modified xsi:type="dcterms:W3CDTF">2001-03-05T18:17:47Z</dcterms:modified>
  <cp:revision>0</cp:revision>
  <dc:subject/>
  <dc:title/>
</cp:coreProperties>
</file>