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ug 00" sheetId="1" state="visible" r:id="rId3"/>
    <sheet name="Sep 00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<sst xmlns="http://schemas.openxmlformats.org/spreadsheetml/2006/main" count="22" uniqueCount="12">
  <si>
    <t xml:space="preserve">MTD</t>
  </si>
  <si>
    <t xml:space="preserve">YTD </t>
  </si>
  <si>
    <t xml:space="preserve">YTD</t>
  </si>
  <si>
    <t xml:space="preserve">(as of 7/31)</t>
  </si>
  <si>
    <t xml:space="preserve">(as of 8/31)</t>
  </si>
  <si>
    <t xml:space="preserve">Allen</t>
  </si>
  <si>
    <t xml:space="preserve">South</t>
  </si>
  <si>
    <t xml:space="preserve">Tholt</t>
  </si>
  <si>
    <t xml:space="preserve">Lenhart</t>
  </si>
  <si>
    <t xml:space="preserve">Kuykendall</t>
  </si>
  <si>
    <t xml:space="preserve">Total</t>
  </si>
  <si>
    <t xml:space="preserve">this is last day numbers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</si>
</sst>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BA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11.28"/>
    <col collapsed="false" customWidth="true" hidden="false" outlineLevel="0" max="3" min="3" style="0" width="1.99"/>
    <col collapsed="false" customWidth="true" hidden="false" outlineLevel="0" max="4" min="4" style="0" width="10.28"/>
    <col collapsed="false" customWidth="true" hidden="false" outlineLevel="0" max="5" min="5" style="0" width="0.7"/>
    <col collapsed="false" customWidth="true" hidden="false" outlineLevel="0" max="6" min="6" style="0" width="10.28"/>
    <col collapsed="false" customWidth="true" hidden="false" outlineLevel="0" max="7" min="7" style="0" width="0.85"/>
    <col collapsed="false" customWidth="true" hidden="false" outlineLevel="0" max="8" min="8" style="0" width="10.28"/>
    <col collapsed="false" customWidth="true" hidden="false" outlineLevel="0" max="9" min="9" style="0" width="0.85"/>
    <col collapsed="false" customWidth="true" hidden="false" outlineLevel="0" max="10" min="10" style="0" width="10.28"/>
    <col collapsed="false" customWidth="true" hidden="false" outlineLevel="0" max="11" min="11" style="0" width="0.85"/>
    <col collapsed="false" customWidth="true" hidden="false" outlineLevel="0" max="12" min="12" style="0" width="11.42"/>
    <col collapsed="false" customWidth="true" hidden="false" outlineLevel="0" max="13" min="13" style="0" width="0.99"/>
    <col collapsed="false" customWidth="true" hidden="false" outlineLevel="0" max="14" min="14" style="0" width="11.42"/>
    <col collapsed="false" customWidth="true" hidden="false" outlineLevel="0" max="15" min="15" style="0" width="0.99"/>
    <col collapsed="false" customWidth="true" hidden="false" outlineLevel="0" max="16" min="16" style="0" width="12.28"/>
    <col collapsed="false" customWidth="true" hidden="false" outlineLevel="0" max="17" min="17" style="0" width="0.99"/>
    <col collapsed="false" customWidth="true" hidden="false" outlineLevel="0" max="18" min="18" style="0" width="12.28"/>
    <col collapsed="false" customWidth="true" hidden="false" outlineLevel="0" max="19" min="19" style="0" width="0.85"/>
    <col collapsed="false" customWidth="true" hidden="false" outlineLevel="0" max="20" min="20" style="0" width="12.28"/>
    <col collapsed="false" customWidth="true" hidden="false" outlineLevel="0" max="21" min="21" style="0" width="0.85"/>
    <col collapsed="false" customWidth="true" hidden="false" outlineLevel="0" max="22" min="22" style="0" width="12.28"/>
    <col collapsed="false" customWidth="true" hidden="false" outlineLevel="0" max="23" min="23" style="0" width="0.85"/>
    <col collapsed="false" customWidth="true" hidden="false" outlineLevel="0" max="24" min="24" style="0" width="12.28"/>
    <col collapsed="false" customWidth="true" hidden="false" outlineLevel="0" max="25" min="25" style="0" width="0.7"/>
    <col collapsed="false" customWidth="true" hidden="false" outlineLevel="0" max="26" min="26" style="0" width="12.28"/>
    <col collapsed="false" customWidth="true" hidden="false" outlineLevel="0" max="27" min="27" style="0" width="0.7"/>
    <col collapsed="false" customWidth="true" hidden="false" outlineLevel="0" max="28" min="28" style="0" width="12.28"/>
    <col collapsed="false" customWidth="true" hidden="false" outlineLevel="0" max="29" min="29" style="0" width="0.85"/>
    <col collapsed="false" customWidth="true" hidden="false" outlineLevel="0" max="30" min="30" style="0" width="13.14"/>
    <col collapsed="false" customWidth="true" hidden="false" outlineLevel="0" max="31" min="31" style="0" width="0.7"/>
    <col collapsed="false" customWidth="true" hidden="false" outlineLevel="0" max="32" min="32" style="0" width="13.7"/>
    <col collapsed="false" customWidth="true" hidden="false" outlineLevel="0" max="33" min="33" style="0" width="0.41"/>
    <col collapsed="false" customWidth="true" hidden="false" outlineLevel="0" max="34" min="34" style="0" width="13.7"/>
    <col collapsed="false" customWidth="true" hidden="false" outlineLevel="0" max="35" min="35" style="0" width="0.41"/>
    <col collapsed="false" customWidth="true" hidden="false" outlineLevel="0" max="36" min="36" style="0" width="13.7"/>
    <col collapsed="false" customWidth="true" hidden="false" outlineLevel="0" max="37" min="37" style="0" width="0.56"/>
    <col collapsed="false" customWidth="true" hidden="false" outlineLevel="0" max="38" min="38" style="0" width="13.7"/>
    <col collapsed="false" customWidth="true" hidden="false" outlineLevel="0" max="39" min="39" style="0" width="0.56"/>
    <col collapsed="false" customWidth="true" hidden="false" outlineLevel="0" max="40" min="40" style="0" width="13.7"/>
    <col collapsed="false" customWidth="true" hidden="false" outlineLevel="0" max="41" min="41" style="0" width="0.56"/>
    <col collapsed="false" customWidth="true" hidden="false" outlineLevel="0" max="42" min="42" style="0" width="13.7"/>
    <col collapsed="false" customWidth="true" hidden="false" outlineLevel="0" max="43" min="43" style="0" width="0.56"/>
    <col collapsed="false" customWidth="true" hidden="false" outlineLevel="0" max="44" min="44" style="0" width="13.7"/>
    <col collapsed="false" customWidth="true" hidden="false" outlineLevel="0" max="45" min="45" style="0" width="0.7"/>
    <col collapsed="false" customWidth="true" hidden="false" outlineLevel="0" max="46" min="46" style="0" width="13.7"/>
    <col collapsed="false" customWidth="true" hidden="false" outlineLevel="0" max="47" min="47" style="0" width="0.56"/>
    <col collapsed="false" customWidth="true" hidden="false" outlineLevel="0" max="48" min="48" style="0" width="11.85"/>
    <col collapsed="false" customWidth="true" hidden="false" outlineLevel="0" max="49" min="49" style="0" width="0.99"/>
    <col collapsed="false" customWidth="true" hidden="false" outlineLevel="0" max="50" min="50" style="0" width="12.56"/>
    <col collapsed="false" customWidth="true" hidden="false" outlineLevel="0" max="51" min="51" style="0" width="1.41"/>
    <col collapsed="false" customWidth="true" hidden="false" outlineLevel="0" max="52" min="52" style="0" width="12.85"/>
  </cols>
  <sheetData>
    <row r="3" customFormat="false" ht="12.75" hidden="false" customHeight="false" outlineLevel="0" collapsed="false">
      <c r="B3" s="1" t="n">
        <v>36739</v>
      </c>
      <c r="C3" s="2"/>
      <c r="D3" s="1" t="n">
        <v>36740</v>
      </c>
      <c r="E3" s="1"/>
      <c r="F3" s="1" t="n">
        <v>36741</v>
      </c>
      <c r="G3" s="1"/>
      <c r="H3" s="1" t="n">
        <v>36742</v>
      </c>
      <c r="I3" s="1"/>
      <c r="J3" s="1" t="n">
        <v>36745</v>
      </c>
      <c r="K3" s="1"/>
      <c r="L3" s="1" t="n">
        <v>36746</v>
      </c>
      <c r="M3" s="1"/>
      <c r="N3" s="1" t="n">
        <v>36747</v>
      </c>
      <c r="O3" s="1"/>
      <c r="P3" s="1" t="n">
        <v>36748</v>
      </c>
      <c r="Q3" s="1"/>
      <c r="R3" s="1" t="n">
        <v>36749</v>
      </c>
      <c r="S3" s="1"/>
      <c r="T3" s="1" t="n">
        <v>36752</v>
      </c>
      <c r="U3" s="1"/>
      <c r="V3" s="1" t="n">
        <v>36753</v>
      </c>
      <c r="W3" s="1"/>
      <c r="X3" s="1" t="n">
        <v>36754</v>
      </c>
      <c r="Y3" s="1"/>
      <c r="Z3" s="1" t="n">
        <v>36755</v>
      </c>
      <c r="AA3" s="1"/>
      <c r="AB3" s="1" t="n">
        <v>36756</v>
      </c>
      <c r="AC3" s="1"/>
      <c r="AD3" s="1" t="n">
        <v>36759</v>
      </c>
      <c r="AE3" s="1"/>
      <c r="AF3" s="1" t="n">
        <v>36760</v>
      </c>
      <c r="AG3" s="1"/>
      <c r="AH3" s="1" t="n">
        <v>36761</v>
      </c>
      <c r="AI3" s="1"/>
      <c r="AJ3" s="1" t="n">
        <v>36762</v>
      </c>
      <c r="AK3" s="1"/>
      <c r="AL3" s="1" t="n">
        <v>36763</v>
      </c>
      <c r="AM3" s="1"/>
      <c r="AN3" s="1" t="n">
        <v>36766</v>
      </c>
      <c r="AO3" s="1"/>
      <c r="AP3" s="1" t="n">
        <v>36767</v>
      </c>
      <c r="AQ3" s="1"/>
      <c r="AR3" s="1" t="n">
        <v>36768</v>
      </c>
      <c r="AS3" s="1"/>
      <c r="AT3" s="1" t="n">
        <v>36769</v>
      </c>
      <c r="AU3" s="3"/>
      <c r="AV3" s="2" t="s">
        <v>0</v>
      </c>
      <c r="AW3" s="3"/>
      <c r="AX3" s="2" t="s">
        <v>1</v>
      </c>
      <c r="AY3" s="3"/>
      <c r="AZ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2" t="s">
        <v>3</v>
      </c>
      <c r="AY4" s="3"/>
      <c r="AZ4" s="2" t="s">
        <v>4</v>
      </c>
    </row>
    <row r="5" customFormat="false" ht="12.75" hidden="false" customHeight="false" outlineLevel="0" collapsed="false">
      <c r="AX5" s="4"/>
    </row>
    <row r="6" customFormat="false" ht="12.75" hidden="false" customHeight="false" outlineLevel="0" collapsed="false">
      <c r="A6" s="3" t="s">
        <v>5</v>
      </c>
      <c r="B6" s="5" t="n">
        <f aca="false">1878061-1766880+162933</f>
        <v>274114</v>
      </c>
      <c r="D6" s="5" t="n">
        <f aca="false">2750298+4365187-8288</f>
        <v>7107197</v>
      </c>
      <c r="E6" s="5"/>
      <c r="F6" s="5" t="n">
        <f aca="false">390644+2471966-29475</f>
        <v>2833135</v>
      </c>
      <c r="G6" s="5"/>
      <c r="H6" s="5" t="n">
        <f aca="false">128885+970289-30075</f>
        <v>1069099</v>
      </c>
      <c r="I6" s="5"/>
      <c r="J6" s="5" t="n">
        <f aca="false">383031+3167018-9050</f>
        <v>3540999</v>
      </c>
      <c r="K6" s="5"/>
      <c r="L6" s="5" t="n">
        <f aca="false">280855+895829-17100</f>
        <v>1159584</v>
      </c>
      <c r="M6" s="5"/>
      <c r="N6" s="5" t="n">
        <f aca="false">-53656+644920-23025</f>
        <v>568239</v>
      </c>
      <c r="O6" s="5"/>
      <c r="P6" s="5" t="n">
        <f aca="false">328239+941659+43113</f>
        <v>1313011</v>
      </c>
      <c r="Q6" s="5"/>
      <c r="R6" s="5" t="n">
        <f aca="false">46724+6305614-1888</f>
        <v>6350450</v>
      </c>
      <c r="S6" s="5"/>
      <c r="T6" s="5" t="n">
        <f aca="false">-726238+20406+8950</f>
        <v>-696882</v>
      </c>
      <c r="U6" s="5"/>
      <c r="V6" s="5" t="n">
        <f aca="false">-390778-1754437-3275</f>
        <v>-2148490</v>
      </c>
      <c r="W6" s="5"/>
      <c r="X6" s="5" t="n">
        <f aca="false">1008039-4479352-28038</f>
        <v>-3499351</v>
      </c>
      <c r="Y6" s="5"/>
      <c r="Z6" s="5" t="n">
        <f aca="false">191520-3192306+17100</f>
        <v>-2983686</v>
      </c>
      <c r="AA6" s="5"/>
      <c r="AB6" s="5" t="n">
        <f aca="false">618767+2505566+16093</f>
        <v>3140426</v>
      </c>
      <c r="AC6" s="5"/>
      <c r="AD6" s="5" t="n">
        <f aca="false">3863706+9258288+227137</f>
        <v>13349131</v>
      </c>
      <c r="AE6" s="5"/>
      <c r="AF6" s="5" t="n">
        <f aca="false">-52616758+12099401-76127</f>
        <v>-40593484</v>
      </c>
      <c r="AG6" s="5"/>
      <c r="AH6" s="5" t="n">
        <f aca="false">-2336890+6552087-88161</f>
        <v>4127036</v>
      </c>
      <c r="AI6" s="5"/>
      <c r="AJ6" s="5" t="n">
        <f aca="false">-208005+21613033+3651</f>
        <v>21408679</v>
      </c>
      <c r="AK6" s="5"/>
      <c r="AL6" s="5" t="n">
        <f aca="false">-25182925+28947239+206499</f>
        <v>3970813</v>
      </c>
      <c r="AM6" s="5"/>
      <c r="AN6" s="5" t="n">
        <f aca="false">191322+15672414+14059</f>
        <v>15877795</v>
      </c>
      <c r="AO6" s="5"/>
      <c r="AP6" s="5" t="n">
        <f aca="false">-303426-393646-41408</f>
        <v>-738480</v>
      </c>
      <c r="AQ6" s="5"/>
      <c r="AR6" s="5" t="n">
        <f aca="false">-38929983-19153838-3754565</f>
        <v>-61838386</v>
      </c>
      <c r="AS6" s="5"/>
      <c r="AT6" s="5" t="n">
        <f aca="false">-176684+5593278+1430860</f>
        <v>6847454</v>
      </c>
      <c r="AV6" s="6" t="n">
        <f aca="false">SUM(B6:AT6)</f>
        <v>-19561597</v>
      </c>
      <c r="AX6" s="5" t="n">
        <v>54162933</v>
      </c>
      <c r="AY6" s="5"/>
      <c r="AZ6" s="5" t="n">
        <f aca="false">AX6+AV6</f>
        <v>34601336</v>
      </c>
      <c r="BA6" s="5"/>
    </row>
    <row r="7" customFormat="false" ht="12.75" hidden="false" customHeight="false" outlineLevel="0" collapsed="false">
      <c r="A7" s="3"/>
      <c r="B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X7" s="5"/>
      <c r="AY7" s="5"/>
      <c r="AZ7" s="5"/>
      <c r="BA7" s="5"/>
    </row>
    <row r="8" customFormat="false" ht="12.75" hidden="false" customHeight="false" outlineLevel="0" collapsed="false">
      <c r="A8" s="3" t="s">
        <v>6</v>
      </c>
      <c r="B8" s="5" t="n">
        <f aca="false">236564-25880</f>
        <v>210684</v>
      </c>
      <c r="D8" s="5" t="n">
        <f aca="false">504908-4226</f>
        <v>500682</v>
      </c>
      <c r="E8" s="5"/>
      <c r="F8" s="5" t="n">
        <f aca="false">-19465-28496</f>
        <v>-47961</v>
      </c>
      <c r="G8" s="5"/>
      <c r="H8" s="5" t="n">
        <f aca="false">-10776-4720</f>
        <v>-15496</v>
      </c>
      <c r="I8" s="5"/>
      <c r="J8" s="5" t="n">
        <f aca="false">485446-23350</f>
        <v>462096</v>
      </c>
      <c r="K8" s="5"/>
      <c r="L8" s="5" t="n">
        <f aca="false">-73760+50003</f>
        <v>-23757</v>
      </c>
      <c r="M8" s="5"/>
      <c r="N8" s="5" t="n">
        <f aca="false">255728-11736</f>
        <v>243992</v>
      </c>
      <c r="O8" s="5"/>
      <c r="P8" s="5" t="n">
        <f aca="false">87330+20579</f>
        <v>107909</v>
      </c>
      <c r="Q8" s="5"/>
      <c r="R8" s="5" t="n">
        <f aca="false">707125-33420</f>
        <v>673705</v>
      </c>
      <c r="S8" s="5"/>
      <c r="T8" s="5" t="n">
        <f aca="false">-133364+34869</f>
        <v>-98495</v>
      </c>
      <c r="U8" s="5"/>
      <c r="V8" s="5" t="n">
        <f aca="false">-137177-47354</f>
        <v>-184531</v>
      </c>
      <c r="W8" s="5"/>
      <c r="X8" s="5" t="n">
        <f aca="false">-478734-8414</f>
        <v>-487148</v>
      </c>
      <c r="Y8" s="5"/>
      <c r="Z8" s="5" t="n">
        <f aca="false">-169657+29632</f>
        <v>-140025</v>
      </c>
      <c r="AA8" s="5"/>
      <c r="AB8" s="5" t="n">
        <f aca="false">-28562-9691</f>
        <v>-38253</v>
      </c>
      <c r="AC8" s="5"/>
      <c r="AD8" s="5" t="n">
        <f aca="false">307069-38736</f>
        <v>268333</v>
      </c>
      <c r="AE8" s="5"/>
      <c r="AF8" s="5" t="n">
        <f aca="false">618605+16836</f>
        <v>635441</v>
      </c>
      <c r="AG8" s="5"/>
      <c r="AH8" s="5" t="n">
        <f aca="false">80379-4980</f>
        <v>75399</v>
      </c>
      <c r="AI8" s="5"/>
      <c r="AJ8" s="5" t="n">
        <f aca="false">658799-7951</f>
        <v>650848</v>
      </c>
      <c r="AK8" s="5"/>
      <c r="AL8" s="5" t="n">
        <f aca="false">1456995-27861</f>
        <v>1429134</v>
      </c>
      <c r="AM8" s="5"/>
      <c r="AN8" s="5" t="n">
        <f aca="false">363691-8344</f>
        <v>355347</v>
      </c>
      <c r="AO8" s="5"/>
      <c r="AP8" s="5" t="n">
        <f aca="false">-325643-4605</f>
        <v>-330248</v>
      </c>
      <c r="AQ8" s="5"/>
      <c r="AR8" s="5" t="n">
        <f aca="false">-1662424+3024</f>
        <v>-1659400</v>
      </c>
      <c r="AS8" s="5"/>
      <c r="AT8" s="5" t="n">
        <f aca="false">274128-3010</f>
        <v>271118</v>
      </c>
      <c r="AV8" s="6" t="n">
        <f aca="false">SUM(B8:AT8)</f>
        <v>2859374</v>
      </c>
      <c r="AX8" s="5" t="n">
        <v>2404073</v>
      </c>
      <c r="AY8" s="5"/>
      <c r="AZ8" s="5" t="n">
        <f aca="false">AX8+AV8</f>
        <v>5263447</v>
      </c>
      <c r="BA8" s="5"/>
    </row>
    <row r="9" customFormat="false" ht="12.75" hidden="false" customHeight="false" outlineLevel="0" collapsed="false">
      <c r="A9" s="3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X9" s="5"/>
      <c r="AY9" s="5"/>
      <c r="AZ9" s="5"/>
      <c r="BA9" s="5"/>
    </row>
    <row r="10" customFormat="false" ht="12.75" hidden="false" customHeight="false" outlineLevel="0" collapsed="false">
      <c r="A10" s="3" t="s">
        <v>7</v>
      </c>
      <c r="B10" s="5" t="n">
        <f aca="false">-7171+579731-20726</f>
        <v>551834</v>
      </c>
      <c r="D10" s="5" t="n">
        <f aca="false">46246+924847+236</f>
        <v>971329</v>
      </c>
      <c r="E10" s="5"/>
      <c r="F10" s="5" t="n">
        <f aca="false">-165792+355</f>
        <v>-165437</v>
      </c>
      <c r="G10" s="5"/>
      <c r="H10" s="5" t="n">
        <f aca="false">-4477+205798-2434</f>
        <v>198887</v>
      </c>
      <c r="I10" s="5"/>
      <c r="J10" s="5" t="n">
        <f aca="false">1020449+6742</f>
        <v>1027191</v>
      </c>
      <c r="K10" s="5"/>
      <c r="L10" s="5" t="n">
        <f aca="false">-39199+7867</f>
        <v>-31332</v>
      </c>
      <c r="M10" s="5"/>
      <c r="N10" s="5" t="n">
        <f aca="false">334596+2265</f>
        <v>336861</v>
      </c>
      <c r="O10" s="5"/>
      <c r="P10" s="5" t="n">
        <f aca="false">396889+7243</f>
        <v>404132</v>
      </c>
      <c r="Q10" s="5"/>
      <c r="R10" s="5" t="n">
        <f aca="false">1270576+323</f>
        <v>1270899</v>
      </c>
      <c r="S10" s="5"/>
      <c r="T10" s="5" t="n">
        <f aca="false">38200-6273-94289</f>
        <v>-62362</v>
      </c>
      <c r="U10" s="5"/>
      <c r="V10" s="5" t="n">
        <f aca="false">-5981-193070-35</f>
        <v>-199086</v>
      </c>
      <c r="W10" s="5"/>
      <c r="X10" s="5" t="n">
        <f aca="false">-664175-28770</f>
        <v>-692945</v>
      </c>
      <c r="Y10" s="5"/>
      <c r="Z10" s="5" t="n">
        <f aca="false">-902616-16837</f>
        <v>-919453</v>
      </c>
      <c r="AA10" s="5"/>
      <c r="AB10" s="5" t="n">
        <f aca="false">-113617-4059</f>
        <v>-117676</v>
      </c>
      <c r="AC10" s="5"/>
      <c r="AD10" s="5" t="n">
        <f aca="false">566596-9946</f>
        <v>556650</v>
      </c>
      <c r="AE10" s="5"/>
      <c r="AF10" s="5" t="n">
        <f aca="false">2995+1821999+148</f>
        <v>1825142</v>
      </c>
      <c r="AG10" s="5"/>
      <c r="AH10" s="5" t="n">
        <f aca="false">-5241+210772+105</f>
        <v>205636</v>
      </c>
      <c r="AI10" s="5"/>
      <c r="AJ10" s="5" t="n">
        <f aca="false">2036018+22</f>
        <v>2036040</v>
      </c>
      <c r="AK10" s="5"/>
      <c r="AL10" s="5" t="n">
        <f aca="false">1905399-24563</f>
        <v>1880836</v>
      </c>
      <c r="AM10" s="5"/>
      <c r="AN10" s="5" t="n">
        <f aca="false">-16488+1278958+65</f>
        <v>1262535</v>
      </c>
      <c r="AO10" s="5"/>
      <c r="AP10" s="5" t="n">
        <f aca="false">-100153+1537</f>
        <v>-98616</v>
      </c>
      <c r="AQ10" s="5"/>
      <c r="AR10" s="5" t="n">
        <f aca="false">-9747-2289932-477744</f>
        <v>-2777423</v>
      </c>
      <c r="AS10" s="5"/>
      <c r="AT10" s="5" t="n">
        <f aca="false">-1557+1423143+127005</f>
        <v>1548591</v>
      </c>
      <c r="AV10" s="6" t="n">
        <f aca="false">SUM(B10:AT10)</f>
        <v>9012233</v>
      </c>
      <c r="AX10" s="5" t="n">
        <v>4797129</v>
      </c>
      <c r="AY10" s="5"/>
      <c r="AZ10" s="5" t="n">
        <f aca="false">AX10+AV10</f>
        <v>13809362</v>
      </c>
      <c r="BA10" s="5"/>
    </row>
    <row r="11" customFormat="false" ht="12.75" hidden="false" customHeight="false" outlineLevel="0" collapsed="false">
      <c r="A11" s="3"/>
      <c r="B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X11" s="5"/>
      <c r="AY11" s="5"/>
      <c r="AZ11" s="5"/>
      <c r="BA11" s="5"/>
    </row>
    <row r="12" customFormat="false" ht="12.75" hidden="false" customHeight="false" outlineLevel="0" collapsed="false">
      <c r="A12" s="3" t="s">
        <v>8</v>
      </c>
      <c r="B12" s="5" t="n">
        <f aca="false">79647-141431</f>
        <v>-61784</v>
      </c>
      <c r="D12" s="5" t="n">
        <f aca="false">51007+63398</f>
        <v>114405</v>
      </c>
      <c r="E12" s="5"/>
      <c r="F12" s="5" t="n">
        <f aca="false">21482+59306</f>
        <v>80788</v>
      </c>
      <c r="G12" s="5"/>
      <c r="H12" s="5" t="n">
        <f aca="false">37900+24619</f>
        <v>62519</v>
      </c>
      <c r="I12" s="5"/>
      <c r="J12" s="5" t="n">
        <f aca="false">15213+110824</f>
        <v>126037</v>
      </c>
      <c r="K12" s="5"/>
      <c r="L12" s="5" t="n">
        <f aca="false">27476+57865</f>
        <v>85341</v>
      </c>
      <c r="M12" s="5"/>
      <c r="N12" s="5" t="n">
        <v>-3734</v>
      </c>
      <c r="O12" s="5"/>
      <c r="P12" s="5" t="n">
        <v>19418</v>
      </c>
      <c r="Q12" s="5"/>
      <c r="R12" s="5" t="n">
        <f aca="false">14943+47065</f>
        <v>62008</v>
      </c>
      <c r="S12" s="5"/>
      <c r="T12" s="5" t="n">
        <v>-7831</v>
      </c>
      <c r="U12" s="5"/>
      <c r="V12" s="5" t="n">
        <f aca="false">-37975-65034</f>
        <v>-103009</v>
      </c>
      <c r="W12" s="5"/>
      <c r="X12" s="5" t="n">
        <f aca="false">-48594</f>
        <v>-48594</v>
      </c>
      <c r="Y12" s="5"/>
      <c r="Z12" s="5" t="n">
        <f aca="false">-38295-1495</f>
        <v>-39790</v>
      </c>
      <c r="AA12" s="5"/>
      <c r="AB12" s="5" t="n">
        <f aca="false">12116+38145</f>
        <v>50261</v>
      </c>
      <c r="AC12" s="5"/>
      <c r="AD12" s="5" t="n">
        <f aca="false">11227+237144</f>
        <v>248371</v>
      </c>
      <c r="AE12" s="5"/>
      <c r="AF12" s="5" t="n">
        <f aca="false">-16470+246256</f>
        <v>229786</v>
      </c>
      <c r="AG12" s="5"/>
      <c r="AH12" s="5" t="n">
        <f aca="false">36681+63636</f>
        <v>100317</v>
      </c>
      <c r="AI12" s="5"/>
      <c r="AJ12" s="5" t="n">
        <f aca="false">8987+215626</f>
        <v>224613</v>
      </c>
      <c r="AK12" s="5"/>
      <c r="AL12" s="5" t="n">
        <f aca="false">52723+1795645</f>
        <v>1848368</v>
      </c>
      <c r="AM12" s="5"/>
      <c r="AN12" s="5" t="n">
        <f aca="false">62636+444273</f>
        <v>506909</v>
      </c>
      <c r="AO12" s="5"/>
      <c r="AP12" s="5" t="n">
        <f aca="false">-20085-53508</f>
        <v>-73593</v>
      </c>
      <c r="AQ12" s="5"/>
      <c r="AR12" s="5" t="n">
        <f aca="false">113104-593513</f>
        <v>-480409</v>
      </c>
      <c r="AS12" s="5"/>
      <c r="AT12" s="5" t="n">
        <f aca="false">-34830+124822</f>
        <v>89992</v>
      </c>
      <c r="AV12" s="6" t="n">
        <f aca="false">SUM(B12:AT12)</f>
        <v>3030389</v>
      </c>
      <c r="AX12" s="5" t="n">
        <v>140870</v>
      </c>
      <c r="AY12" s="5"/>
      <c r="AZ12" s="5" t="n">
        <f aca="false">AX12+AV12</f>
        <v>3171259</v>
      </c>
      <c r="BA12" s="5"/>
    </row>
    <row r="13" customFormat="false" ht="12.75" hidden="false" customHeight="false" outlineLevel="0" collapsed="false">
      <c r="A13" s="3"/>
      <c r="B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V13" s="6"/>
      <c r="AX13" s="5"/>
      <c r="AY13" s="5"/>
      <c r="AZ13" s="5"/>
      <c r="BA13" s="5"/>
    </row>
    <row r="14" customFormat="false" ht="12.75" hidden="false" customHeight="false" outlineLevel="0" collapsed="false">
      <c r="A14" s="3" t="s">
        <v>9</v>
      </c>
      <c r="B14" s="5" t="n">
        <f aca="false">-7933+28570</f>
        <v>20637</v>
      </c>
      <c r="D14" s="5" t="n">
        <f aca="false">80389+7325</f>
        <v>87714</v>
      </c>
      <c r="E14" s="5"/>
      <c r="F14" s="5" t="n">
        <f aca="false">30774+11000</f>
        <v>41774</v>
      </c>
      <c r="G14" s="5"/>
      <c r="H14" s="5" t="n">
        <f aca="false">-8954+12823-1050</f>
        <v>2819</v>
      </c>
      <c r="I14" s="5"/>
      <c r="J14" s="5" t="n">
        <f aca="false">240886-250</f>
        <v>240636</v>
      </c>
      <c r="K14" s="5"/>
      <c r="L14" s="5" t="n">
        <f aca="false">34067+1300</f>
        <v>35367</v>
      </c>
      <c r="M14" s="5"/>
      <c r="N14" s="5" t="n">
        <f aca="false">55730-6500</f>
        <v>49230</v>
      </c>
      <c r="O14" s="5"/>
      <c r="P14" s="5" t="n">
        <f aca="false">57998+7525</f>
        <v>65523</v>
      </c>
      <c r="Q14" s="5"/>
      <c r="R14" s="5" t="n">
        <f aca="false">166905-2375</f>
        <v>164530</v>
      </c>
      <c r="S14" s="5"/>
      <c r="T14" s="5" t="n">
        <f aca="false">2507-5350</f>
        <v>-2843</v>
      </c>
      <c r="U14" s="5"/>
      <c r="V14" s="5" t="n">
        <f aca="false">-117873-1100</f>
        <v>-118973</v>
      </c>
      <c r="W14" s="5"/>
      <c r="X14" s="5" t="n">
        <f aca="false">-26614+11775</f>
        <v>-14839</v>
      </c>
      <c r="Y14" s="5"/>
      <c r="Z14" s="5" t="n">
        <f aca="false">-107905+3250</f>
        <v>-104655</v>
      </c>
      <c r="AA14" s="5"/>
      <c r="AB14" s="5" t="n">
        <f aca="false">132963+1275</f>
        <v>134238</v>
      </c>
      <c r="AC14" s="5"/>
      <c r="AD14" s="5" t="n">
        <f aca="false">548472+28025</f>
        <v>576497</v>
      </c>
      <c r="AE14" s="5"/>
      <c r="AF14" s="5" t="n">
        <f aca="false">1496885+4600</f>
        <v>1501485</v>
      </c>
      <c r="AG14" s="5"/>
      <c r="AH14" s="5" t="n">
        <f aca="false">-7488+157050+3250</f>
        <v>152812</v>
      </c>
      <c r="AI14" s="5"/>
      <c r="AJ14" s="5" t="n">
        <f aca="false">1900456+675</f>
        <v>1901131</v>
      </c>
      <c r="AK14" s="5"/>
      <c r="AL14" s="5" t="n">
        <f aca="false">2282279+28050</f>
        <v>2310329</v>
      </c>
      <c r="AM14" s="5"/>
      <c r="AN14" s="5" t="n">
        <f aca="false">838313+2025</f>
        <v>840338</v>
      </c>
      <c r="AO14" s="5"/>
      <c r="AP14" s="5" t="n">
        <f aca="false">-139800+1175</f>
        <v>-138625</v>
      </c>
      <c r="AQ14" s="5"/>
      <c r="AR14" s="5" t="n">
        <f aca="false">-8541-3287483-6175</f>
        <v>-3302199</v>
      </c>
      <c r="AS14" s="5"/>
      <c r="AT14" s="5" t="n">
        <f aca="false">-115+705338-400</f>
        <v>704823</v>
      </c>
      <c r="AV14" s="6" t="n">
        <f aca="false">SUM(B14:AT14)</f>
        <v>5147749</v>
      </c>
      <c r="AX14" s="5" t="n">
        <v>534744</v>
      </c>
      <c r="AY14" s="5"/>
      <c r="AZ14" s="5" t="n">
        <f aca="false">AX14+AV14</f>
        <v>5682493</v>
      </c>
      <c r="BA14" s="5"/>
    </row>
    <row r="15" customFormat="false" ht="12.75" hidden="false" customHeight="false" outlineLevel="0" collapsed="false">
      <c r="A15" s="3"/>
      <c r="B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V15" s="6"/>
      <c r="AX15" s="5"/>
      <c r="AY15" s="5"/>
      <c r="AZ15" s="5"/>
      <c r="BA15" s="5"/>
    </row>
    <row r="16" customFormat="false" ht="13.5" hidden="false" customHeight="false" outlineLevel="0" collapsed="false">
      <c r="A16" s="3" t="s">
        <v>10</v>
      </c>
      <c r="B16" s="7" t="n">
        <f aca="false">SUM(B6:B15)</f>
        <v>995485</v>
      </c>
      <c r="D16" s="7" t="n">
        <f aca="false">SUM(D6:D14)</f>
        <v>8781327</v>
      </c>
      <c r="E16" s="5"/>
      <c r="F16" s="7" t="n">
        <f aca="false">SUM(F6:F14)</f>
        <v>2742299</v>
      </c>
      <c r="G16" s="5"/>
      <c r="H16" s="7" t="n">
        <f aca="false">SUM(H6:H14)</f>
        <v>1317828</v>
      </c>
      <c r="I16" s="5"/>
      <c r="J16" s="7" t="n">
        <f aca="false">SUM(J6:J14)</f>
        <v>5396959</v>
      </c>
      <c r="K16" s="5"/>
      <c r="L16" s="7" t="n">
        <f aca="false">SUM(L6:L14)</f>
        <v>1225203</v>
      </c>
      <c r="M16" s="5"/>
      <c r="N16" s="7" t="n">
        <f aca="false">SUM(N6:N14)</f>
        <v>1194588</v>
      </c>
      <c r="O16" s="5"/>
      <c r="P16" s="7" t="n">
        <f aca="false">SUM(P6:P14)</f>
        <v>1909993</v>
      </c>
      <c r="Q16" s="5"/>
      <c r="R16" s="7" t="n">
        <f aca="false">SUM(R6:R14)</f>
        <v>8521592</v>
      </c>
      <c r="S16" s="5"/>
      <c r="T16" s="7" t="n">
        <f aca="false">SUM(T6:T14)</f>
        <v>-868413</v>
      </c>
      <c r="U16" s="5"/>
      <c r="V16" s="7" t="n">
        <f aca="false">SUM(V6:V14)</f>
        <v>-2754089</v>
      </c>
      <c r="W16" s="5"/>
      <c r="X16" s="7" t="n">
        <f aca="false">SUM(X6:X14)</f>
        <v>-4742877</v>
      </c>
      <c r="Y16" s="5"/>
      <c r="Z16" s="7" t="n">
        <f aca="false">SUM(Z6:Z14)</f>
        <v>-4187609</v>
      </c>
      <c r="AA16" s="5"/>
      <c r="AB16" s="7" t="n">
        <f aca="false">SUM(AB6:AB14)</f>
        <v>3168996</v>
      </c>
      <c r="AC16" s="5"/>
      <c r="AD16" s="7" t="n">
        <f aca="false">SUM(AD6:AD14)</f>
        <v>14998982</v>
      </c>
      <c r="AE16" s="5"/>
      <c r="AF16" s="7" t="n">
        <f aca="false">SUM(AF6:AF14)</f>
        <v>-36401630</v>
      </c>
      <c r="AG16" s="5"/>
      <c r="AH16" s="7" t="n">
        <f aca="false">SUM(AH6:AH14)</f>
        <v>4661200</v>
      </c>
      <c r="AI16" s="5"/>
      <c r="AJ16" s="7" t="n">
        <f aca="false">SUM(AJ6:AJ14)</f>
        <v>26221311</v>
      </c>
      <c r="AK16" s="5"/>
      <c r="AL16" s="7" t="n">
        <f aca="false">SUM(AL6:AL14)</f>
        <v>11439480</v>
      </c>
      <c r="AM16" s="5"/>
      <c r="AN16" s="7" t="n">
        <f aca="false">SUM(AN6:AN14)</f>
        <v>18842924</v>
      </c>
      <c r="AO16" s="5"/>
      <c r="AP16" s="7" t="n">
        <f aca="false">SUM(AP6:AP14)</f>
        <v>-1379562</v>
      </c>
      <c r="AQ16" s="5"/>
      <c r="AR16" s="7" t="n">
        <f aca="false">SUM(AR6:AR14)</f>
        <v>-70057817</v>
      </c>
      <c r="AS16" s="5"/>
      <c r="AT16" s="7" t="n">
        <f aca="false">SUM(AT6:AT14)</f>
        <v>9461978</v>
      </c>
      <c r="AV16" s="8" t="n">
        <f aca="false">SUM(B16:AT16)</f>
        <v>488148</v>
      </c>
      <c r="AX16" s="7" t="n">
        <f aca="false">SUM(AX6:AX14)</f>
        <v>62039749</v>
      </c>
      <c r="AY16" s="5"/>
      <c r="AZ16" s="7" t="n">
        <f aca="false">SUM(AZ6:AZ14)</f>
        <v>62527897</v>
      </c>
      <c r="BA16" s="5"/>
    </row>
    <row r="17" customFormat="false" ht="13.5" hidden="false" customHeight="false" outlineLevel="0" collapsed="false">
      <c r="A17" s="3"/>
      <c r="B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X17" s="5"/>
      <c r="AY17" s="5"/>
      <c r="AZ17" s="5"/>
      <c r="BA17" s="5"/>
    </row>
    <row r="18" customFormat="false" ht="12.75" hidden="false" customHeight="false" outlineLevel="0" collapsed="false">
      <c r="B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 t="s">
        <v>11</v>
      </c>
      <c r="AX18" s="5"/>
      <c r="AY18" s="5"/>
      <c r="AZ18" s="5"/>
      <c r="BA18" s="5"/>
    </row>
    <row r="19" customFormat="false" ht="12.75" hidden="false" customHeight="false" outlineLevel="0" collapsed="false"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X19" s="5"/>
      <c r="AY19" s="5"/>
      <c r="AZ19" s="5"/>
      <c r="BA19" s="5"/>
    </row>
    <row r="20" customFormat="false" ht="12.75" hidden="false" customHeight="false" outlineLevel="0" collapsed="false"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X20" s="5"/>
      <c r="AY20" s="5"/>
      <c r="AZ20" s="5"/>
      <c r="BA20" s="5"/>
    </row>
    <row r="21" customFormat="false" ht="12.75" hidden="false" customHeight="false" outlineLevel="0" collapsed="false">
      <c r="AX21" s="5"/>
      <c r="AY21" s="5"/>
      <c r="AZ21" s="5"/>
      <c r="BA21" s="5"/>
    </row>
    <row r="22" customFormat="false" ht="12.75" hidden="false" customHeight="false" outlineLevel="0" collapsed="false">
      <c r="AX22" s="5"/>
      <c r="AY22" s="5"/>
      <c r="AZ22" s="5"/>
      <c r="BA22" s="5"/>
    </row>
    <row r="23" customFormat="false" ht="12.75" hidden="false" customHeight="false" outlineLevel="0" collapsed="false">
      <c r="AX23" s="5"/>
      <c r="AY23" s="5"/>
      <c r="AZ23" s="5"/>
      <c r="BA23" s="5"/>
    </row>
    <row r="24" customFormat="false" ht="12.75" hidden="false" customHeight="false" outlineLevel="0" collapsed="false">
      <c r="AX24" s="5"/>
      <c r="AY24" s="5"/>
      <c r="AZ24" s="5"/>
      <c r="BA24" s="5"/>
    </row>
    <row r="25" customFormat="false" ht="12.75" hidden="false" customHeight="false" outlineLevel="0" collapsed="false">
      <c r="AX25" s="5"/>
      <c r="AY25" s="5"/>
      <c r="AZ25" s="5"/>
      <c r="BA25" s="5"/>
    </row>
    <row r="26" customFormat="false" ht="12.75" hidden="false" customHeight="false" outlineLevel="0" collapsed="false">
      <c r="AX26" s="5"/>
      <c r="AY26" s="5"/>
      <c r="AZ26" s="5"/>
      <c r="BA26" s="5"/>
    </row>
  </sheetData>
  <printOptions headings="false" gridLines="false" gridLinesSet="true" horizontalCentered="false" verticalCentered="false"/>
  <pageMargins left="0.2" right="0.290277777777778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AD26"/>
  <sheetViews>
    <sheetView showFormulas="false" showGridLines="true" showRowColHeaders="true" showZeros="true" rightToLeft="false" tabSelected="true" showOutlineSymbols="true" defaultGridColor="true" view="normal" topLeftCell="N1" colorId="64" zoomScale="100" zoomScaleNormal="100" zoomScalePageLayoutView="100" workbookViewId="0">
      <selection pane="topLeft" activeCell="AA18" activeCellId="0" sqref="AA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13"/>
    <col collapsed="false" customWidth="true" hidden="false" outlineLevel="0" max="2" min="2" style="0" width="0.7"/>
    <col collapsed="false" customWidth="true" hidden="false" outlineLevel="0" max="3" min="3" style="0" width="13.7"/>
    <col collapsed="false" customWidth="true" hidden="false" outlineLevel="0" max="4" min="4" style="0" width="0.41"/>
    <col collapsed="false" customWidth="true" hidden="false" outlineLevel="0" max="5" min="5" style="0" width="13.41"/>
    <col collapsed="false" customWidth="true" hidden="false" outlineLevel="0" max="6" min="6" style="0" width="0.56"/>
    <col collapsed="false" customWidth="true" hidden="false" outlineLevel="0" max="7" min="7" style="0" width="13.41"/>
    <col collapsed="false" customWidth="true" hidden="false" outlineLevel="0" max="8" min="8" style="0" width="0.56"/>
    <col collapsed="false" customWidth="true" hidden="false" outlineLevel="0" max="9" min="9" style="0" width="13.41"/>
    <col collapsed="false" customWidth="true" hidden="false" outlineLevel="0" max="10" min="10" style="0" width="0.56"/>
    <col collapsed="false" customWidth="true" hidden="false" outlineLevel="0" max="11" min="11" style="0" width="13.41"/>
    <col collapsed="false" customWidth="true" hidden="false" outlineLevel="0" max="12" min="12" style="0" width="0.85"/>
    <col collapsed="false" customWidth="true" hidden="false" outlineLevel="0" max="13" min="13" style="0" width="13.41"/>
    <col collapsed="false" customWidth="true" hidden="false" outlineLevel="0" max="14" min="14" style="0" width="0.85"/>
    <col collapsed="false" customWidth="true" hidden="false" outlineLevel="0" max="15" min="15" style="0" width="13.41"/>
    <col collapsed="false" customWidth="true" hidden="false" outlineLevel="0" max="16" min="16" style="0" width="0.85"/>
    <col collapsed="false" customWidth="true" hidden="false" outlineLevel="0" max="17" min="17" style="0" width="13.41"/>
    <col collapsed="false" customWidth="true" hidden="false" outlineLevel="0" max="18" min="18" style="0" width="0.85"/>
    <col collapsed="false" customWidth="true" hidden="false" outlineLevel="0" max="19" min="19" style="0" width="12.14"/>
    <col collapsed="false" customWidth="true" hidden="false" outlineLevel="0" max="20" min="20" style="0" width="0.85"/>
    <col collapsed="false" customWidth="true" hidden="false" outlineLevel="0" max="21" min="21" style="0" width="12.14"/>
    <col collapsed="false" customWidth="true" hidden="false" outlineLevel="0" max="22" min="22" style="0" width="0.7"/>
    <col collapsed="false" customWidth="true" hidden="false" outlineLevel="0" max="23" min="23" style="0" width="12.14"/>
    <col collapsed="false" customWidth="true" hidden="false" outlineLevel="0" max="24" min="24" style="0" width="0.7"/>
    <col collapsed="false" customWidth="true" hidden="false" outlineLevel="0" max="25" min="25" style="0" width="11.85"/>
    <col collapsed="false" customWidth="true" hidden="false" outlineLevel="0" max="26" min="26" style="0" width="0.99"/>
    <col collapsed="false" customWidth="true" hidden="false" outlineLevel="0" max="27" min="27" style="0" width="12.56"/>
    <col collapsed="false" customWidth="true" hidden="false" outlineLevel="0" max="28" min="28" style="0" width="1.41"/>
    <col collapsed="false" customWidth="true" hidden="false" outlineLevel="0" max="29" min="29" style="0" width="12.85"/>
  </cols>
  <sheetData>
    <row r="3" customFormat="false" ht="12.75" hidden="false" customHeight="false" outlineLevel="0" collapsed="false">
      <c r="B3" s="1"/>
      <c r="C3" s="1" t="n">
        <v>36770</v>
      </c>
      <c r="D3" s="1"/>
      <c r="E3" s="1" t="n">
        <v>36774</v>
      </c>
      <c r="F3" s="1"/>
      <c r="G3" s="1" t="n">
        <v>36775</v>
      </c>
      <c r="H3" s="1"/>
      <c r="I3" s="1" t="n">
        <v>36776</v>
      </c>
      <c r="J3" s="1"/>
      <c r="K3" s="1" t="n">
        <v>36777</v>
      </c>
      <c r="L3" s="3"/>
      <c r="M3" s="1" t="n">
        <v>36780</v>
      </c>
      <c r="N3" s="3"/>
      <c r="O3" s="1" t="n">
        <v>36781</v>
      </c>
      <c r="P3" s="3"/>
      <c r="Q3" s="1" t="n">
        <v>36782</v>
      </c>
      <c r="R3" s="1"/>
      <c r="S3" s="1" t="n">
        <v>36783</v>
      </c>
      <c r="T3" s="1"/>
      <c r="U3" s="1" t="n">
        <v>36784</v>
      </c>
      <c r="V3" s="3"/>
      <c r="W3" s="1" t="n">
        <v>36787</v>
      </c>
      <c r="X3" s="3"/>
      <c r="Y3" s="2" t="s">
        <v>0</v>
      </c>
      <c r="Z3" s="3"/>
      <c r="AA3" s="2" t="s">
        <v>1</v>
      </c>
      <c r="AB3" s="3"/>
      <c r="AC3" s="2" t="s">
        <v>2</v>
      </c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2" t="s">
        <v>4</v>
      </c>
      <c r="AB4" s="3"/>
      <c r="AC4" s="9" t="n">
        <f aca="true">TODAY()</f>
        <v>45926</v>
      </c>
    </row>
    <row r="5" customFormat="false" ht="12.75" hidden="false" customHeight="false" outlineLevel="0" collapsed="false">
      <c r="AA5" s="4"/>
    </row>
    <row r="6" customFormat="false" ht="12.75" hidden="false" customHeight="false" outlineLevel="0" collapsed="false">
      <c r="A6" s="3" t="s">
        <v>5</v>
      </c>
      <c r="B6" s="5"/>
      <c r="C6" s="5" t="n">
        <f aca="false">15543456-16888690+1261671</f>
        <v>-83563</v>
      </c>
      <c r="D6" s="5"/>
      <c r="E6" s="5" t="n">
        <f aca="false">779580-21557667+1481311</f>
        <v>-19296776</v>
      </c>
      <c r="F6" s="5"/>
      <c r="G6" s="5" t="n">
        <f aca="false">848888+712237+225317</f>
        <v>1786442</v>
      </c>
      <c r="H6" s="5"/>
      <c r="I6" s="5" t="n">
        <f aca="false">-136862-634828-170167</f>
        <v>-941857</v>
      </c>
      <c r="J6" s="5"/>
      <c r="K6" s="5" t="n">
        <f aca="false">-361946+1654695-191592</f>
        <v>1101157</v>
      </c>
      <c r="M6" s="5" t="n">
        <f aca="false">1055847-1580273+156408</f>
        <v>-368018</v>
      </c>
      <c r="O6" s="5" t="n">
        <f aca="false">33636-5271350+34805</f>
        <v>-5202909</v>
      </c>
      <c r="Q6" s="5" t="n">
        <f aca="false">7483-4131006+107739</f>
        <v>-4015784</v>
      </c>
      <c r="R6" s="5"/>
      <c r="S6" s="5" t="n">
        <f aca="false">-83992-2950735-18704</f>
        <v>-3053431</v>
      </c>
      <c r="T6" s="5"/>
      <c r="U6" s="5" t="n">
        <f aca="false">-839628-5508342+445</f>
        <v>-6347525</v>
      </c>
      <c r="W6" s="5" t="n">
        <f aca="false">68932+2371081+53</f>
        <v>2440066</v>
      </c>
      <c r="Y6" s="6" t="n">
        <f aca="false">SUM(B6:W6)</f>
        <v>-33982198</v>
      </c>
      <c r="AA6" s="5" t="n">
        <v>34601336</v>
      </c>
      <c r="AB6" s="5"/>
      <c r="AC6" s="5" t="n">
        <f aca="false">AA6+Y6</f>
        <v>619138</v>
      </c>
      <c r="AD6" s="5"/>
    </row>
    <row r="7" customFormat="false" ht="12.75" hidden="false" customHeight="false" outlineLevel="0" collapsed="false">
      <c r="A7" s="3"/>
      <c r="B7" s="5"/>
      <c r="C7" s="5"/>
      <c r="D7" s="5"/>
      <c r="E7" s="5"/>
      <c r="F7" s="5"/>
      <c r="G7" s="5"/>
      <c r="H7" s="5"/>
      <c r="I7" s="5"/>
      <c r="J7" s="5"/>
      <c r="K7" s="5"/>
      <c r="M7" s="5"/>
      <c r="O7" s="5"/>
      <c r="Q7" s="5"/>
      <c r="R7" s="5"/>
      <c r="S7" s="5"/>
      <c r="T7" s="5"/>
      <c r="U7" s="5"/>
      <c r="W7" s="5"/>
      <c r="AA7" s="5"/>
      <c r="AB7" s="5"/>
      <c r="AC7" s="5"/>
      <c r="AD7" s="5"/>
    </row>
    <row r="8" customFormat="false" ht="12.75" hidden="false" customHeight="false" outlineLevel="0" collapsed="false">
      <c r="A8" s="3" t="s">
        <v>6</v>
      </c>
      <c r="B8" s="5"/>
      <c r="C8" s="5" t="n">
        <f aca="false">-868305</f>
        <v>-868305</v>
      </c>
      <c r="D8" s="5"/>
      <c r="E8" s="5" t="n">
        <f aca="false">-1053914</f>
        <v>-1053914</v>
      </c>
      <c r="F8" s="5"/>
      <c r="G8" s="5" t="n">
        <f aca="false">655246</f>
        <v>655246</v>
      </c>
      <c r="H8" s="5"/>
      <c r="I8" s="5" t="n">
        <v>-56275</v>
      </c>
      <c r="J8" s="5"/>
      <c r="K8" s="5" t="n">
        <f aca="false">176981</f>
        <v>176981</v>
      </c>
      <c r="M8" s="5" t="n">
        <v>-65413</v>
      </c>
      <c r="O8" s="5" t="n">
        <v>-299322</v>
      </c>
      <c r="Q8" s="5" t="n">
        <v>-155697</v>
      </c>
      <c r="R8" s="5"/>
      <c r="S8" s="5" t="n">
        <f aca="false">-69856</f>
        <v>-69856</v>
      </c>
      <c r="T8" s="5"/>
      <c r="U8" s="5" t="n">
        <v>-44770</v>
      </c>
      <c r="W8" s="5" t="n">
        <v>267337</v>
      </c>
      <c r="Y8" s="6" t="n">
        <f aca="false">SUM(B8:W8)</f>
        <v>-1513988</v>
      </c>
      <c r="AA8" s="5" t="n">
        <v>5263447</v>
      </c>
      <c r="AB8" s="5"/>
      <c r="AC8" s="5" t="n">
        <f aca="false">AA8+Y8</f>
        <v>3749459</v>
      </c>
      <c r="AD8" s="5"/>
    </row>
    <row r="9" customFormat="false" ht="12.75" hidden="false" customHeight="false" outlineLevel="0" collapsed="false">
      <c r="A9" s="3"/>
      <c r="B9" s="5"/>
      <c r="C9" s="5"/>
      <c r="D9" s="5"/>
      <c r="E9" s="5"/>
      <c r="F9" s="5"/>
      <c r="G9" s="5"/>
      <c r="H9" s="5"/>
      <c r="I9" s="5"/>
      <c r="J9" s="5"/>
      <c r="K9" s="5"/>
      <c r="M9" s="5"/>
      <c r="O9" s="5"/>
      <c r="Q9" s="5"/>
      <c r="R9" s="5"/>
      <c r="S9" s="5"/>
      <c r="T9" s="5"/>
      <c r="U9" s="5"/>
      <c r="W9" s="5"/>
      <c r="AA9" s="5"/>
      <c r="AB9" s="5"/>
      <c r="AC9" s="5"/>
      <c r="AD9" s="5"/>
    </row>
    <row r="10" customFormat="false" ht="12.75" hidden="false" customHeight="false" outlineLevel="0" collapsed="false">
      <c r="A10" s="3" t="s">
        <v>7</v>
      </c>
      <c r="B10" s="5"/>
      <c r="C10" s="5" t="n">
        <f aca="false">-1926729+152381</f>
        <v>-1774348</v>
      </c>
      <c r="D10" s="5"/>
      <c r="E10" s="5" t="n">
        <f aca="false">-3200784+110670</f>
        <v>-3090114</v>
      </c>
      <c r="F10" s="5"/>
      <c r="G10" s="5" t="n">
        <f aca="false">379498+81215</f>
        <v>460713</v>
      </c>
      <c r="H10" s="5"/>
      <c r="I10" s="5" t="n">
        <f aca="false">-274995-78810</f>
        <v>-353805</v>
      </c>
      <c r="J10" s="5"/>
      <c r="K10" s="5" t="n">
        <f aca="false">215021+41070</f>
        <v>256091</v>
      </c>
      <c r="M10" s="5" t="n">
        <f aca="false">-214492+109335</f>
        <v>-105157</v>
      </c>
      <c r="O10" s="5" t="n">
        <f aca="false">-953569-103825</f>
        <v>-1057394</v>
      </c>
      <c r="Q10" s="5" t="n">
        <f aca="false">-494305+15580</f>
        <v>-478725</v>
      </c>
      <c r="R10" s="5"/>
      <c r="S10" s="5" t="n">
        <f aca="false">-291712-8064</f>
        <v>-299776</v>
      </c>
      <c r="T10" s="5"/>
      <c r="U10" s="5" t="n">
        <f aca="false">-533387-5340</f>
        <v>-538727</v>
      </c>
      <c r="W10" s="5" t="n">
        <f aca="false">453085+21030</f>
        <v>474115</v>
      </c>
      <c r="Y10" s="6" t="n">
        <f aca="false">SUM(B10:W10)</f>
        <v>-6507127</v>
      </c>
      <c r="AA10" s="5" t="n">
        <v>13810919</v>
      </c>
      <c r="AB10" s="5"/>
      <c r="AC10" s="5" t="n">
        <f aca="false">AA10+Y10</f>
        <v>7303792</v>
      </c>
      <c r="AD10" s="5"/>
    </row>
    <row r="11" customFormat="false" ht="12.75" hidden="false" customHeight="false" outlineLevel="0" collapsed="false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M11" s="5"/>
      <c r="O11" s="5"/>
      <c r="Q11" s="5"/>
      <c r="R11" s="5"/>
      <c r="S11" s="5"/>
      <c r="T11" s="5"/>
      <c r="U11" s="5"/>
      <c r="W11" s="5"/>
      <c r="AA11" s="5"/>
      <c r="AB11" s="5"/>
      <c r="AC11" s="5"/>
      <c r="AD11" s="5"/>
    </row>
    <row r="12" customFormat="false" ht="12.75" hidden="false" customHeight="false" outlineLevel="0" collapsed="false">
      <c r="A12" s="3" t="s">
        <v>8</v>
      </c>
      <c r="B12" s="5"/>
      <c r="C12" s="5" t="n">
        <f aca="false">32674-614776</f>
        <v>-582102</v>
      </c>
      <c r="D12" s="5"/>
      <c r="E12" s="5" t="n">
        <f aca="false">70910-397473</f>
        <v>-326563</v>
      </c>
      <c r="F12" s="5"/>
      <c r="G12" s="5" t="n">
        <f aca="false">85310-34324</f>
        <v>50986</v>
      </c>
      <c r="H12" s="5"/>
      <c r="I12" s="5" t="n">
        <f aca="false">-33790+135782</f>
        <v>101992</v>
      </c>
      <c r="J12" s="5"/>
      <c r="K12" s="5" t="n">
        <f aca="false">-54630+169754</f>
        <v>115124</v>
      </c>
      <c r="M12" s="5" t="n">
        <f aca="false">-2350+44380</f>
        <v>42030</v>
      </c>
      <c r="O12" s="5" t="n">
        <f aca="false">309-144782</f>
        <v>-144473</v>
      </c>
      <c r="Q12" s="5" t="n">
        <f aca="false">-29668-54834</f>
        <v>-84502</v>
      </c>
      <c r="R12" s="5"/>
      <c r="S12" s="5" t="n">
        <f aca="false">-4636-67204</f>
        <v>-71840</v>
      </c>
      <c r="T12" s="5"/>
      <c r="U12" s="5" t="n">
        <f aca="false">4327-271551</f>
        <v>-267224</v>
      </c>
      <c r="W12" s="5" t="n">
        <f aca="false">41265+175416</f>
        <v>216681</v>
      </c>
      <c r="Y12" s="6" t="n">
        <f aca="false">SUM(B12:W12)</f>
        <v>-949891</v>
      </c>
      <c r="AA12" s="5" t="n">
        <v>3171259</v>
      </c>
      <c r="AB12" s="5"/>
      <c r="AC12" s="5" t="n">
        <f aca="false">AA12+Y12</f>
        <v>2221368</v>
      </c>
      <c r="AD12" s="5"/>
    </row>
    <row r="13" customFormat="false" ht="12.75" hidden="false" customHeight="false" outlineLevel="0" collapsed="false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M13" s="5"/>
      <c r="O13" s="5"/>
      <c r="Q13" s="5"/>
      <c r="R13" s="5"/>
      <c r="S13" s="5"/>
      <c r="T13" s="5"/>
      <c r="U13" s="5"/>
      <c r="W13" s="5"/>
      <c r="Y13" s="6"/>
      <c r="AA13" s="5"/>
      <c r="AB13" s="5"/>
      <c r="AC13" s="5"/>
      <c r="AD13" s="5"/>
    </row>
    <row r="14" customFormat="false" ht="12.75" hidden="false" customHeight="false" outlineLevel="0" collapsed="false">
      <c r="A14" s="3" t="s">
        <v>9</v>
      </c>
      <c r="B14" s="5"/>
      <c r="C14" s="5" t="n">
        <f aca="false">-960801</f>
        <v>-960801</v>
      </c>
      <c r="D14" s="5"/>
      <c r="E14" s="5" t="n">
        <f aca="false">-1231440</f>
        <v>-1231440</v>
      </c>
      <c r="F14" s="5"/>
      <c r="G14" s="5" t="n">
        <f aca="false">26230-9563</f>
        <v>16667</v>
      </c>
      <c r="H14" s="5"/>
      <c r="I14" s="5" t="n">
        <v>-22420</v>
      </c>
      <c r="J14" s="5"/>
      <c r="K14" s="5" t="n">
        <f aca="false">148307</f>
        <v>148307</v>
      </c>
      <c r="M14" s="5" t="n">
        <f aca="false">-39650-1450</f>
        <v>-41100</v>
      </c>
      <c r="O14" s="5" t="n">
        <f aca="false">6179-245310+1725</f>
        <v>-237406</v>
      </c>
      <c r="Q14" s="5" t="n">
        <f aca="false">-202576+1750</f>
        <v>-200826</v>
      </c>
      <c r="R14" s="5"/>
      <c r="S14" s="5" t="n">
        <f aca="false">-190343+18350</f>
        <v>-171993</v>
      </c>
      <c r="T14" s="5"/>
      <c r="U14" s="5" t="n">
        <f aca="false">-424382+23050</f>
        <v>-401332</v>
      </c>
      <c r="W14" s="5" t="n">
        <f aca="false">59491+9975</f>
        <v>69466</v>
      </c>
      <c r="Y14" s="6" t="n">
        <f aca="false">SUM(B14:W14)</f>
        <v>-3032878</v>
      </c>
      <c r="AA14" s="5" t="n">
        <v>5682608</v>
      </c>
      <c r="AB14" s="5"/>
      <c r="AC14" s="5" t="n">
        <f aca="false">AA14+Y14</f>
        <v>2649730</v>
      </c>
      <c r="AD14" s="5"/>
    </row>
    <row r="15" customFormat="false" ht="12.75" hidden="false" customHeight="false" outlineLevel="0" collapsed="false">
      <c r="A15" s="3"/>
      <c r="B15" s="5"/>
      <c r="C15" s="5"/>
      <c r="D15" s="5"/>
      <c r="E15" s="5"/>
      <c r="F15" s="5"/>
      <c r="G15" s="5"/>
      <c r="H15" s="5"/>
      <c r="I15" s="5"/>
      <c r="J15" s="5"/>
      <c r="K15" s="5"/>
      <c r="M15" s="5"/>
      <c r="O15" s="5"/>
      <c r="Q15" s="5"/>
      <c r="R15" s="5"/>
      <c r="S15" s="5"/>
      <c r="T15" s="5"/>
      <c r="U15" s="5"/>
      <c r="W15" s="5"/>
      <c r="Y15" s="6"/>
      <c r="AA15" s="5"/>
      <c r="AB15" s="5"/>
      <c r="AC15" s="5"/>
      <c r="AD15" s="5"/>
    </row>
    <row r="16" customFormat="false" ht="13.5" hidden="false" customHeight="false" outlineLevel="0" collapsed="false">
      <c r="A16" s="3" t="s">
        <v>10</v>
      </c>
      <c r="B16" s="5"/>
      <c r="C16" s="7" t="n">
        <f aca="false">SUM(C6:C14)</f>
        <v>-4269119</v>
      </c>
      <c r="D16" s="5"/>
      <c r="E16" s="7" t="n">
        <f aca="false">SUM(E6:E14)</f>
        <v>-24998807</v>
      </c>
      <c r="F16" s="5"/>
      <c r="G16" s="7" t="n">
        <f aca="false">SUM(G6:G14)</f>
        <v>2970054</v>
      </c>
      <c r="H16" s="5"/>
      <c r="I16" s="7" t="n">
        <f aca="false">SUM(I6:I14)</f>
        <v>-1272365</v>
      </c>
      <c r="J16" s="5"/>
      <c r="K16" s="7" t="n">
        <f aca="false">SUM(K6:K14)</f>
        <v>1797660</v>
      </c>
      <c r="M16" s="7" t="n">
        <f aca="false">SUM(M6:M14)</f>
        <v>-537658</v>
      </c>
      <c r="O16" s="7" t="n">
        <f aca="false">SUM(O6:O14)</f>
        <v>-6941504</v>
      </c>
      <c r="Q16" s="7" t="n">
        <f aca="false">SUM(Q6:Q14)</f>
        <v>-4935534</v>
      </c>
      <c r="R16" s="5"/>
      <c r="S16" s="7" t="n">
        <f aca="false">SUM(S5:S14)</f>
        <v>-3666896</v>
      </c>
      <c r="T16" s="5"/>
      <c r="U16" s="7" t="n">
        <f aca="false">SUM(U5:U14)</f>
        <v>-7599578</v>
      </c>
      <c r="W16" s="7" t="n">
        <f aca="false">SUM(W5:W14)</f>
        <v>3467665</v>
      </c>
      <c r="Y16" s="8" t="n">
        <f aca="false">SUM(B16:W16)</f>
        <v>-45986082</v>
      </c>
      <c r="AA16" s="7" t="n">
        <f aca="false">SUM(AA6:AA14)</f>
        <v>62529569</v>
      </c>
      <c r="AB16" s="5"/>
      <c r="AC16" s="7" t="n">
        <f aca="false">SUM(AC6:AC14)</f>
        <v>16543487</v>
      </c>
      <c r="AD16" s="5"/>
    </row>
    <row r="17" customFormat="false" ht="13.5" hidden="false" customHeight="false" outlineLevel="0" collapsed="false">
      <c r="A17" s="3"/>
      <c r="B17" s="5"/>
      <c r="C17" s="5"/>
      <c r="D17" s="5"/>
      <c r="E17" s="5"/>
      <c r="F17" s="5"/>
      <c r="G17" s="5"/>
      <c r="H17" s="5"/>
      <c r="I17" s="5"/>
      <c r="J17" s="5"/>
      <c r="K17" s="5"/>
      <c r="M17" s="5"/>
      <c r="O17" s="5"/>
      <c r="Q17" s="5"/>
      <c r="R17" s="5"/>
      <c r="S17" s="5"/>
      <c r="T17" s="5"/>
      <c r="U17" s="5"/>
      <c r="W17" s="5"/>
      <c r="AA17" s="5"/>
      <c r="AB17" s="5"/>
      <c r="AC17" s="5"/>
      <c r="AD17" s="5"/>
    </row>
    <row r="18" customFormat="false" ht="12.75" hidden="false" customHeight="false" outlineLevel="0" collapsed="false">
      <c r="B18" s="5"/>
      <c r="C18" s="5"/>
      <c r="D18" s="5"/>
      <c r="E18" s="5"/>
      <c r="F18" s="5"/>
      <c r="G18" s="5"/>
      <c r="H18" s="5"/>
      <c r="I18" s="5"/>
      <c r="J18" s="5"/>
      <c r="K18" s="5"/>
      <c r="M18" s="5"/>
      <c r="O18" s="5"/>
      <c r="Q18" s="5"/>
      <c r="R18" s="5"/>
      <c r="S18" s="5"/>
      <c r="T18" s="5"/>
      <c r="U18" s="5"/>
      <c r="W18" s="5"/>
      <c r="AA18" s="5"/>
      <c r="AB18" s="5"/>
      <c r="AC18" s="5"/>
      <c r="AD18" s="5"/>
    </row>
    <row r="19" customFormat="false" ht="12.75" hidden="false" customHeight="false" outlineLevel="0" collapsed="false">
      <c r="B19" s="5"/>
      <c r="C19" s="5"/>
      <c r="D19" s="5"/>
      <c r="E19" s="5"/>
      <c r="F19" s="5"/>
      <c r="G19" s="5"/>
      <c r="H19" s="5"/>
      <c r="I19" s="5"/>
      <c r="J19" s="5"/>
      <c r="K19" s="5"/>
      <c r="M19" s="5"/>
      <c r="O19" s="5"/>
      <c r="Q19" s="5"/>
      <c r="R19" s="5"/>
      <c r="S19" s="5"/>
      <c r="T19" s="5"/>
      <c r="U19" s="5"/>
      <c r="W19" s="5"/>
      <c r="AA19" s="5"/>
      <c r="AB19" s="5"/>
      <c r="AC19" s="5"/>
      <c r="AD19" s="5"/>
    </row>
    <row r="20" customFormat="false" ht="12.75" hidden="false" customHeight="false" outlineLevel="0" collapsed="false">
      <c r="B20" s="5"/>
      <c r="C20" s="5"/>
      <c r="D20" s="5"/>
      <c r="E20" s="5"/>
      <c r="F20" s="5"/>
      <c r="G20" s="5"/>
      <c r="H20" s="5"/>
      <c r="I20" s="5"/>
      <c r="J20" s="5"/>
      <c r="K20" s="5"/>
      <c r="M20" s="5"/>
      <c r="O20" s="5"/>
      <c r="Q20" s="5"/>
      <c r="R20" s="5"/>
      <c r="S20" s="5"/>
      <c r="T20" s="5"/>
      <c r="U20" s="5"/>
      <c r="W20" s="5"/>
      <c r="AA20" s="5"/>
      <c r="AB20" s="5"/>
      <c r="AC20" s="5"/>
      <c r="AD20" s="5"/>
    </row>
    <row r="21" customFormat="false" ht="12.75" hidden="false" customHeight="false" outlineLevel="0" collapsed="false">
      <c r="AA21" s="5"/>
      <c r="AB21" s="5"/>
      <c r="AC21" s="5"/>
      <c r="AD21" s="5"/>
    </row>
    <row r="22" customFormat="false" ht="12.75" hidden="false" customHeight="false" outlineLevel="0" collapsed="false">
      <c r="AA22" s="5"/>
      <c r="AB22" s="5"/>
      <c r="AC22" s="5"/>
      <c r="AD22" s="5"/>
    </row>
    <row r="23" customFormat="false" ht="12.75" hidden="false" customHeight="false" outlineLevel="0" collapsed="false">
      <c r="AA23" s="5"/>
      <c r="AB23" s="5"/>
      <c r="AC23" s="5"/>
      <c r="AD23" s="5"/>
    </row>
    <row r="24" customFormat="false" ht="12.75" hidden="false" customHeight="false" outlineLevel="0" collapsed="false">
      <c r="AA24" s="5"/>
      <c r="AB24" s="5"/>
      <c r="AC24" s="5"/>
      <c r="AD24" s="5"/>
    </row>
    <row r="25" customFormat="false" ht="12.75" hidden="false" customHeight="false" outlineLevel="0" collapsed="false">
      <c r="AA25" s="5"/>
      <c r="AB25" s="5"/>
      <c r="AC25" s="5"/>
      <c r="AD25" s="5"/>
    </row>
    <row r="26" customFormat="false" ht="12.75" hidden="false" customHeight="false" outlineLevel="0" collapsed="false">
      <c r="AA26" s="5"/>
      <c r="AB26" s="5"/>
      <c r="AC26" s="5"/>
      <c r="AD26" s="5"/>
    </row>
  </sheetData>
  <printOptions headings="false" gridLines="false" gridLinesSet="true" horizontalCentered="false" verticalCentered="false"/>
  <pageMargins left="0.390277777777778" right="0.490277777777778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2000-08-03T11:37:25Z</dcterms:created>
  <dc:creator>dkenne</dc:creator>
  <dc:description/>
  <dc:language>en-US</dc:language>
  <cp:lastModifiedBy>dkenne</cp:lastModifiedBy>
  <cp:lastPrinted>2000-09-18T20:18:14Z</cp:lastPrinted>
  <cp:revision>0</cp:revision>
  <dc:subject/>
  <dc:title/>
</cp:coreProperties>
</file>