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YZ" sheetId="1" state="visible" r:id="rId3"/>
  </sheets>
  <definedNames>
    <definedName function="false" hidden="false" localSheetId="0" name="_xlnm.Print_Area" vbProcedure="false">XYZ!$A$1:$S$66</definedName>
    <definedName function="false" hidden="false" name="Print_Area_MI" vbProcedure="false">XYZ!$A$79:$N$144</definedName>
    <definedName function="false" hidden="false" localSheetId="0" name="_Table1_In1" vbProcedure="false">XYZ!$C$13</definedName>
    <definedName function="false" hidden="false" localSheetId="0" name="_Table1_Out" vbProcedure="false">XYZ!$E$68:$K$72</definedName>
    <definedName function="false" hidden="false" localSheetId="0" name="_Table2_In1" vbProcedure="false">XYZ!$C$16</definedName>
    <definedName function="false" hidden="false" localSheetId="0" name="_Table2_In2" vbProcedure="false">XYZ!$C$11</definedName>
    <definedName function="false" hidden="false" localSheetId="0" name="_Table2_Out" vbProcedure="false">XYZ!$E$68:$J$75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<sst xmlns="http://schemas.openxmlformats.org/spreadsheetml/2006/main" count="67" uniqueCount="50">
  <si>
    <t xml:space="preserve">TRANSWESTERN PIPELINE COMPANY</t>
  </si>
  <si>
    <t xml:space="preserve">SIMPLE DCF ($'S IN THOUSANDS)</t>
  </si>
  <si>
    <t xml:space="preserve">UNREGULATED PROJECT ANALYSIS</t>
  </si>
  <si>
    <t xml:space="preserve">TOTALS</t>
  </si>
  <si>
    <t xml:space="preserve">PROJECT LIFE (1-15)</t>
  </si>
  <si>
    <t xml:space="preserve">TAX LIFE (1=PROJ  0=TAX LIFE)</t>
  </si>
  <si>
    <t xml:space="preserve">TAX LIFE</t>
  </si>
  <si>
    <t xml:space="preserve">INVESTMENT</t>
  </si>
  <si>
    <t xml:space="preserve">           FOR DISCUSSION ONLY</t>
  </si>
  <si>
    <t xml:space="preserve">REIMBURSEMENT </t>
  </si>
  <si>
    <t xml:space="preserve">LOAD FACTOR</t>
  </si>
  <si>
    <t xml:space="preserve">FUEL (1=YEA,0=NEA)</t>
  </si>
  <si>
    <t xml:space="preserve">P&amp;G RATE</t>
  </si>
  <si>
    <t xml:space="preserve">RATE - DEMAND</t>
  </si>
  <si>
    <t xml:space="preserve">RATE - COMMODITY</t>
  </si>
  <si>
    <t xml:space="preserve">VOLUME RETENTION</t>
  </si>
  <si>
    <t xml:space="preserve">HORSEPOWER ADD  @</t>
  </si>
  <si>
    <t xml:space="preserve">MILES OF PIPE</t>
  </si>
  <si>
    <t xml:space="preserve">MMMBTU FACTOR</t>
  </si>
  <si>
    <t xml:space="preserve">VOLUMES - DEMAND (MMCF/D)</t>
  </si>
  <si>
    <t xml:space="preserve">VOLUMES  - COMMODITY (MMCF/D)</t>
  </si>
  <si>
    <t xml:space="preserve">VOLUMES - P&amp;G   (MMCF/D)</t>
  </si>
  <si>
    <t xml:space="preserve">REVENUE</t>
  </si>
  <si>
    <t xml:space="preserve">RATE - P&amp;G</t>
  </si>
  <si>
    <t xml:space="preserve">REVENUE - P&amp;G </t>
  </si>
  <si>
    <t xml:space="preserve">FUEL RETENTION VOLUMES</t>
  </si>
  <si>
    <t xml:space="preserve">FUEL RETENTION DOLLARS</t>
  </si>
  <si>
    <t xml:space="preserve">COMPRESSOR VOLUMES USED (MMMBTU/D)</t>
  </si>
  <si>
    <t xml:space="preserve">WACOG</t>
  </si>
  <si>
    <t xml:space="preserve">FUEL EXPENSE</t>
  </si>
  <si>
    <t xml:space="preserve">EXPENSES:</t>
  </si>
  <si>
    <t xml:space="preserve">  O&amp;M</t>
  </si>
  <si>
    <t xml:space="preserve">  NET FUEL EXPENSE</t>
  </si>
  <si>
    <t xml:space="preserve">  AD VALOREM</t>
  </si>
  <si>
    <t xml:space="preserve"> --------</t>
  </si>
  <si>
    <t xml:space="preserve">NET REVENUES</t>
  </si>
  <si>
    <t xml:space="preserve">TAX DEPRECIATION CALC:</t>
  </si>
  <si>
    <t xml:space="preserve">  BALANCE</t>
  </si>
  <si>
    <t xml:space="preserve">PREMATURE DEPR EXP</t>
  </si>
  <si>
    <t xml:space="preserve">NORMAL  DEPRECIATION EXP</t>
  </si>
  <si>
    <t xml:space="preserve">DEPRECIATION EXP</t>
  </si>
  <si>
    <t xml:space="preserve">TAX REIMBURSEMENT</t>
  </si>
  <si>
    <t xml:space="preserve">TAXABLE INCOME</t>
  </si>
  <si>
    <t xml:space="preserve">INCOME TAX EXPENSE</t>
  </si>
  <si>
    <t xml:space="preserve">CASH FLOW</t>
  </si>
  <si>
    <t xml:space="preserve">DCF</t>
  </si>
  <si>
    <t xml:space="preserve">NPV   @   </t>
  </si>
  <si>
    <t xml:space="preserve">GUESS  =  </t>
  </si>
  <si>
    <t xml:space="preserve">DOLLARS</t>
  </si>
  <si>
    <t xml:space="preserve">N/A</t>
  </si>
</sst>
</file>

<file path=xl/styles.xml><?xml version="1.0" encoding="utf-8"?>
<styleSheet xmlns="http://schemas.openxmlformats.org/spreadsheetml/2006/main">
  <numFmts count="20">
    <numFmt numFmtId="164" formatCode="General_)"/>
    <numFmt numFmtId="165" formatCode="dd\-mmm\-yy_)"/>
    <numFmt numFmtId="166" formatCode="hh:mm\ AM/PM_)"/>
    <numFmt numFmtId="167" formatCode="[$-409]#,##0_);\(#,##0\)"/>
    <numFmt numFmtId="168" formatCode="0%"/>
    <numFmt numFmtId="169" formatCode="0.0%"/>
    <numFmt numFmtId="170" formatCode="\$#,##0.0000_);&quot;($&quot;#,##0.0000\)"/>
    <numFmt numFmtId="171" formatCode=";;;"/>
    <numFmt numFmtId="172" formatCode="0.00%"/>
    <numFmt numFmtId="173" formatCode="0.0_)"/>
    <numFmt numFmtId="174" formatCode="_(* #,##0.00_);_(* \(#,##0.00\);_(* \-??_);_(@_)"/>
    <numFmt numFmtId="175" formatCode="_(* #,##0_);_(* \(#,##0\);_(* \-??_);_(@_)"/>
    <numFmt numFmtId="176" formatCode="#,##0.0_);\(#,##0.0\)"/>
    <numFmt numFmtId="177" formatCode="0.00_)"/>
    <numFmt numFmtId="178" formatCode="\$#,##0.00_);&quot;($&quot;#,##0.00\)"/>
    <numFmt numFmtId="179" formatCode="\$#,##0_);&quot;($&quot;#,##0\)"/>
    <numFmt numFmtId="180" formatCode="0_)"/>
    <numFmt numFmtId="181" formatCode="\$#,##0.000_);&quot;($&quot;#,##0.000\)"/>
    <numFmt numFmtId="182" formatCode="#,##0.000_);\(#,##0.000\)"/>
    <numFmt numFmtId="183" formatCode="0.000%"/>
  </numFmts>
  <fonts count="11">
    <font>
      <sz val="12"/>
      <name val="Arial MT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1"/>
      <name val="Arial MT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0" fontId="9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1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2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7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10546875" defaultRowHeight="12.75" customHeight="true" zeroHeight="false" outlineLevelRow="0" outlineLevelCol="0"/>
  <cols>
    <col collapsed="false" customWidth="true" hidden="false" outlineLevel="0" max="1" min="1" style="1" width="30.77"/>
    <col collapsed="false" customWidth="true" hidden="false" outlineLevel="0" max="2" min="2" style="1" width="12.77"/>
    <col collapsed="false" customWidth="true" hidden="false" outlineLevel="0" max="19" min="3" style="2" width="10.77"/>
    <col collapsed="false" customWidth="false" hidden="false" outlineLevel="0" max="257" min="20" style="1" width="18.1"/>
  </cols>
  <sheetData>
    <row r="1" customFormat="false" ht="12.75" hidden="false" customHeight="false" outlineLevel="0" collapsed="false">
      <c r="A1" s="3" t="s">
        <v>0</v>
      </c>
      <c r="C1" s="4" t="n">
        <f aca="true">NOW()</f>
        <v>45926.9718959686</v>
      </c>
      <c r="E1" s="1"/>
      <c r="AA1" s="5"/>
    </row>
    <row r="2" customFormat="false" ht="12.75" hidden="false" customHeight="false" outlineLevel="0" collapsed="false">
      <c r="A2" s="3" t="s">
        <v>1</v>
      </c>
      <c r="C2" s="6" t="n">
        <f aca="true">NOW()</f>
        <v>45926.9718959687</v>
      </c>
      <c r="E2" s="1"/>
      <c r="H2" s="7"/>
      <c r="I2" s="8"/>
      <c r="AA2" s="5"/>
    </row>
    <row r="3" customFormat="false" ht="12.75" hidden="false" customHeight="false" outlineLevel="0" collapsed="false">
      <c r="A3" s="3" t="s">
        <v>2</v>
      </c>
      <c r="E3" s="1"/>
    </row>
    <row r="4" customFormat="false" ht="12.75" hidden="false" customHeight="false" outlineLevel="0" collapsed="false">
      <c r="A4" s="9"/>
      <c r="AA4" s="5"/>
      <c r="AB4" s="5"/>
      <c r="AD4" s="5"/>
    </row>
    <row r="5" customFormat="false" ht="12.75" hidden="false" customHeight="false" outlineLevel="0" collapsed="false">
      <c r="A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A5" s="5"/>
      <c r="AB5" s="5"/>
      <c r="AD5" s="5"/>
    </row>
    <row r="6" customFormat="false" ht="12.75" hidden="false" customHeight="false" outlineLevel="0" collapsed="false">
      <c r="A6" s="10"/>
      <c r="C6" s="11" t="n">
        <v>0</v>
      </c>
      <c r="D6" s="11" t="n">
        <f aca="false">C6+1</f>
        <v>1</v>
      </c>
      <c r="E6" s="11" t="n">
        <f aca="false">D6+1</f>
        <v>2</v>
      </c>
      <c r="F6" s="11" t="n">
        <f aca="false">E6+1</f>
        <v>3</v>
      </c>
      <c r="G6" s="11" t="n">
        <f aca="false">F6+1</f>
        <v>4</v>
      </c>
      <c r="H6" s="11" t="n">
        <f aca="false">G6+1</f>
        <v>5</v>
      </c>
      <c r="I6" s="11" t="n">
        <f aca="false">H6+1</f>
        <v>6</v>
      </c>
      <c r="J6" s="11" t="n">
        <f aca="false">I6+1</f>
        <v>7</v>
      </c>
      <c r="K6" s="11" t="n">
        <f aca="false">J6+1</f>
        <v>8</v>
      </c>
      <c r="L6" s="11" t="n">
        <f aca="false">K6+1</f>
        <v>9</v>
      </c>
      <c r="M6" s="11" t="n">
        <f aca="false">L6+1</f>
        <v>10</v>
      </c>
      <c r="N6" s="11" t="n">
        <f aca="false">M6+1</f>
        <v>11</v>
      </c>
      <c r="O6" s="11" t="n">
        <f aca="false">N6+1</f>
        <v>12</v>
      </c>
      <c r="P6" s="11" t="n">
        <f aca="false">O6+1</f>
        <v>13</v>
      </c>
      <c r="Q6" s="11" t="n">
        <f aca="false">P6+1</f>
        <v>14</v>
      </c>
      <c r="R6" s="11" t="n">
        <f aca="false">Q6+1</f>
        <v>15</v>
      </c>
      <c r="S6" s="11" t="s">
        <v>3</v>
      </c>
      <c r="AA6" s="5"/>
      <c r="AB6" s="5"/>
      <c r="AD6" s="5"/>
    </row>
    <row r="7" customFormat="false" ht="12.75" hidden="false" customHeight="false" outlineLevel="0" collapsed="false">
      <c r="A7" s="12" t="s">
        <v>4</v>
      </c>
      <c r="C7" s="13" t="n">
        <v>10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AA7" s="5"/>
      <c r="AB7" s="5"/>
      <c r="AD7" s="5"/>
    </row>
    <row r="8" customFormat="false" ht="12.75" hidden="false" customHeight="false" outlineLevel="0" collapsed="false">
      <c r="A8" s="12" t="s">
        <v>5</v>
      </c>
      <c r="C8" s="13" t="n"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AA8" s="5"/>
      <c r="AB8" s="5"/>
      <c r="AD8" s="5"/>
    </row>
    <row r="9" customFormat="false" ht="12.75" hidden="false" customHeight="false" outlineLevel="0" collapsed="false">
      <c r="A9" s="5" t="s">
        <v>6</v>
      </c>
      <c r="C9" s="15" t="n">
        <v>15</v>
      </c>
    </row>
    <row r="10" customFormat="false" ht="13.5" hidden="false" customHeight="false" outlineLevel="0" collapsed="false">
      <c r="A10" s="5"/>
      <c r="B10" s="16"/>
      <c r="C10" s="1"/>
    </row>
    <row r="11" customFormat="false" ht="13.5" hidden="false" customHeight="false" outlineLevel="0" collapsed="false">
      <c r="A11" s="5" t="s">
        <v>7</v>
      </c>
      <c r="C11" s="17" t="n">
        <v>124400</v>
      </c>
      <c r="D11" s="18"/>
      <c r="E11" s="19" t="s">
        <v>8</v>
      </c>
      <c r="F11" s="20"/>
      <c r="G11" s="21"/>
      <c r="H11" s="22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customFormat="false" ht="12.75" hidden="false" customHeight="false" outlineLevel="0" collapsed="false">
      <c r="A12" s="5" t="s">
        <v>9</v>
      </c>
      <c r="C12" s="16" t="n">
        <v>0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AB12" s="5"/>
      <c r="AD12" s="5"/>
    </row>
    <row r="13" customFormat="false" ht="12.75" hidden="false" customHeight="false" outlineLevel="0" collapsed="false">
      <c r="A13" s="5" t="s">
        <v>10</v>
      </c>
      <c r="B13" s="23"/>
      <c r="C13" s="24" t="n">
        <v>0.95</v>
      </c>
      <c r="H13" s="1"/>
      <c r="J13" s="1"/>
    </row>
    <row r="14" customFormat="false" ht="12.75" hidden="false" customHeight="false" outlineLevel="0" collapsed="false">
      <c r="A14" s="5" t="s">
        <v>11</v>
      </c>
      <c r="C14" s="25" t="n">
        <v>1</v>
      </c>
    </row>
    <row r="15" customFormat="false" ht="12.75" hidden="false" customHeight="false" outlineLevel="0" collapsed="false">
      <c r="A15" s="5" t="s">
        <v>12</v>
      </c>
      <c r="C15" s="26" t="n"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customFormat="false" ht="12.75" hidden="false" customHeight="false" outlineLevel="0" collapsed="false">
      <c r="A16" s="5" t="s">
        <v>13</v>
      </c>
      <c r="C16" s="27" t="n">
        <v>0.25</v>
      </c>
      <c r="D16" s="28" t="n">
        <f aca="false">0.0228+0.0347+0.0085+0.0126</f>
        <v>0.0786</v>
      </c>
    </row>
    <row r="17" customFormat="false" ht="12.75" hidden="false" customHeight="false" outlineLevel="0" collapsed="false">
      <c r="A17" s="5" t="s">
        <v>14</v>
      </c>
      <c r="C17" s="26" t="n">
        <v>0</v>
      </c>
    </row>
    <row r="18" customFormat="false" ht="13.5" hidden="false" customHeight="false" outlineLevel="0" collapsed="false">
      <c r="A18" s="5" t="s">
        <v>15</v>
      </c>
      <c r="C18" s="29" t="n">
        <v>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customFormat="false" ht="13.5" hidden="false" customHeight="false" outlineLevel="0" collapsed="false">
      <c r="A19" s="5" t="s">
        <v>16</v>
      </c>
      <c r="B19" s="30" t="n">
        <v>0</v>
      </c>
      <c r="C19" s="16" t="n"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customFormat="false" ht="12.75" hidden="false" customHeight="false" outlineLevel="0" collapsed="false">
      <c r="A20" s="5" t="s">
        <v>17</v>
      </c>
      <c r="C20" s="16" t="n">
        <v>19</v>
      </c>
    </row>
    <row r="21" customFormat="false" ht="12.75" hidden="false" customHeight="false" outlineLevel="0" collapsed="false">
      <c r="A21" s="5" t="s">
        <v>18</v>
      </c>
      <c r="C21" s="16" t="n">
        <v>1</v>
      </c>
    </row>
    <row r="23" customFormat="false" ht="12.75" hidden="false" customHeight="false" outlineLevel="0" collapsed="false">
      <c r="A23" s="5" t="s">
        <v>19</v>
      </c>
      <c r="B23" s="31"/>
      <c r="C23" s="32"/>
      <c r="D23" s="33" t="n">
        <v>400</v>
      </c>
      <c r="E23" s="18" t="n">
        <f aca="false">IF($C$7-E6&gt;-1,D23,0)</f>
        <v>400</v>
      </c>
      <c r="F23" s="18" t="n">
        <f aca="false">IF($C$7-F6&gt;-1,E23,0)</f>
        <v>400</v>
      </c>
      <c r="G23" s="18" t="n">
        <f aca="false">IF($C$7-G6&gt;-1,F23,0)</f>
        <v>400</v>
      </c>
      <c r="H23" s="18" t="n">
        <f aca="false">IF($C$7-H6&gt;-1,G23,0)</f>
        <v>400</v>
      </c>
      <c r="I23" s="18" t="n">
        <f aca="false">IF($C$7-I6&gt;-1,H23,0)</f>
        <v>400</v>
      </c>
      <c r="J23" s="18" t="n">
        <f aca="false">IF($C$7-J6&gt;-1,I23,0)</f>
        <v>400</v>
      </c>
      <c r="K23" s="18" t="n">
        <f aca="false">IF($C$7-K6&gt;-1,J23,0)</f>
        <v>400</v>
      </c>
      <c r="L23" s="18" t="n">
        <f aca="false">IF($C$7-L6&gt;-1,K23,0)</f>
        <v>400</v>
      </c>
      <c r="M23" s="18" t="n">
        <f aca="false">IF($C$7-M6&gt;-1,L23,0)</f>
        <v>400</v>
      </c>
      <c r="N23" s="18" t="n">
        <f aca="false">IF($C$7-N6&gt;-1,M23,0)</f>
        <v>0</v>
      </c>
      <c r="O23" s="18" t="n">
        <f aca="false">IF($C$7-O6&gt;-1,N23,0)</f>
        <v>0</v>
      </c>
      <c r="P23" s="18" t="n">
        <f aca="false">IF($C$7-P6&gt;-1,O23,0)</f>
        <v>0</v>
      </c>
      <c r="Q23" s="18" t="n">
        <f aca="false">IF($C$7-Q6&gt;-1,P23,0)</f>
        <v>0</v>
      </c>
      <c r="R23" s="18" t="n">
        <f aca="false">IF($C$7-R6&gt;-1,Q23,0)</f>
        <v>0</v>
      </c>
      <c r="S23" s="34"/>
      <c r="T23" s="35"/>
    </row>
    <row r="24" customFormat="false" ht="12.75" hidden="false" customHeight="false" outlineLevel="0" collapsed="false">
      <c r="A24" s="5" t="s">
        <v>20</v>
      </c>
      <c r="D24" s="36" t="n">
        <v>0</v>
      </c>
      <c r="E24" s="34" t="n">
        <f aca="false">IF($C$7&gt;D6,$D$24,0)</f>
        <v>0</v>
      </c>
      <c r="F24" s="34" t="n">
        <f aca="false">IF($C$7&gt;E6,$D$24,0)</f>
        <v>0</v>
      </c>
      <c r="G24" s="34" t="n">
        <f aca="false">IF($C$7&gt;F6,$D$24,0)</f>
        <v>0</v>
      </c>
      <c r="H24" s="34" t="n">
        <f aca="false">IF($C$7&gt;G6,$D$24,0)</f>
        <v>0</v>
      </c>
      <c r="I24" s="34" t="n">
        <f aca="false">IF($C$7&gt;H6,$D$24,0)</f>
        <v>0</v>
      </c>
      <c r="J24" s="34" t="n">
        <f aca="false">IF($C$7&gt;I6,$D$24,0)</f>
        <v>0</v>
      </c>
      <c r="K24" s="34" t="n">
        <f aca="false">IF($C$7&gt;J6,$D$24,0)</f>
        <v>0</v>
      </c>
      <c r="L24" s="34" t="n">
        <f aca="false">IF($C$7&gt;K6,$D$24,0)</f>
        <v>0</v>
      </c>
      <c r="M24" s="34" t="n">
        <f aca="false">IF($C$7&gt;L6,$D$24,0)</f>
        <v>0</v>
      </c>
      <c r="N24" s="34" t="n">
        <f aca="false">IF($C$7&gt;M6,$D$24,0)</f>
        <v>0</v>
      </c>
      <c r="O24" s="34" t="n">
        <f aca="false">IF($C$7&gt;N6,$D$24,0)</f>
        <v>0</v>
      </c>
      <c r="P24" s="34" t="n">
        <f aca="false">IF($C$7&gt;O6,$D$24,0)</f>
        <v>0</v>
      </c>
      <c r="Q24" s="34" t="n">
        <f aca="false">IF($C$7&gt;P6,$D$24,0)</f>
        <v>0</v>
      </c>
      <c r="R24" s="34" t="n">
        <f aca="false">IF($C$7&gt;Q6,$D$24,0)</f>
        <v>0</v>
      </c>
      <c r="S24" s="34"/>
    </row>
    <row r="25" customFormat="false" ht="12.75" hidden="false" customHeight="false" outlineLevel="0" collapsed="false">
      <c r="A25" s="5" t="s">
        <v>21</v>
      </c>
      <c r="C25" s="2" t="n">
        <v>0</v>
      </c>
      <c r="D25" s="36" t="n">
        <v>0</v>
      </c>
      <c r="E25" s="34" t="n">
        <f aca="false">IF($C$7&gt;D6,$D$25,0)</f>
        <v>0</v>
      </c>
      <c r="F25" s="34" t="n">
        <f aca="false">IF($C$7&gt;E6,$D$25,0)</f>
        <v>0</v>
      </c>
      <c r="G25" s="34" t="n">
        <f aca="false">IF($C$7&gt;F6,$D$25,0)</f>
        <v>0</v>
      </c>
      <c r="H25" s="34" t="n">
        <f aca="false">IF($C$7&gt;G6,$D$25,0)</f>
        <v>0</v>
      </c>
      <c r="I25" s="34" t="n">
        <f aca="false">IF($C$7&gt;H6,$D$25,0)</f>
        <v>0</v>
      </c>
      <c r="J25" s="34" t="n">
        <f aca="false">IF($C$7&gt;I6,$D$25,0)</f>
        <v>0</v>
      </c>
      <c r="K25" s="34" t="n">
        <f aca="false">IF($C$7&gt;J6,$D$25,0)</f>
        <v>0</v>
      </c>
      <c r="L25" s="34" t="n">
        <f aca="false">IF($C$7&gt;K6,$D$25,0)</f>
        <v>0</v>
      </c>
      <c r="M25" s="34" t="n">
        <f aca="false">IF($C$7&gt;L6,$D$25,0)</f>
        <v>0</v>
      </c>
      <c r="N25" s="34" t="n">
        <f aca="false">IF($C$7&gt;M6,$D$25,0)</f>
        <v>0</v>
      </c>
      <c r="O25" s="34" t="n">
        <f aca="false">IF($C$7&gt;N6,$D$25,0)</f>
        <v>0</v>
      </c>
      <c r="P25" s="34" t="n">
        <f aca="false">IF($C$7&gt;O6,$D$25,0)</f>
        <v>0</v>
      </c>
      <c r="Q25" s="34" t="n">
        <f aca="false">IF($C$7&gt;P6,$D$25,0)</f>
        <v>0</v>
      </c>
      <c r="R25" s="34" t="n">
        <f aca="false">IF($C$7&gt;Q6,$D$25,0)</f>
        <v>0</v>
      </c>
      <c r="S25" s="34"/>
    </row>
    <row r="27" customFormat="false" ht="12.75" hidden="false" customHeight="false" outlineLevel="0" collapsed="false">
      <c r="A27" s="5" t="s">
        <v>13</v>
      </c>
      <c r="B27" s="37" t="n">
        <f aca="false">C16</f>
        <v>0.25</v>
      </c>
      <c r="D27" s="38" t="n">
        <f aca="false">B27</f>
        <v>0.25</v>
      </c>
      <c r="E27" s="38" t="n">
        <f aca="false">D27</f>
        <v>0.25</v>
      </c>
      <c r="F27" s="38" t="n">
        <f aca="false">E27</f>
        <v>0.25</v>
      </c>
      <c r="G27" s="38" t="n">
        <f aca="false">F27</f>
        <v>0.25</v>
      </c>
      <c r="H27" s="38" t="n">
        <f aca="false">G27</f>
        <v>0.25</v>
      </c>
      <c r="I27" s="38" t="n">
        <f aca="false">H27</f>
        <v>0.25</v>
      </c>
      <c r="J27" s="38" t="n">
        <f aca="false">I27</f>
        <v>0.25</v>
      </c>
      <c r="K27" s="38" t="n">
        <f aca="false">J27</f>
        <v>0.25</v>
      </c>
      <c r="L27" s="38" t="n">
        <f aca="false">K27</f>
        <v>0.25</v>
      </c>
      <c r="M27" s="38" t="n">
        <f aca="false">L27</f>
        <v>0.25</v>
      </c>
      <c r="N27" s="38" t="n">
        <f aca="false">M27</f>
        <v>0.25</v>
      </c>
      <c r="O27" s="38" t="n">
        <f aca="false">N27</f>
        <v>0.25</v>
      </c>
      <c r="P27" s="38" t="n">
        <f aca="false">O27</f>
        <v>0.25</v>
      </c>
      <c r="Q27" s="38" t="n">
        <f aca="false">P27</f>
        <v>0.25</v>
      </c>
      <c r="R27" s="38" t="n">
        <f aca="false">Q27</f>
        <v>0.25</v>
      </c>
      <c r="S27" s="38"/>
      <c r="T27" s="39"/>
      <c r="U27" s="39"/>
      <c r="V27" s="39"/>
      <c r="W27" s="39"/>
      <c r="X27" s="39"/>
      <c r="Y27" s="39"/>
    </row>
    <row r="28" customFormat="false" ht="12.75" hidden="false" customHeight="false" outlineLevel="0" collapsed="false">
      <c r="A28" s="5" t="s">
        <v>14</v>
      </c>
      <c r="B28" s="37" t="n">
        <f aca="false">C17</f>
        <v>0</v>
      </c>
      <c r="D28" s="2" t="n">
        <f aca="false">B28</f>
        <v>0</v>
      </c>
      <c r="E28" s="2" t="n">
        <f aca="false">D28</f>
        <v>0</v>
      </c>
      <c r="F28" s="2" t="n">
        <f aca="false">E28</f>
        <v>0</v>
      </c>
      <c r="G28" s="2" t="n">
        <f aca="false">F28</f>
        <v>0</v>
      </c>
      <c r="H28" s="2" t="n">
        <f aca="false">G28</f>
        <v>0</v>
      </c>
      <c r="I28" s="2" t="n">
        <f aca="false">H28</f>
        <v>0</v>
      </c>
      <c r="J28" s="2" t="n">
        <f aca="false">I28</f>
        <v>0</v>
      </c>
      <c r="K28" s="2" t="n">
        <f aca="false">J28</f>
        <v>0</v>
      </c>
      <c r="L28" s="2" t="n">
        <f aca="false">K28</f>
        <v>0</v>
      </c>
      <c r="M28" s="2" t="n">
        <f aca="false">L28</f>
        <v>0</v>
      </c>
      <c r="N28" s="2" t="n">
        <f aca="false">M28</f>
        <v>0</v>
      </c>
      <c r="O28" s="2" t="n">
        <f aca="false">N28</f>
        <v>0</v>
      </c>
      <c r="P28" s="2" t="n">
        <f aca="false">O28</f>
        <v>0</v>
      </c>
      <c r="Q28" s="2" t="n">
        <f aca="false">P28</f>
        <v>0</v>
      </c>
      <c r="R28" s="2" t="n">
        <f aca="false">Q28</f>
        <v>0</v>
      </c>
    </row>
    <row r="29" customFormat="false" ht="12.75" hidden="false" customHeight="false" outlineLevel="0" collapsed="false">
      <c r="A29" s="5" t="s">
        <v>22</v>
      </c>
      <c r="D29" s="40" t="n">
        <f aca="false">(D23*D27*$C$21*365)+(D24*D28*$C$21*365*$C$13)</f>
        <v>36500</v>
      </c>
      <c r="E29" s="40" t="n">
        <f aca="false">(E23*E27*$C$21*365)+(E24*E28*$C$21*365*$C$13)</f>
        <v>36500</v>
      </c>
      <c r="F29" s="40" t="n">
        <f aca="false">(F23*F27*$C$21*365)+(F24*F28*$C$21*365*$C$13)</f>
        <v>36500</v>
      </c>
      <c r="G29" s="40" t="n">
        <f aca="false">(G23*G27*$C$21*365)+(G24*G28*$C$21*365*$C$13)</f>
        <v>36500</v>
      </c>
      <c r="H29" s="40" t="n">
        <f aca="false">(H23*H27*$C$21*365)+(H24*H28*$C$21*365*$C$13)</f>
        <v>36500</v>
      </c>
      <c r="I29" s="40" t="n">
        <f aca="false">(I23*I27*$C$21*365)+(I24*I28*$C$21*365*$C$13)</f>
        <v>36500</v>
      </c>
      <c r="J29" s="40" t="n">
        <f aca="false">(J23*J27*$C$21*365)+(J24*J28*$C$21*365*$C$13)</f>
        <v>36500</v>
      </c>
      <c r="K29" s="40" t="n">
        <f aca="false">(K23*K27*$C$21*365)+(K24*K28*$C$21*365*$C$13)</f>
        <v>36500</v>
      </c>
      <c r="L29" s="40" t="n">
        <f aca="false">(L23*L27*$C$21*365)+(L24*L28*$C$21*365*$C$13)</f>
        <v>36500</v>
      </c>
      <c r="M29" s="40" t="n">
        <f aca="false">(M23*M27*$C$21*365)+(M24*M28*$C$21*365*$C$13)</f>
        <v>36500</v>
      </c>
      <c r="N29" s="40" t="n">
        <f aca="false">(N23*N27*$C$21*365)+(N24*N28*$C$21*365*$C$13)</f>
        <v>0</v>
      </c>
      <c r="O29" s="40" t="n">
        <f aca="false">(O23*O27*$C$21*365)+(O24*O28*$C$21*365*$C$13)</f>
        <v>0</v>
      </c>
      <c r="P29" s="40" t="n">
        <f aca="false">(P23*P27*$C$21*365)+(P24*P28*$C$21*365*$C$13)</f>
        <v>0</v>
      </c>
      <c r="Q29" s="40" t="n">
        <f aca="false">(Q23*Q27*$C$21*365)+(Q24*Q28*$C$21*365*$C$13)</f>
        <v>0</v>
      </c>
      <c r="R29" s="40" t="n">
        <f aca="false">(R23*R27*$C$21*365)+(R24*R28*$C$21*365*$C$13)</f>
        <v>0</v>
      </c>
      <c r="S29" s="18" t="n">
        <f aca="false">SUM(D29:R29)</f>
        <v>365000</v>
      </c>
      <c r="X29" s="41"/>
    </row>
    <row r="31" customFormat="false" ht="12.75" hidden="false" customHeight="false" outlineLevel="0" collapsed="false">
      <c r="A31" s="5" t="s">
        <v>23</v>
      </c>
      <c r="B31" s="39" t="n">
        <f aca="false">C15</f>
        <v>0</v>
      </c>
      <c r="D31" s="38" t="n">
        <f aca="false">B31</f>
        <v>0</v>
      </c>
      <c r="E31" s="38" t="n">
        <v>0.145</v>
      </c>
      <c r="F31" s="38" t="n">
        <v>0.15</v>
      </c>
      <c r="G31" s="38" t="n">
        <v>0.15</v>
      </c>
      <c r="H31" s="38" t="n">
        <v>0.15</v>
      </c>
      <c r="I31" s="38" t="n">
        <f aca="false">H31</f>
        <v>0.15</v>
      </c>
      <c r="J31" s="38" t="n">
        <f aca="false">I31</f>
        <v>0.15</v>
      </c>
      <c r="K31" s="38" t="n">
        <f aca="false">J31</f>
        <v>0.15</v>
      </c>
      <c r="L31" s="38" t="n">
        <f aca="false">K31</f>
        <v>0.15</v>
      </c>
      <c r="M31" s="38" t="n">
        <f aca="false">L31</f>
        <v>0.15</v>
      </c>
      <c r="N31" s="38" t="n">
        <f aca="false">M31</f>
        <v>0.15</v>
      </c>
      <c r="O31" s="38" t="n">
        <f aca="false">N31</f>
        <v>0.15</v>
      </c>
      <c r="P31" s="38" t="n">
        <f aca="false">O31</f>
        <v>0.15</v>
      </c>
      <c r="Q31" s="38" t="n">
        <f aca="false">P31</f>
        <v>0.15</v>
      </c>
      <c r="R31" s="38" t="n">
        <f aca="false">Q31</f>
        <v>0.15</v>
      </c>
      <c r="S31" s="38"/>
      <c r="W31" s="41"/>
      <c r="X31" s="42"/>
    </row>
    <row r="32" customFormat="false" ht="12.75" hidden="false" customHeight="false" outlineLevel="0" collapsed="false">
      <c r="A32" s="5" t="s">
        <v>24</v>
      </c>
      <c r="B32" s="43"/>
      <c r="C32" s="44"/>
      <c r="D32" s="18" t="n">
        <f aca="false">D25*$C$21*365*D31*$C$13</f>
        <v>0</v>
      </c>
      <c r="E32" s="18" t="n">
        <f aca="false">E25*$C$21*365*E31*$C$13</f>
        <v>0</v>
      </c>
      <c r="F32" s="18" t="n">
        <f aca="false">F25*$C$21*365*F31*$C$13</f>
        <v>0</v>
      </c>
      <c r="G32" s="18" t="n">
        <f aca="false">G25*$C$21*365*G31*$C$13</f>
        <v>0</v>
      </c>
      <c r="H32" s="18" t="n">
        <f aca="false">H25*$C$21*365*H31*$C$13</f>
        <v>0</v>
      </c>
      <c r="I32" s="18" t="n">
        <f aca="false">I25*$C$21*365*I31*$C$13</f>
        <v>0</v>
      </c>
      <c r="J32" s="18" t="n">
        <f aca="false">J25*$C$21*365*J31*$C$13</f>
        <v>0</v>
      </c>
      <c r="K32" s="18" t="n">
        <f aca="false">K25*$C$21*365*K31*$C$13</f>
        <v>0</v>
      </c>
      <c r="L32" s="18" t="n">
        <f aca="false">L25*$C$21*365*L31*$C$13</f>
        <v>0</v>
      </c>
      <c r="M32" s="18" t="n">
        <f aca="false">M25*$C$21*365*M31*$C$13</f>
        <v>0</v>
      </c>
      <c r="N32" s="18" t="n">
        <f aca="false">N25*$C$21*365*N31*$C$13</f>
        <v>0</v>
      </c>
      <c r="O32" s="18" t="n">
        <f aca="false">O25*$C$21*365*O31*$C$13</f>
        <v>0</v>
      </c>
      <c r="P32" s="18" t="n">
        <f aca="false">P25*$C$21*365*P31*$C$13</f>
        <v>0</v>
      </c>
      <c r="Q32" s="18" t="n">
        <f aca="false">Q25*$C$21*365*Q31*$C$13</f>
        <v>0</v>
      </c>
      <c r="R32" s="18" t="n">
        <f aca="false">R25*$C$21*365*R31*$C$13</f>
        <v>0</v>
      </c>
      <c r="S32" s="18" t="n">
        <f aca="false">SUM(D32:R32)</f>
        <v>0</v>
      </c>
    </row>
    <row r="34" customFormat="false" ht="12.75" hidden="false" customHeight="false" outlineLevel="0" collapsed="false">
      <c r="A34" s="5" t="s">
        <v>25</v>
      </c>
      <c r="D34" s="34" t="n">
        <f aca="false">$C$18*$C$21*D23*365*$C$13</f>
        <v>0</v>
      </c>
      <c r="E34" s="34" t="n">
        <f aca="false">$C$18*$C$21*E23*365*$C$13</f>
        <v>0</v>
      </c>
      <c r="F34" s="34" t="n">
        <f aca="false">$C$18*$C$21*F23*365*$C$13</f>
        <v>0</v>
      </c>
      <c r="G34" s="34" t="n">
        <f aca="false">$C$18*$C$21*G23*365*$C$13</f>
        <v>0</v>
      </c>
      <c r="H34" s="34" t="n">
        <f aca="false">$C$18*$C$21*H23*365*$C$13</f>
        <v>0</v>
      </c>
      <c r="I34" s="34" t="n">
        <f aca="false">$C$18*$C$21*I23*365*$C$13</f>
        <v>0</v>
      </c>
      <c r="J34" s="34" t="n">
        <f aca="false">$C$18*$C$21*J23*365*$C$13</f>
        <v>0</v>
      </c>
      <c r="K34" s="34" t="n">
        <f aca="false">$C$18*$C$21*K23*365*$C$13</f>
        <v>0</v>
      </c>
      <c r="L34" s="34" t="n">
        <f aca="false">$C$18*$C$21*L23*365*$C$13</f>
        <v>0</v>
      </c>
      <c r="M34" s="34" t="n">
        <f aca="false">$C$18*$C$21*M23*365*$C$13</f>
        <v>0</v>
      </c>
      <c r="N34" s="34" t="n">
        <f aca="false">$C$18*$C$21*N23*365*$C$13</f>
        <v>0</v>
      </c>
      <c r="O34" s="34" t="n">
        <f aca="false">$C$18*$C$21*O23*365*$C$13</f>
        <v>0</v>
      </c>
      <c r="P34" s="34" t="n">
        <f aca="false">$C$18*$C$21*P23*365*$C$13</f>
        <v>0</v>
      </c>
      <c r="Q34" s="34" t="n">
        <f aca="false">$C$18*$C$21*Q23*365*$C$13</f>
        <v>0</v>
      </c>
      <c r="R34" s="34" t="n">
        <f aca="false">$C$18*$C$21*R23*365*$C$13</f>
        <v>0</v>
      </c>
      <c r="S34" s="34"/>
      <c r="T34" s="45"/>
      <c r="U34" s="45"/>
      <c r="V34" s="45"/>
      <c r="W34" s="45"/>
      <c r="X34" s="45"/>
      <c r="Y34" s="45"/>
    </row>
    <row r="35" customFormat="false" ht="12.75" hidden="false" customHeight="false" outlineLevel="0" collapsed="false">
      <c r="A35" s="5" t="s">
        <v>26</v>
      </c>
      <c r="D35" s="40" t="n">
        <f aca="false">D34*D38</f>
        <v>0</v>
      </c>
      <c r="E35" s="40" t="n">
        <f aca="false">E34*E38</f>
        <v>0</v>
      </c>
      <c r="F35" s="40" t="n">
        <f aca="false">F34*F38</f>
        <v>0</v>
      </c>
      <c r="G35" s="40" t="n">
        <f aca="false">G34*G38</f>
        <v>0</v>
      </c>
      <c r="H35" s="40" t="n">
        <f aca="false">H34*H38</f>
        <v>0</v>
      </c>
      <c r="I35" s="40" t="n">
        <f aca="false">I34*I38</f>
        <v>0</v>
      </c>
      <c r="J35" s="40" t="n">
        <f aca="false">J34*J38</f>
        <v>0</v>
      </c>
      <c r="K35" s="40" t="n">
        <f aca="false">K34*K38</f>
        <v>0</v>
      </c>
      <c r="L35" s="40" t="n">
        <f aca="false">L34*L38</f>
        <v>0</v>
      </c>
      <c r="M35" s="40" t="n">
        <f aca="false">M34*M38</f>
        <v>0</v>
      </c>
      <c r="N35" s="40" t="n">
        <f aca="false">N34*N38</f>
        <v>0</v>
      </c>
      <c r="O35" s="40" t="n">
        <f aca="false">O34*O38</f>
        <v>0</v>
      </c>
      <c r="P35" s="40" t="n">
        <f aca="false">P34*P38</f>
        <v>0</v>
      </c>
      <c r="Q35" s="40" t="n">
        <f aca="false">Q34*Q38</f>
        <v>0</v>
      </c>
      <c r="R35" s="40" t="n">
        <f aca="false">R34*R38</f>
        <v>0</v>
      </c>
      <c r="S35" s="18" t="n">
        <f aca="false">SUM(D35:R35)</f>
        <v>0</v>
      </c>
      <c r="X35" s="46"/>
    </row>
    <row r="36" customFormat="false" ht="12.75" hidden="false" customHeight="false" outlineLevel="0" collapsed="false">
      <c r="W36" s="46"/>
    </row>
    <row r="37" customFormat="false" ht="12.75" hidden="false" customHeight="false" outlineLevel="0" collapsed="false">
      <c r="A37" s="5" t="s">
        <v>27</v>
      </c>
      <c r="D37" s="47" t="n">
        <v>0</v>
      </c>
      <c r="E37" s="47" t="n">
        <f aca="false">IF($C$7-E6&gt;-1,D37,0)</f>
        <v>0</v>
      </c>
      <c r="F37" s="47" t="n">
        <f aca="false">IF($C$7-F6&gt;-1,E37,0)</f>
        <v>0</v>
      </c>
      <c r="G37" s="47" t="n">
        <f aca="false">IF($C$7-G6&gt;-1,F37,0)</f>
        <v>0</v>
      </c>
      <c r="H37" s="47" t="n">
        <f aca="false">IF($C$7-H6&gt;-1,G37,0)</f>
        <v>0</v>
      </c>
      <c r="I37" s="47" t="n">
        <f aca="false">IF($C$7-I6&gt;-1,H37,0)</f>
        <v>0</v>
      </c>
      <c r="J37" s="47" t="n">
        <f aca="false">IF($C$7-J6&gt;-1,I37,0)</f>
        <v>0</v>
      </c>
      <c r="K37" s="47" t="n">
        <f aca="false">IF($C$7-K6&gt;-1,J37,0)</f>
        <v>0</v>
      </c>
      <c r="L37" s="47" t="n">
        <f aca="false">IF($C$7-L6&gt;-1,K37,0)</f>
        <v>0</v>
      </c>
      <c r="M37" s="47" t="n">
        <f aca="false">IF($C$7-M6&gt;-1,L37,0)</f>
        <v>0</v>
      </c>
      <c r="N37" s="47" t="n">
        <f aca="false">IF($C$7-N6&gt;-1,M37,0)</f>
        <v>0</v>
      </c>
      <c r="O37" s="47" t="n">
        <f aca="false">IF($C$7-O6&gt;-1,N37,0)</f>
        <v>0</v>
      </c>
      <c r="P37" s="47" t="n">
        <f aca="false">IF($C$7-P6&gt;-1,O37,0)</f>
        <v>0</v>
      </c>
      <c r="Q37" s="47" t="n">
        <f aca="false">IF($C$7-Q6&gt;-1,P37,0)</f>
        <v>0</v>
      </c>
      <c r="R37" s="47" t="n">
        <f aca="false">IF($C$7-R6&gt;-1,Q37,0)</f>
        <v>0</v>
      </c>
      <c r="S37" s="34"/>
      <c r="T37" s="45"/>
      <c r="U37" s="45"/>
      <c r="V37" s="45"/>
      <c r="W37" s="45"/>
      <c r="X37" s="45"/>
      <c r="Y37" s="45"/>
    </row>
    <row r="38" customFormat="false" ht="15" hidden="false" customHeight="false" outlineLevel="0" collapsed="false">
      <c r="A38" s="5" t="s">
        <v>28</v>
      </c>
      <c r="B38" s="39"/>
      <c r="C38" s="48"/>
      <c r="D38" s="49" t="n">
        <v>2.00238418420032</v>
      </c>
      <c r="E38" s="49" t="n">
        <v>1.99425866656585</v>
      </c>
      <c r="F38" s="49" t="n">
        <v>1.99841137053363</v>
      </c>
      <c r="G38" s="49" t="n">
        <v>1.99723771641123</v>
      </c>
      <c r="H38" s="49" t="n">
        <v>2.0356395890112</v>
      </c>
      <c r="I38" s="49" t="n">
        <v>2.05054367991154</v>
      </c>
      <c r="J38" s="49" t="n">
        <v>2.05898594464234</v>
      </c>
      <c r="K38" s="49" t="n">
        <v>2.09429817443387</v>
      </c>
      <c r="L38" s="49" t="n">
        <v>2.16836188734623</v>
      </c>
      <c r="M38" s="49" t="n">
        <v>2.2777173210119</v>
      </c>
      <c r="N38" s="49" t="n">
        <v>2.3953982936249</v>
      </c>
      <c r="O38" s="49" t="n">
        <v>2.5434380033589</v>
      </c>
      <c r="P38" s="49" t="n">
        <v>2.71497391986418</v>
      </c>
      <c r="Q38" s="49" t="n">
        <v>2.87265844841782</v>
      </c>
      <c r="R38" s="49" t="n">
        <v>3.0398723628534</v>
      </c>
      <c r="T38" s="46"/>
      <c r="U38" s="46"/>
      <c r="V38" s="46"/>
      <c r="W38" s="39"/>
      <c r="X38" s="46"/>
    </row>
    <row r="39" customFormat="false" ht="12.75" hidden="false" customHeight="false" outlineLevel="0" collapsed="false">
      <c r="A39" s="1" t="s">
        <v>29</v>
      </c>
      <c r="B39" s="39"/>
      <c r="D39" s="40" t="n">
        <f aca="false">D37*D38*365</f>
        <v>0</v>
      </c>
      <c r="E39" s="40" t="n">
        <f aca="false">E37*E38*365</f>
        <v>0</v>
      </c>
      <c r="F39" s="40" t="n">
        <f aca="false">F37*F38*365</f>
        <v>0</v>
      </c>
      <c r="G39" s="40" t="n">
        <f aca="false">G37*G38*365</f>
        <v>0</v>
      </c>
      <c r="H39" s="40" t="n">
        <f aca="false">H37*H38*365</f>
        <v>0</v>
      </c>
      <c r="I39" s="40" t="n">
        <f aca="false">I37*I38*365</f>
        <v>0</v>
      </c>
      <c r="J39" s="40" t="n">
        <f aca="false">J37*J38*365</f>
        <v>0</v>
      </c>
      <c r="K39" s="40" t="n">
        <f aca="false">K37*K38*365</f>
        <v>0</v>
      </c>
      <c r="L39" s="40" t="n">
        <f aca="false">L37*L38*365</f>
        <v>0</v>
      </c>
      <c r="M39" s="40" t="n">
        <f aca="false">M37*M38*365</f>
        <v>0</v>
      </c>
      <c r="N39" s="40" t="n">
        <f aca="false">N37*N38*365</f>
        <v>0</v>
      </c>
      <c r="O39" s="40" t="n">
        <f aca="false">O37*O38*365</f>
        <v>0</v>
      </c>
      <c r="P39" s="40" t="n">
        <f aca="false">P37*P38*365</f>
        <v>0</v>
      </c>
      <c r="Q39" s="40" t="n">
        <f aca="false">Q37*Q38*365</f>
        <v>0</v>
      </c>
      <c r="R39" s="40" t="n">
        <f aca="false">R37*R38*365</f>
        <v>0</v>
      </c>
      <c r="S39" s="18" t="n">
        <f aca="false">SUM(D39:R39)</f>
        <v>0</v>
      </c>
      <c r="W39" s="46"/>
    </row>
    <row r="40" customFormat="false" ht="12.75" hidden="false" customHeight="false" outlineLevel="0" collapsed="false">
      <c r="B40" s="39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18"/>
      <c r="W40" s="46"/>
    </row>
    <row r="41" customFormat="false" ht="12.75" hidden="false" customHeight="false" outlineLevel="0" collapsed="false">
      <c r="A41" s="5" t="s">
        <v>30</v>
      </c>
    </row>
    <row r="42" customFormat="false" ht="12.75" hidden="false" customHeight="false" outlineLevel="0" collapsed="false">
      <c r="A42" s="5" t="s">
        <v>31</v>
      </c>
      <c r="B42" s="23" t="n">
        <v>1.025</v>
      </c>
      <c r="D42" s="18" t="n">
        <f aca="false">(C20*0.5)+(C19*0.075)</f>
        <v>9.5</v>
      </c>
      <c r="E42" s="18" t="n">
        <f aca="false">IF($C$7-E6&gt;-1,D42,"  ")*$B$42</f>
        <v>9.7375</v>
      </c>
      <c r="F42" s="18" t="n">
        <f aca="false">IF($C$7-F6&gt;-1,E42,"  ")*$B$42</f>
        <v>9.9809375</v>
      </c>
      <c r="G42" s="18" t="n">
        <f aca="false">IF($C$7-G6&gt;-1,F42,"  ")*$B$42</f>
        <v>10.2304609375</v>
      </c>
      <c r="H42" s="18" t="n">
        <f aca="false">IF($C$7-H6&gt;-1,G42,"  ")*$B$42</f>
        <v>10.4862224609375</v>
      </c>
      <c r="I42" s="18" t="n">
        <f aca="false">IF($C$7-I6&gt;-1,H42,"  ")*$B$42</f>
        <v>10.7483780224609</v>
      </c>
      <c r="J42" s="18" t="n">
        <f aca="false">IF($C$7-J6&gt;-1,I42,"  ")*$B$42</f>
        <v>11.0170874730225</v>
      </c>
      <c r="K42" s="18" t="n">
        <f aca="false">IF($C$7-K6&gt;-1,J42,"  ")*$B$42</f>
        <v>11.292514659848</v>
      </c>
      <c r="L42" s="18" t="n">
        <f aca="false">IF($C$7-L6&gt;-1,K42,"  ")*$B$42</f>
        <v>11.5748275263442</v>
      </c>
      <c r="M42" s="18" t="n">
        <f aca="false">IF($C$7-M6&gt;-1,L42,"  ")*$B$42</f>
        <v>11.8641982145028</v>
      </c>
      <c r="N42" s="18" t="e">
        <f aca="false">IF($C$7-N6&gt;-1,M42,"  ")*$B$42</f>
        <v>#VALUE!</v>
      </c>
      <c r="O42" s="18" t="e">
        <f aca="false">IF($C$7-O6&gt;-1,N42,"  ")*$B$42</f>
        <v>#VALUE!</v>
      </c>
      <c r="P42" s="18" t="e">
        <f aca="false">IF($C$7-P6&gt;-1,O42,"  ")*$B$42</f>
        <v>#VALUE!</v>
      </c>
      <c r="Q42" s="18" t="e">
        <f aca="false">IF($C$7-Q6&gt;-1,P42,"  ")*$B$42</f>
        <v>#VALUE!</v>
      </c>
      <c r="R42" s="18" t="e">
        <f aca="false">IF($C$7-R6&gt;-1,Q42,"  ")*$B$42</f>
        <v>#VALUE!</v>
      </c>
      <c r="S42" s="18" t="e">
        <f aca="false">SUM(D42:R42)</f>
        <v>#VALUE!</v>
      </c>
    </row>
    <row r="43" customFormat="false" ht="12.75" hidden="false" customHeight="false" outlineLevel="0" collapsed="false">
      <c r="A43" s="5" t="s">
        <v>32</v>
      </c>
      <c r="D43" s="18" t="n">
        <f aca="false">D39-D35</f>
        <v>0</v>
      </c>
      <c r="E43" s="18" t="n">
        <f aca="false">E39-E35</f>
        <v>0</v>
      </c>
      <c r="F43" s="18" t="n">
        <f aca="false">F39-F35</f>
        <v>0</v>
      </c>
      <c r="G43" s="18" t="n">
        <f aca="false">G39-G35</f>
        <v>0</v>
      </c>
      <c r="H43" s="18" t="n">
        <f aca="false">H39-H35</f>
        <v>0</v>
      </c>
      <c r="I43" s="18" t="n">
        <f aca="false">I39-I35</f>
        <v>0</v>
      </c>
      <c r="J43" s="18" t="n">
        <f aca="false">J39-J35</f>
        <v>0</v>
      </c>
      <c r="K43" s="18" t="n">
        <f aca="false">K39-K35</f>
        <v>0</v>
      </c>
      <c r="L43" s="18" t="n">
        <f aca="false">L39-L35</f>
        <v>0</v>
      </c>
      <c r="M43" s="18" t="n">
        <f aca="false">M39-M35</f>
        <v>0</v>
      </c>
      <c r="N43" s="18" t="n">
        <f aca="false">N39-N35</f>
        <v>0</v>
      </c>
      <c r="O43" s="18" t="n">
        <f aca="false">O39-O35</f>
        <v>0</v>
      </c>
      <c r="P43" s="18" t="n">
        <f aca="false">P39-P35</f>
        <v>0</v>
      </c>
      <c r="Q43" s="18" t="n">
        <f aca="false">Q39-Q35</f>
        <v>0</v>
      </c>
      <c r="R43" s="18" t="n">
        <f aca="false">R39-R35</f>
        <v>0</v>
      </c>
      <c r="S43" s="18" t="n">
        <f aca="false">SUM(D43:R43)</f>
        <v>0</v>
      </c>
    </row>
    <row r="44" customFormat="false" ht="12.75" hidden="false" customHeight="false" outlineLevel="0" collapsed="false">
      <c r="A44" s="5" t="s">
        <v>33</v>
      </c>
      <c r="B44" s="50" t="n">
        <v>0.02</v>
      </c>
      <c r="D44" s="18" t="n">
        <f aca="false">C11*B44</f>
        <v>2488</v>
      </c>
      <c r="E44" s="18" t="n">
        <f aca="false">IF($C$7-E6&gt;-1,D44,"  ")*$B$42</f>
        <v>2550.2</v>
      </c>
      <c r="F44" s="18" t="n">
        <f aca="false">IF($C$7-F6&gt;-1,E44,"  ")*$B$42</f>
        <v>2613.955</v>
      </c>
      <c r="G44" s="18" t="n">
        <f aca="false">IF($C$7-G6&gt;-1,F44,"  ")*$B$42</f>
        <v>2679.303875</v>
      </c>
      <c r="H44" s="18" t="n">
        <f aca="false">IF($C$7-H6&gt;-1,G44,"  ")*$B$42</f>
        <v>2746.286471875</v>
      </c>
      <c r="I44" s="18" t="n">
        <f aca="false">IF($C$7-I6&gt;-1,H44,"  ")*$B$42</f>
        <v>2814.94363367187</v>
      </c>
      <c r="J44" s="18" t="n">
        <f aca="false">IF($C$7-J6&gt;-1,I44,"  ")*$B$42</f>
        <v>2885.31722451367</v>
      </c>
      <c r="K44" s="18" t="n">
        <f aca="false">IF($C$7-K6&gt;-1,J44,"  ")*$B$42</f>
        <v>2957.45015512651</v>
      </c>
      <c r="L44" s="18" t="n">
        <f aca="false">IF($C$7-L6&gt;-1,K44,"  ")*$B$42</f>
        <v>3031.38640900467</v>
      </c>
      <c r="M44" s="18" t="n">
        <f aca="false">IF($C$7-M6&gt;-1,L44,"  ")*$B$42</f>
        <v>3107.17106922979</v>
      </c>
      <c r="N44" s="18" t="e">
        <f aca="false">IF($C$7-N6&gt;-1,M44,"  ")*$B$42</f>
        <v>#VALUE!</v>
      </c>
      <c r="O44" s="18" t="e">
        <f aca="false">IF($C$7-O6&gt;-1,N44,"  ")*$B$42</f>
        <v>#VALUE!</v>
      </c>
      <c r="P44" s="18" t="e">
        <f aca="false">IF($C$7-P6&gt;-1,O44,"  ")*$B$42</f>
        <v>#VALUE!</v>
      </c>
      <c r="Q44" s="18" t="e">
        <f aca="false">IF($C$7-Q6&gt;-1,P44,"  ")*$B$42</f>
        <v>#VALUE!</v>
      </c>
      <c r="R44" s="18" t="e">
        <f aca="false">IF($C$7-R6&gt;-1,Q44,"  ")*$B$42</f>
        <v>#VALUE!</v>
      </c>
      <c r="S44" s="18" t="e">
        <f aca="false">SUM(D44:R44)</f>
        <v>#VALUE!</v>
      </c>
      <c r="T44" s="51" t="e">
        <f aca="false">IF($C$9-T5&gt;-1,S44," ")</f>
        <v>#VALUE!</v>
      </c>
      <c r="U44" s="5" t="s">
        <v>34</v>
      </c>
      <c r="V44" s="5" t="s">
        <v>34</v>
      </c>
    </row>
    <row r="45" customFormat="false" ht="12.75" hidden="false" customHeight="false" outlineLevel="0" collapsed="false">
      <c r="T45" s="5"/>
    </row>
    <row r="46" customFormat="false" ht="12.75" hidden="false" customHeight="false" outlineLevel="0" collapsed="false">
      <c r="A46" s="5" t="s">
        <v>35</v>
      </c>
      <c r="D46" s="18" t="n">
        <f aca="false">IF(+D29+D32-D42-D43-D44&gt;0,+D29+D32-D42-D43-D44,0)</f>
        <v>34002.5</v>
      </c>
      <c r="E46" s="18" t="n">
        <f aca="false">IF(+E29+E32-E42-E43-E44&gt;0,+E29+E32-E42-E43-E44,0)</f>
        <v>33940.0625</v>
      </c>
      <c r="F46" s="18" t="n">
        <f aca="false">IF(+F29+F32-F42-F43-F44&gt;0,+F29+F32-F42-F43-F44,0)</f>
        <v>33876.0640625</v>
      </c>
      <c r="G46" s="18" t="n">
        <f aca="false">IF(+G29+G32-G42-G43-G44&gt;0,+G29+G32-G42-G43-G44,0)</f>
        <v>33810.4656640625</v>
      </c>
      <c r="H46" s="18" t="n">
        <f aca="false">IF(+H29+H32-H42-H43-H44&gt;0,+H29+H32-H42-H43-H44,0)</f>
        <v>33743.2273056641</v>
      </c>
      <c r="I46" s="18" t="n">
        <f aca="false">IF(+I29+I32-I42-I43-I44&gt;0,+I29+I32-I42-I43-I44,0)</f>
        <v>33674.3079883057</v>
      </c>
      <c r="J46" s="18" t="n">
        <f aca="false">IF(+J29+J32-J42-J43-J44&gt;0,+J29+J32-J42-J43-J44,0)</f>
        <v>33603.6656880133</v>
      </c>
      <c r="K46" s="18" t="n">
        <f aca="false">IF(+K29+K32-K42-K43-K44&gt;0,+K29+K32-K42-K43-K44,0)</f>
        <v>33531.2573302136</v>
      </c>
      <c r="L46" s="18" t="n">
        <f aca="false">IF(+L29+L32-L42-L43-L44&gt;0,+L29+L32-L42-L43-L44,0)</f>
        <v>33457.038763469</v>
      </c>
      <c r="M46" s="18" t="n">
        <f aca="false">IF(+M29+M32-M42-M43-M44&gt;0,+M29+M32-M42-M43-M44,0)</f>
        <v>33380.9647325557</v>
      </c>
      <c r="N46" s="18" t="e">
        <f aca="false">IF(+N29+N32-N42-N43-N44&gt;0,+N29+N32-N42-N43-N44,0)</f>
        <v>#VALUE!</v>
      </c>
      <c r="O46" s="18" t="e">
        <f aca="false">IF(+O29+O32-O42-O43-O44&gt;0,+O29+O32-O42-O43-O44,0)</f>
        <v>#VALUE!</v>
      </c>
      <c r="P46" s="18" t="e">
        <f aca="false">IF(+P29+P32-P42-P43-P44&gt;0,+P29+P32-P42-P43-P44,0)</f>
        <v>#VALUE!</v>
      </c>
      <c r="Q46" s="18" t="e">
        <f aca="false">IF(+Q29+Q32-Q42-Q43-Q44&gt;0,+Q29+Q32-Q42-Q43-Q44,0)</f>
        <v>#VALUE!</v>
      </c>
      <c r="R46" s="18" t="e">
        <f aca="false">IF(+R29+R32-R42-R43-R44&gt;0,+R29+R32-R42-R43-R44,0)</f>
        <v>#VALUE!</v>
      </c>
      <c r="S46" s="18" t="e">
        <f aca="false">SUM(D46:R46)</f>
        <v>#VALUE!</v>
      </c>
    </row>
    <row r="47" customFormat="false" ht="12.75" hidden="false" customHeight="false" outlineLevel="0" collapsed="false"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W47" s="5" t="s">
        <v>34</v>
      </c>
    </row>
    <row r="48" customFormat="false" ht="12.75" hidden="false" customHeight="false" outlineLevel="0" collapsed="false">
      <c r="A48" s="5" t="s">
        <v>36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customFormat="false" ht="12.75" hidden="false" customHeight="false" outlineLevel="0" collapsed="false">
      <c r="A49" s="5" t="s">
        <v>37</v>
      </c>
      <c r="D49" s="18" t="n">
        <f aca="false">C11</f>
        <v>124400</v>
      </c>
      <c r="E49" s="18" t="n">
        <f aca="false">D49-D52</f>
        <v>111960</v>
      </c>
      <c r="F49" s="18" t="n">
        <f aca="false">E49-E52</f>
        <v>100764</v>
      </c>
      <c r="G49" s="18" t="n">
        <f aca="false">F49-F52</f>
        <v>90687.6</v>
      </c>
      <c r="H49" s="18" t="n">
        <f aca="false">G49-G52</f>
        <v>81618.84</v>
      </c>
      <c r="I49" s="18" t="n">
        <f aca="false">H49-H52</f>
        <v>73456.956</v>
      </c>
      <c r="J49" s="18" t="n">
        <f aca="false">I49-I52</f>
        <v>66111.2604</v>
      </c>
      <c r="K49" s="18" t="n">
        <f aca="false">J49-J52</f>
        <v>58765.5648</v>
      </c>
      <c r="L49" s="18" t="n">
        <f aca="false">K49-K52</f>
        <v>51419.8692</v>
      </c>
      <c r="M49" s="18" t="n">
        <f aca="false">L49-L52</f>
        <v>44074.1736</v>
      </c>
      <c r="N49" s="18" t="n">
        <f aca="false">M49-M52</f>
        <v>36728.478</v>
      </c>
      <c r="O49" s="18" t="n">
        <f aca="false">N49-N52</f>
        <v>29382.7824</v>
      </c>
      <c r="P49" s="18" t="n">
        <f aca="false">O49-O52</f>
        <v>22037.0868</v>
      </c>
      <c r="Q49" s="18" t="n">
        <f aca="false">P49-P52</f>
        <v>14691.3912</v>
      </c>
      <c r="R49" s="18" t="n">
        <f aca="false">Q49-Q52</f>
        <v>7345.6956</v>
      </c>
    </row>
    <row r="50" customFormat="false" ht="12.75" hidden="false" customHeight="false" outlineLevel="0" collapsed="false">
      <c r="A50" s="5" t="s">
        <v>38</v>
      </c>
      <c r="D50" s="18" t="n">
        <f aca="false">IF($C$7=D6,D49,0)</f>
        <v>0</v>
      </c>
      <c r="E50" s="18" t="n">
        <f aca="false">IF($C$7=E6,E49,0)</f>
        <v>0</v>
      </c>
      <c r="F50" s="18" t="n">
        <f aca="false">IF($C$7=F6,F49,0)</f>
        <v>0</v>
      </c>
      <c r="G50" s="18" t="n">
        <f aca="false">IF($C$7=G6,G49,0)</f>
        <v>0</v>
      </c>
      <c r="H50" s="18" t="n">
        <f aca="false">IF($C$7=H6,H49,0)</f>
        <v>0</v>
      </c>
      <c r="I50" s="18" t="n">
        <f aca="false">IF($C$7=I6,I49,0)</f>
        <v>0</v>
      </c>
      <c r="J50" s="18" t="n">
        <f aca="false">IF($C$7=J6,J49,0)</f>
        <v>0</v>
      </c>
      <c r="K50" s="18" t="n">
        <f aca="false">IF($C$7=K6,K49,0)</f>
        <v>0</v>
      </c>
      <c r="L50" s="18" t="n">
        <f aca="false">IF($C$7=L6,L49,0)</f>
        <v>0</v>
      </c>
      <c r="M50" s="18" t="n">
        <f aca="false">IF($C$7=M6,M49,0)</f>
        <v>44074.1736</v>
      </c>
      <c r="N50" s="18" t="n">
        <f aca="false">IF($C$7=N6,N49,0)</f>
        <v>0</v>
      </c>
      <c r="O50" s="18" t="n">
        <f aca="false">IF($C$7=O6,O49,0)</f>
        <v>0</v>
      </c>
      <c r="P50" s="18" t="n">
        <f aca="false">IF($C$7=P6,P49,0)</f>
        <v>0</v>
      </c>
      <c r="Q50" s="18" t="n">
        <f aca="false">IF($C$7=Q6,Q49,0)</f>
        <v>0</v>
      </c>
      <c r="R50" s="18" t="n">
        <f aca="false">IF($C$7=R6,R49,0)</f>
        <v>0</v>
      </c>
    </row>
    <row r="51" customFormat="false" ht="12.75" hidden="false" customHeight="false" outlineLevel="0" collapsed="false">
      <c r="A51" s="5" t="s">
        <v>39</v>
      </c>
      <c r="D51" s="18" t="n">
        <f aca="false">D49*0.1</f>
        <v>12440</v>
      </c>
      <c r="E51" s="18" t="n">
        <f aca="false">E49*0.1</f>
        <v>11196</v>
      </c>
      <c r="F51" s="18" t="n">
        <f aca="false">F49*0.1</f>
        <v>10076.4</v>
      </c>
      <c r="G51" s="18" t="n">
        <f aca="false">G49*0.1</f>
        <v>9068.76</v>
      </c>
      <c r="H51" s="18" t="n">
        <f aca="false">H49*0.1</f>
        <v>8161.884</v>
      </c>
      <c r="I51" s="18" t="n">
        <f aca="false">$I$49*0.1</f>
        <v>7345.6956</v>
      </c>
      <c r="J51" s="18" t="n">
        <f aca="false">$I$49*0.1</f>
        <v>7345.6956</v>
      </c>
      <c r="K51" s="18" t="n">
        <f aca="false">$I$49*0.1</f>
        <v>7345.6956</v>
      </c>
      <c r="L51" s="18" t="n">
        <f aca="false">$I$49*0.1</f>
        <v>7345.6956</v>
      </c>
      <c r="M51" s="18" t="n">
        <f aca="false">$I$49*0.1</f>
        <v>7345.6956</v>
      </c>
      <c r="N51" s="18" t="n">
        <f aca="false">$I$49*0.1</f>
        <v>7345.6956</v>
      </c>
      <c r="O51" s="18" t="n">
        <f aca="false">$I$49*0.1</f>
        <v>7345.6956</v>
      </c>
      <c r="P51" s="18" t="n">
        <f aca="false">$I$49*0.1</f>
        <v>7345.6956</v>
      </c>
      <c r="Q51" s="18" t="n">
        <f aca="false">$I$49*0.1</f>
        <v>7345.6956</v>
      </c>
      <c r="R51" s="18" t="n">
        <f aca="false">$I$49*0.1</f>
        <v>7345.6956</v>
      </c>
      <c r="S51" s="18" t="n">
        <f aca="false">SUM(D51:R51)</f>
        <v>124400</v>
      </c>
    </row>
    <row r="52" customFormat="false" ht="12.75" hidden="false" customHeight="false" outlineLevel="0" collapsed="false">
      <c r="A52" s="5" t="s">
        <v>40</v>
      </c>
      <c r="D52" s="18" t="n">
        <f aca="false">IF($C$8=1,MAXA(D51,D50),D51)</f>
        <v>12440</v>
      </c>
      <c r="E52" s="18" t="n">
        <f aca="false">IF($C$8=1,MAXA(E51,E50),E51)</f>
        <v>11196</v>
      </c>
      <c r="F52" s="18" t="n">
        <f aca="false">IF($C$8=1,MAXA(F51,F50),F51)</f>
        <v>10076.4</v>
      </c>
      <c r="G52" s="18" t="n">
        <f aca="false">IF($C$8=1,MAXA(G51,G50),G51)</f>
        <v>9068.76</v>
      </c>
      <c r="H52" s="18" t="n">
        <f aca="false">IF($C$8=1,MAXA(H51,H50),H51)</f>
        <v>8161.884</v>
      </c>
      <c r="I52" s="18" t="n">
        <f aca="false">IF($C$8=1,MAXA(I51,I50),I51)</f>
        <v>7345.6956</v>
      </c>
      <c r="J52" s="18" t="n">
        <f aca="false">IF($C$8=1,MAXA(J51,J50),J51)</f>
        <v>7345.6956</v>
      </c>
      <c r="K52" s="18" t="n">
        <f aca="false">IF($C$8=1,MAXA(K51,K50),K51)</f>
        <v>7345.6956</v>
      </c>
      <c r="L52" s="18" t="n">
        <f aca="false">IF($C$8=1,MAXA(L51,L50),L51)</f>
        <v>7345.6956</v>
      </c>
      <c r="M52" s="18" t="n">
        <f aca="false">IF($C$8=1,MAXA(M51,M50),M51)</f>
        <v>7345.6956</v>
      </c>
      <c r="N52" s="18" t="n">
        <f aca="false">IF($C$8=1,MAXA(N51,N50),N51)</f>
        <v>7345.6956</v>
      </c>
      <c r="O52" s="18" t="n">
        <f aca="false">IF($C$8=1,MAXA(O51,O50),O51)</f>
        <v>7345.6956</v>
      </c>
      <c r="P52" s="18" t="n">
        <f aca="false">IF($C$8=1,MAXA(P51,P50),P51)</f>
        <v>7345.6956</v>
      </c>
      <c r="Q52" s="18" t="n">
        <f aca="false">IF($C$8=1,MAXA(Q51,Q50),Q51)</f>
        <v>7345.6956</v>
      </c>
      <c r="R52" s="18" t="n">
        <f aca="false">IF($C$8=1,MAXA(R51,R50),R51)</f>
        <v>7345.6956</v>
      </c>
    </row>
    <row r="53" customFormat="false" ht="12.75" hidden="false" customHeight="false" outlineLevel="0" collapsed="false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customFormat="false" ht="12.75" hidden="false" customHeight="false" outlineLevel="0" collapsed="false">
      <c r="A54" s="5" t="s">
        <v>41</v>
      </c>
      <c r="D54" s="2" t="n">
        <f aca="false">C12</f>
        <v>0</v>
      </c>
    </row>
    <row r="56" customFormat="false" ht="12.75" hidden="false" customHeight="false" outlineLevel="0" collapsed="false">
      <c r="A56" s="5" t="s">
        <v>42</v>
      </c>
      <c r="D56" s="18" t="n">
        <f aca="false">D46-D52+D54</f>
        <v>21562.5</v>
      </c>
      <c r="E56" s="18" t="n">
        <f aca="false">E46-E52+E54</f>
        <v>22744.0625</v>
      </c>
      <c r="F56" s="18" t="n">
        <f aca="false">F46-F52+F54</f>
        <v>23799.6640625</v>
      </c>
      <c r="G56" s="18" t="n">
        <f aca="false">G46-G52+G54</f>
        <v>24741.7056640625</v>
      </c>
      <c r="H56" s="18" t="n">
        <f aca="false">H46-H52+H54</f>
        <v>25581.3433056641</v>
      </c>
      <c r="I56" s="18" t="n">
        <f aca="false">I46-I52+I54</f>
        <v>26328.6123883057</v>
      </c>
      <c r="J56" s="18" t="n">
        <f aca="false">J46-J52+J54</f>
        <v>26257.9700880133</v>
      </c>
      <c r="K56" s="18" t="n">
        <f aca="false">K46-K52+K54</f>
        <v>26185.5617302136</v>
      </c>
      <c r="L56" s="18" t="n">
        <f aca="false">L46-L52+L54</f>
        <v>26111.343163469</v>
      </c>
      <c r="M56" s="18" t="n">
        <f aca="false">M46-M52+M54</f>
        <v>26035.2691325557</v>
      </c>
      <c r="N56" s="18" t="e">
        <f aca="false">N46-N52+N54</f>
        <v>#VALUE!</v>
      </c>
      <c r="O56" s="18" t="e">
        <f aca="false">O46-O52+O54</f>
        <v>#VALUE!</v>
      </c>
      <c r="P56" s="18" t="e">
        <f aca="false">P46-P52+P54</f>
        <v>#VALUE!</v>
      </c>
      <c r="Q56" s="18" t="e">
        <f aca="false">Q46-Q52+Q54</f>
        <v>#VALUE!</v>
      </c>
      <c r="R56" s="18" t="e">
        <f aca="false">R46-R52+R54</f>
        <v>#VALUE!</v>
      </c>
      <c r="S56" s="18" t="e">
        <f aca="false">SUM(D56:R56)</f>
        <v>#VALUE!</v>
      </c>
    </row>
    <row r="57" customFormat="false" ht="12.75" hidden="false" customHeight="false" outlineLevel="0" collapsed="false"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AE57" s="41"/>
      <c r="AF57" s="41"/>
      <c r="AG57" s="41"/>
    </row>
    <row r="58" customFormat="false" ht="12.75" hidden="false" customHeight="false" outlineLevel="0" collapsed="false">
      <c r="A58" s="5" t="s">
        <v>43</v>
      </c>
      <c r="B58" s="50" t="n">
        <v>0.3888</v>
      </c>
      <c r="D58" s="18" t="n">
        <f aca="false">D56*$B$58</f>
        <v>8383.5</v>
      </c>
      <c r="E58" s="18" t="n">
        <f aca="false">E56*$B$58</f>
        <v>8842.8915</v>
      </c>
      <c r="F58" s="18" t="n">
        <f aca="false">F56*$B$58</f>
        <v>9253.3093875</v>
      </c>
      <c r="G58" s="18" t="n">
        <f aca="false">G56*$B$58</f>
        <v>9619.5751621875</v>
      </c>
      <c r="H58" s="18" t="n">
        <f aca="false">H56*$B$58</f>
        <v>9946.02627724219</v>
      </c>
      <c r="I58" s="18" t="n">
        <f aca="false">I56*$B$58</f>
        <v>10236.5644965732</v>
      </c>
      <c r="J58" s="18" t="n">
        <f aca="false">J56*$B$58</f>
        <v>10209.0987702196</v>
      </c>
      <c r="K58" s="18" t="n">
        <f aca="false">K56*$B$58</f>
        <v>10180.9464007071</v>
      </c>
      <c r="L58" s="18" t="n">
        <f aca="false">L56*$B$58</f>
        <v>10152.0902219567</v>
      </c>
      <c r="M58" s="18" t="n">
        <f aca="false">M56*$B$58</f>
        <v>10122.5126387377</v>
      </c>
      <c r="N58" s="18" t="e">
        <f aca="false">N56*$B$58</f>
        <v>#VALUE!</v>
      </c>
      <c r="O58" s="18" t="e">
        <f aca="false">O56*$B$58</f>
        <v>#VALUE!</v>
      </c>
      <c r="P58" s="18" t="e">
        <f aca="false">P56*$B$58</f>
        <v>#VALUE!</v>
      </c>
      <c r="Q58" s="18" t="e">
        <f aca="false">Q56*$B$58</f>
        <v>#VALUE!</v>
      </c>
      <c r="R58" s="18" t="e">
        <f aca="false">R56*$B$58</f>
        <v>#VALUE!</v>
      </c>
      <c r="S58" s="18" t="e">
        <f aca="false">SUM(D58:R58)</f>
        <v>#VALUE!</v>
      </c>
      <c r="AE58" s="52"/>
      <c r="AF58" s="52"/>
      <c r="AG58" s="52"/>
    </row>
    <row r="59" customFormat="false" ht="12.75" hidden="false" customHeight="false" outlineLevel="0" collapsed="false"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AE59" s="52"/>
      <c r="AF59" s="52"/>
      <c r="AG59" s="52"/>
    </row>
    <row r="60" customFormat="false" ht="12.75" hidden="false" customHeight="false" outlineLevel="0" collapsed="false">
      <c r="A60" s="5" t="s">
        <v>44</v>
      </c>
      <c r="C60" s="40" t="n">
        <f aca="false">(+C11-C12)*-1</f>
        <v>-124400</v>
      </c>
      <c r="D60" s="40" t="n">
        <f aca="false">D46-D58</f>
        <v>25619</v>
      </c>
      <c r="E60" s="40" t="n">
        <f aca="false">E46-E58</f>
        <v>25097.171</v>
      </c>
      <c r="F60" s="40" t="n">
        <f aca="false">F46-F58</f>
        <v>24622.754675</v>
      </c>
      <c r="G60" s="40" t="n">
        <f aca="false">G46-G58</f>
        <v>24190.890501875</v>
      </c>
      <c r="H60" s="40" t="n">
        <f aca="false">H46-H58</f>
        <v>23797.2010284219</v>
      </c>
      <c r="I60" s="40" t="n">
        <f aca="false">I46-I58</f>
        <v>23437.7434917324</v>
      </c>
      <c r="J60" s="40" t="n">
        <f aca="false">J46-J58</f>
        <v>23394.5669177937</v>
      </c>
      <c r="K60" s="40" t="n">
        <f aca="false">K46-K58</f>
        <v>23350.3109295066</v>
      </c>
      <c r="L60" s="40" t="n">
        <f aca="false">L46-L58</f>
        <v>23304.9485415122</v>
      </c>
      <c r="M60" s="40" t="n">
        <f aca="false">M46-M58</f>
        <v>23258.452093818</v>
      </c>
      <c r="N60" s="40" t="e">
        <f aca="false">N46-N58</f>
        <v>#VALUE!</v>
      </c>
      <c r="O60" s="40" t="e">
        <f aca="false">O46-O58</f>
        <v>#VALUE!</v>
      </c>
      <c r="P60" s="40" t="e">
        <f aca="false">P46-P58</f>
        <v>#VALUE!</v>
      </c>
      <c r="Q60" s="40" t="e">
        <f aca="false">Q46-Q58</f>
        <v>#VALUE!</v>
      </c>
      <c r="R60" s="40" t="e">
        <f aca="false">R46-R58</f>
        <v>#VALUE!</v>
      </c>
      <c r="S60" s="18" t="e">
        <f aca="false">SUM(D60:R60)</f>
        <v>#VALUE!</v>
      </c>
      <c r="AE60" s="52"/>
      <c r="AF60" s="52"/>
      <c r="AG60" s="52"/>
    </row>
    <row r="61" customFormat="false" ht="13.5" hidden="false" customHeight="false" outlineLevel="0" collapsed="false">
      <c r="E61" s="40"/>
      <c r="F61" s="40"/>
      <c r="G61" s="40"/>
      <c r="H61" s="40"/>
      <c r="I61" s="40"/>
      <c r="J61" s="40"/>
      <c r="K61" s="40"/>
      <c r="L61" s="40"/>
      <c r="M61" s="40"/>
      <c r="AE61" s="52"/>
      <c r="AF61" s="52"/>
      <c r="AG61" s="52"/>
    </row>
    <row r="62" customFormat="false" ht="13.5" hidden="false" customHeight="false" outlineLevel="0" collapsed="false">
      <c r="A62" s="54" t="s">
        <v>45</v>
      </c>
      <c r="C62" s="55" t="e">
        <f aca="false">IF(IRR(C60:R60,+B65)&gt;0,IRR(C60:R60,+B65),"   N/A")</f>
        <v>#VALUE!</v>
      </c>
      <c r="E62" s="19" t="s">
        <v>8</v>
      </c>
      <c r="F62" s="20"/>
      <c r="G62" s="21"/>
      <c r="H62" s="22"/>
      <c r="AE62" s="52"/>
      <c r="AF62" s="52"/>
      <c r="AG62" s="52"/>
    </row>
    <row r="63" customFormat="false" ht="13.5" hidden="false" customHeight="false" outlineLevel="0" collapsed="false"/>
    <row r="64" customFormat="false" ht="13.5" hidden="false" customHeight="false" outlineLevel="0" collapsed="false">
      <c r="A64" s="2" t="s">
        <v>46</v>
      </c>
      <c r="B64" s="56" t="n">
        <v>0.15</v>
      </c>
      <c r="C64" s="57" t="e">
        <f aca="false">NPV(+B64,C60:R60)</f>
        <v>#VALUE!</v>
      </c>
    </row>
    <row r="65" customFormat="false" ht="12.75" hidden="false" customHeight="false" outlineLevel="0" collapsed="false">
      <c r="A65" s="18" t="s">
        <v>47</v>
      </c>
      <c r="B65" s="58" t="n">
        <v>0.25</v>
      </c>
    </row>
    <row r="66" customFormat="false" ht="15" hidden="false" customHeight="false" outlineLevel="0" collapsed="false">
      <c r="D66" s="0"/>
      <c r="E66" s="0"/>
      <c r="F66" s="0"/>
      <c r="G66" s="0"/>
      <c r="H66" s="0"/>
      <c r="I66" s="0"/>
      <c r="J66" s="0"/>
      <c r="AA66" s="41" t="n">
        <v>0.3</v>
      </c>
      <c r="AB66" s="41" t="n">
        <v>0.2</v>
      </c>
      <c r="AC66" s="41" t="n">
        <v>0.1</v>
      </c>
      <c r="AD66" s="41"/>
      <c r="AE66" s="52"/>
      <c r="AF66" s="52"/>
      <c r="AG66" s="52"/>
    </row>
    <row r="67" customFormat="false" ht="15" hidden="false" customHeight="false" outlineLevel="0" collapsed="false">
      <c r="D67" s="0"/>
      <c r="E67" s="0"/>
      <c r="F67" s="0"/>
      <c r="G67" s="0"/>
      <c r="H67" s="0"/>
      <c r="I67" s="0"/>
      <c r="J67" s="0"/>
      <c r="X67" s="5" t="s">
        <v>10</v>
      </c>
      <c r="AA67" s="52" t="n">
        <v>-0.0964658357496538</v>
      </c>
      <c r="AB67" s="52" t="n">
        <v>-0.109476251585869</v>
      </c>
      <c r="AC67" s="52" t="n">
        <v>-0.109476251585869</v>
      </c>
      <c r="AD67" s="52"/>
    </row>
    <row r="68" customFormat="false" ht="15" hidden="false" customHeight="false" outlineLevel="0" collapsed="false">
      <c r="D68" s="0"/>
      <c r="E68" s="0"/>
      <c r="F68" s="0"/>
      <c r="G68" s="0"/>
      <c r="H68" s="0"/>
      <c r="I68" s="0"/>
      <c r="J68" s="0"/>
      <c r="K68" s="59"/>
      <c r="L68" s="40"/>
      <c r="P68" s="60"/>
      <c r="Q68" s="60"/>
      <c r="V68" s="61" t="e">
        <f aca="false">IRR(C60:R60,0.5)</f>
        <v>#VALUE!</v>
      </c>
      <c r="W68" s="41" t="n">
        <v>0.7</v>
      </c>
      <c r="X68" s="41" t="n">
        <v>0.6</v>
      </c>
      <c r="Y68" s="41" t="n">
        <v>0.5</v>
      </c>
      <c r="Z68" s="41" t="n">
        <v>0.4</v>
      </c>
      <c r="AA68" s="52" t="n">
        <v>-0.0922935052990804</v>
      </c>
      <c r="AB68" s="52" t="n">
        <v>-0.109476251585869</v>
      </c>
      <c r="AC68" s="52" t="n">
        <v>-0.109476251585869</v>
      </c>
      <c r="AD68" s="52"/>
    </row>
    <row r="69" customFormat="false" ht="15" hidden="false" customHeight="false" outlineLevel="0" collapsed="false">
      <c r="D69" s="0"/>
      <c r="E69" s="0"/>
      <c r="F69" s="0"/>
      <c r="G69" s="0"/>
      <c r="H69" s="0"/>
      <c r="I69" s="0"/>
      <c r="J69" s="0"/>
      <c r="K69" s="62"/>
      <c r="L69" s="63"/>
      <c r="P69" s="64"/>
      <c r="Q69" s="64"/>
      <c r="R69" s="64"/>
      <c r="U69" s="5" t="s">
        <v>7</v>
      </c>
      <c r="V69" s="46" t="n">
        <v>50</v>
      </c>
      <c r="W69" s="52" t="n">
        <v>0.344104406441188</v>
      </c>
      <c r="X69" s="52" t="n">
        <v>0.165853800758539</v>
      </c>
      <c r="Y69" s="52" t="n">
        <v>0.0258795205747555</v>
      </c>
      <c r="Z69" s="52" t="n">
        <v>-0.0583614012256652</v>
      </c>
      <c r="AA69" s="52" t="n">
        <v>-0.0848789200191497</v>
      </c>
      <c r="AB69" s="52" t="n">
        <v>-0.109476251585869</v>
      </c>
      <c r="AC69" s="52" t="n">
        <v>-0.109476251585869</v>
      </c>
      <c r="AD69" s="52"/>
    </row>
    <row r="70" customFormat="false" ht="15" hidden="false" customHeight="false" outlineLevel="0" collapsed="false">
      <c r="D70" s="0"/>
      <c r="E70" s="0"/>
      <c r="F70" s="0"/>
      <c r="G70" s="0"/>
      <c r="H70" s="0"/>
      <c r="I70" s="0"/>
      <c r="J70" s="0"/>
      <c r="K70" s="62"/>
      <c r="L70" s="63"/>
      <c r="P70" s="64"/>
      <c r="Q70" s="64"/>
      <c r="R70" s="64"/>
      <c r="U70" s="5" t="s">
        <v>48</v>
      </c>
      <c r="V70" s="46" t="n">
        <v>40</v>
      </c>
      <c r="W70" s="52" t="n">
        <v>0.53069331269179</v>
      </c>
      <c r="X70" s="52" t="n">
        <v>0.30299597249131</v>
      </c>
      <c r="Y70" s="52" t="n">
        <v>0.0949721150196222</v>
      </c>
      <c r="Z70" s="52" t="n">
        <v>-0.0384186489020235</v>
      </c>
      <c r="AA70" s="52" t="n">
        <v>-0.0672184433371262</v>
      </c>
      <c r="AB70" s="52" t="n">
        <v>-0.109476251585869</v>
      </c>
      <c r="AC70" s="52" t="n">
        <v>-0.109476251585869</v>
      </c>
      <c r="AD70" s="52"/>
    </row>
    <row r="71" customFormat="false" ht="15" hidden="false" customHeight="false" outlineLevel="0" collapsed="false">
      <c r="D71" s="0"/>
      <c r="E71" s="0"/>
      <c r="F71" s="0"/>
      <c r="G71" s="0"/>
      <c r="H71" s="0"/>
      <c r="I71" s="0"/>
      <c r="J71" s="0"/>
      <c r="K71" s="62"/>
      <c r="P71" s="64"/>
      <c r="Q71" s="64"/>
      <c r="R71" s="64"/>
      <c r="V71" s="46" t="n">
        <v>30</v>
      </c>
      <c r="W71" s="65" t="s">
        <v>49</v>
      </c>
      <c r="X71" s="52" t="n">
        <v>0.548566249315141</v>
      </c>
      <c r="Y71" s="52" t="n">
        <v>0.245598108708198</v>
      </c>
      <c r="Z71" s="52" t="n">
        <v>0.00526273464000369</v>
      </c>
      <c r="AA71" s="52" t="n">
        <v>0.0183723556480732</v>
      </c>
      <c r="AB71" s="52" t="n">
        <v>-0.109476251585869</v>
      </c>
      <c r="AC71" s="52" t="n">
        <v>-0.109476251585869</v>
      </c>
      <c r="AD71" s="52"/>
    </row>
    <row r="72" customFormat="false" ht="15" hidden="false" customHeight="false" outlineLevel="0" collapsed="false">
      <c r="D72" s="0"/>
      <c r="E72" s="0"/>
      <c r="F72" s="0"/>
      <c r="G72" s="0"/>
      <c r="H72" s="0"/>
      <c r="I72" s="0"/>
      <c r="J72" s="0"/>
      <c r="K72" s="62"/>
      <c r="P72" s="64"/>
      <c r="Q72" s="64"/>
      <c r="R72" s="64"/>
      <c r="V72" s="46" t="n">
        <v>20</v>
      </c>
      <c r="W72" s="65" t="s">
        <v>49</v>
      </c>
      <c r="X72" s="65" t="s">
        <v>49</v>
      </c>
      <c r="Y72" s="52" t="n">
        <v>0.602611123647485</v>
      </c>
      <c r="Z72" s="52" t="n">
        <v>0.144845835265249</v>
      </c>
      <c r="AA72" s="52" t="n">
        <v>0.48098166076419</v>
      </c>
      <c r="AB72" s="52" t="n">
        <v>-0.109476251585869</v>
      </c>
      <c r="AC72" s="52" t="n">
        <v>-0.109476251585869</v>
      </c>
      <c r="AD72" s="52"/>
    </row>
    <row r="73" customFormat="false" ht="15" hidden="false" customHeight="false" outlineLevel="0" collapsed="false">
      <c r="D73" s="0"/>
      <c r="E73" s="0"/>
      <c r="F73" s="0"/>
      <c r="G73" s="0"/>
      <c r="H73" s="0"/>
      <c r="I73" s="0"/>
      <c r="J73" s="0"/>
      <c r="K73" s="63"/>
      <c r="P73" s="64"/>
      <c r="Q73" s="64"/>
      <c r="R73" s="64"/>
      <c r="V73" s="46" t="n">
        <v>10</v>
      </c>
      <c r="W73" s="65" t="s">
        <v>49</v>
      </c>
      <c r="X73" s="65" t="s">
        <v>49</v>
      </c>
      <c r="Y73" s="65" t="s">
        <v>49</v>
      </c>
      <c r="Z73" s="65" t="s">
        <v>49</v>
      </c>
    </row>
    <row r="74" customFormat="false" ht="15" hidden="false" customHeight="false" outlineLevel="0" collapsed="false">
      <c r="D74" s="0"/>
      <c r="E74" s="0"/>
      <c r="F74" s="0"/>
      <c r="G74" s="0"/>
      <c r="H74" s="0"/>
      <c r="I74" s="0"/>
      <c r="J74" s="0"/>
      <c r="K74" s="63"/>
      <c r="P74" s="64"/>
      <c r="Q74" s="64"/>
      <c r="R74" s="64"/>
      <c r="V74" s="46" t="n">
        <v>5</v>
      </c>
      <c r="W74" s="65" t="s">
        <v>49</v>
      </c>
      <c r="X74" s="65" t="s">
        <v>49</v>
      </c>
      <c r="Y74" s="65" t="s">
        <v>49</v>
      </c>
      <c r="Z74" s="65" t="s">
        <v>49</v>
      </c>
    </row>
    <row r="75" customFormat="false" ht="15" hidden="false" customHeight="false" outlineLevel="0" collapsed="false">
      <c r="D75" s="0"/>
      <c r="E75" s="0"/>
      <c r="F75" s="0"/>
      <c r="G75" s="0"/>
      <c r="H75" s="0"/>
      <c r="I75" s="0"/>
      <c r="J75" s="0"/>
      <c r="K75" s="63"/>
    </row>
    <row r="79" customFormat="false" ht="1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</row>
    <row r="80" customFormat="false" ht="1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</row>
    <row r="81" customFormat="false" ht="1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</row>
    <row r="82" customFormat="false" ht="1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</row>
    <row r="83" customFormat="false" ht="1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</row>
    <row r="84" customFormat="false" ht="1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</row>
    <row r="85" customFormat="false" ht="1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</row>
    <row r="86" customFormat="false" ht="1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</row>
    <row r="87" customFormat="false" ht="1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</row>
    <row r="88" customFormat="false" ht="1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</row>
    <row r="89" customFormat="false" ht="1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</row>
    <row r="90" customFormat="false" ht="1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</row>
    <row r="91" customFormat="false" ht="1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</row>
    <row r="92" customFormat="false" ht="1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</row>
    <row r="93" customFormat="false" ht="1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</row>
    <row r="94" customFormat="false" ht="1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</row>
    <row r="95" customFormat="false" ht="1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</row>
    <row r="96" customFormat="false" ht="1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</row>
    <row r="97" customFormat="false" ht="1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</row>
    <row r="98" customFormat="false" ht="1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</row>
    <row r="99" customFormat="false" ht="1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</row>
    <row r="100" customFormat="false" ht="1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</row>
    <row r="101" customFormat="false" ht="1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</row>
    <row r="102" customFormat="false" ht="1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</row>
    <row r="103" customFormat="false" ht="1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</row>
    <row r="104" customFormat="false" ht="1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</row>
    <row r="105" customFormat="false" ht="1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</row>
    <row r="106" customFormat="false" ht="1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</row>
    <row r="107" customFormat="false" ht="1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</row>
    <row r="108" customFormat="false" ht="1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</row>
    <row r="109" customFormat="false" ht="1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</row>
    <row r="110" customFormat="false" ht="1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</row>
    <row r="111" customFormat="false" ht="1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</row>
    <row r="112" customFormat="false" ht="1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</row>
    <row r="113" customFormat="false" ht="1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</row>
    <row r="114" customFormat="false" ht="1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</row>
    <row r="115" customFormat="false" ht="1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</row>
    <row r="116" customFormat="false" ht="1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</row>
    <row r="117" customFormat="false" ht="1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</row>
    <row r="118" customFormat="false" ht="1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</row>
    <row r="119" customFormat="false" ht="1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</row>
    <row r="120" customFormat="false" ht="1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</row>
    <row r="137" customFormat="false" ht="12.75" hidden="false" customHeight="false" outlineLevel="0" collapsed="false">
      <c r="E137" s="60"/>
    </row>
  </sheetData>
  <printOptions headings="false" gridLines="false" gridLinesSet="true" horizontalCentered="true" verticalCentered="false"/>
  <pageMargins left="0.25" right="0.240277777777778" top="0.75" bottom="0.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Transwestern Pipeline Company</dc:creator>
  <dc:description/>
  <dc:language>en-US</dc:language>
  <cp:lastModifiedBy>James Centilli</cp:lastModifiedBy>
  <cp:lastPrinted>2000-01-20T18:03:50Z</cp:lastPrinted>
  <cp:revision>0</cp:revision>
  <dc:subject/>
  <dc:title/>
</cp:coreProperties>
</file>