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S" sheetId="1" state="visible" r:id="rId3"/>
    <sheet name="CF" sheetId="2" state="visible" r:id="rId4"/>
    <sheet name="Revenue" sheetId="3" state="visible" r:id="rId5"/>
    <sheet name="Costs" sheetId="4" state="visible" r:id="rId6"/>
    <sheet name="Basic Calculations" sheetId="5" state="visible" r:id="rId7"/>
    <sheet name="Capacity" sheetId="6" state="visible" r:id="rId8"/>
  </sheets>
  <definedNames>
    <definedName function="false" hidden="false" localSheetId="4" name="_xlnm.Print_Area" vbProcedure="false">'Basic Calculations'!$A$1:$E$34</definedName>
    <definedName function="false" hidden="false" localSheetId="0" name="_xlnm.Print_Area" vbProcedure="false">BS!$A$1:$N$34</definedName>
    <definedName function="false" hidden="false" localSheetId="5" name="_xlnm.Print_Area" vbProcedure="false">Capacity!$A$1:$E$22</definedName>
    <definedName function="false" hidden="false" localSheetId="1" name="_xlnm.Print_Area" vbProcedure="false">CF!$A$2:$N$79</definedName>
    <definedName function="false" hidden="false" localSheetId="3" name="_xlnm.Print_Area" vbProcedure="false">Costs!$A$1:$N$61</definedName>
    <definedName function="false" hidden="false" localSheetId="2" name="_xlnm.Print_Area" vbProcedure="false">Revenue!$A$1:$N$63</definedName>
    <definedName function="false" hidden="false" name="Units_in_Service_Yr_0" vbProcedure="false">Revenue!$D$129</definedName>
    <definedName function="false" hidden="false" name="Units_in_Service_Yr_1" vbProcedure="false">Revenue!$E$129</definedName>
    <definedName function="false" hidden="false" name="Units_in_Service_Yr_2" vbProcedure="false">Revenue!$F$129</definedName>
    <definedName function="false" hidden="false" name="Units_in_Service_Yr_3" vbProcedure="false">Revenue!$G$129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<sst xmlns="http://schemas.openxmlformats.org/spreadsheetml/2006/main" count="534" uniqueCount="277">
  <si>
    <t xml:space="preserve">CASH FLOW STATEMENT</t>
  </si>
  <si>
    <t xml:space="preserve">EBIT</t>
  </si>
  <si>
    <t xml:space="preserve">Depreciation</t>
  </si>
  <si>
    <t xml:space="preserve">Working capital investment</t>
  </si>
  <si>
    <t xml:space="preserve">Taxes</t>
  </si>
  <si>
    <t xml:space="preserve">Operating Cash Flow</t>
  </si>
  <si>
    <t xml:space="preserve">Investment in assets</t>
  </si>
  <si>
    <t xml:space="preserve">Asset cash flow</t>
  </si>
  <si>
    <t xml:space="preserve">New LT debt</t>
  </si>
  <si>
    <t xml:space="preserve">LT Debt paid down</t>
  </si>
  <si>
    <t xml:space="preserve">Interest</t>
  </si>
  <si>
    <t xml:space="preserve">Financing cash flow</t>
  </si>
  <si>
    <t xml:space="preserve">Capital</t>
  </si>
  <si>
    <t xml:space="preserve">Dividends</t>
  </si>
  <si>
    <t xml:space="preserve">Equity cash flow</t>
  </si>
  <si>
    <t xml:space="preserve">Net cash generated</t>
  </si>
  <si>
    <t xml:space="preserve">Cash at begginning of the year</t>
  </si>
  <si>
    <t xml:space="preserve">Total cash @ year end</t>
  </si>
  <si>
    <t xml:space="preserve">New additional ST loans</t>
  </si>
  <si>
    <t xml:space="preserve">ST debt paid down</t>
  </si>
  <si>
    <t xml:space="preserve">Net ST debt financing</t>
  </si>
  <si>
    <t xml:space="preserve">BALANCE SHEET STATEMENT</t>
  </si>
  <si>
    <t xml:space="preserve">Operating Cash @ Days of cash</t>
  </si>
  <si>
    <t xml:space="preserve">$</t>
  </si>
  <si>
    <t xml:space="preserve">Cash investments</t>
  </si>
  <si>
    <t xml:space="preserve">Receivables</t>
  </si>
  <si>
    <t xml:space="preserve">Maintainence &amp; repair reserve</t>
  </si>
  <si>
    <t xml:space="preserve">Inventory</t>
  </si>
  <si>
    <t xml:space="preserve">Current Assets</t>
  </si>
  <si>
    <t xml:space="preserve">Anti-Idling Units &amp; Infrastructure</t>
  </si>
  <si>
    <t xml:space="preserve">Accumulated depreciation</t>
  </si>
  <si>
    <t xml:space="preserve">Fixed Assets</t>
  </si>
  <si>
    <t xml:space="preserve">Total Assets</t>
  </si>
  <si>
    <t xml:space="preserve">Payables</t>
  </si>
  <si>
    <t xml:space="preserve">ST Debt</t>
  </si>
  <si>
    <t xml:space="preserve">LT Debt</t>
  </si>
  <si>
    <t xml:space="preserve">Liabilities</t>
  </si>
  <si>
    <t xml:space="preserve">Common stock</t>
  </si>
  <si>
    <t xml:space="preserve">Period's net income</t>
  </si>
  <si>
    <t xml:space="preserve">Retained Earnings</t>
  </si>
  <si>
    <t xml:space="preserve">Shareholders capital</t>
  </si>
  <si>
    <t xml:space="preserve">Liabilities &amp; Equity</t>
  </si>
  <si>
    <t xml:space="preserve">PERIOD</t>
  </si>
  <si>
    <t xml:space="preserve">Gross revenues</t>
  </si>
  <si>
    <t xml:space="preserve">Revenues share</t>
  </si>
  <si>
    <t xml:space="preserve">Net revenues</t>
  </si>
  <si>
    <t xml:space="preserve">Direct cost</t>
  </si>
  <si>
    <t xml:space="preserve">Marginal contribution</t>
  </si>
  <si>
    <t xml:space="preserve">OPEX</t>
  </si>
  <si>
    <t xml:space="preserve">EBITDA</t>
  </si>
  <si>
    <t xml:space="preserve">Interests</t>
  </si>
  <si>
    <t xml:space="preserve">Net Income</t>
  </si>
  <si>
    <t xml:space="preserve">Investment in working capital</t>
  </si>
  <si>
    <t xml:space="preserve">Capex</t>
  </si>
  <si>
    <t xml:space="preserve">Initial Development Cost</t>
  </si>
  <si>
    <t xml:space="preserve">Free Cash Flow</t>
  </si>
  <si>
    <t xml:space="preserve">Running NPV</t>
  </si>
  <si>
    <t xml:space="preserve">IRR</t>
  </si>
  <si>
    <t xml:space="preserve">%</t>
  </si>
  <si>
    <t xml:space="preserve">$/Unit</t>
  </si>
  <si>
    <t xml:space="preserve">$/Truck</t>
  </si>
  <si>
    <t xml:space="preserve">@</t>
  </si>
  <si>
    <t xml:space="preserve">Market Size</t>
  </si>
  <si>
    <t xml:space="preserve">LT carriers in the US @ industry consolidation effect</t>
  </si>
  <si>
    <t xml:space="preserve">Number</t>
  </si>
  <si>
    <t xml:space="preserve">Industry Report (more than) / Consolidation assumption</t>
  </si>
  <si>
    <t xml:space="preserve">Class 7 &amp; 8 trucks in the US @ GDP Growth</t>
  </si>
  <si>
    <t xml:space="preserve">Units</t>
  </si>
  <si>
    <t xml:space="preserve">Argonne National Laboratories</t>
  </si>
  <si>
    <t xml:space="preserve">Class 8 trucks in the US @ % of class 7 &amp; 8</t>
  </si>
  <si>
    <t xml:space="preserve">Industry Report</t>
  </si>
  <si>
    <t xml:space="preserve">Class 8 trucks w/sleepers in the US @ % of class 8</t>
  </si>
  <si>
    <t xml:space="preserve">Targeted Market Share of Trucks in the US</t>
  </si>
  <si>
    <t xml:space="preserve">Depreciation Choice</t>
  </si>
  <si>
    <t xml:space="preserve">Less:  Depreciation (200% DDB)</t>
  </si>
  <si>
    <t xml:space="preserve">Class 8 trucks w/sleepers in the US</t>
  </si>
  <si>
    <t xml:space="preserve">Team target</t>
  </si>
  <si>
    <t xml:space="preserve">Class 8 trucks in the US</t>
  </si>
  <si>
    <t xml:space="preserve">Class 7 &amp; 8 trucks in the US</t>
  </si>
  <si>
    <t xml:space="preserve">Expected Truck &amp; Companies under Contract EOY</t>
  </si>
  <si>
    <t xml:space="preserve">Average class 8 trucks w/sleepers in the US</t>
  </si>
  <si>
    <t xml:space="preserve">Growth in number of trucks</t>
  </si>
  <si>
    <t xml:space="preserve">Percentage</t>
  </si>
  <si>
    <t xml:space="preserve">Average size of carrier @ size depreciation</t>
  </si>
  <si>
    <t xml:space="preserve">Team assumption</t>
  </si>
  <si>
    <t xml:space="preserve">New carriers @ EOY</t>
  </si>
  <si>
    <t xml:space="preserve">Less:  Depreciation (Straight Line)</t>
  </si>
  <si>
    <t xml:space="preserve">Cumulative carriers</t>
  </si>
  <si>
    <t xml:space="preserve">Growth in number of carriers</t>
  </si>
  <si>
    <t xml:space="preserve">Class 8 trucks w/sleepers and reefers @ Mkt share</t>
  </si>
  <si>
    <t xml:space="preserve">Team Analysis &amp; DOT</t>
  </si>
  <si>
    <t xml:space="preserve">Traffic &amp; Volume</t>
  </si>
  <si>
    <t xml:space="preserve">Average working days of TL</t>
  </si>
  <si>
    <t xml:space="preserve">Days / Year</t>
  </si>
  <si>
    <t xml:space="preserve">Team basic calculations - Argonne National Laboratories 305 days</t>
  </si>
  <si>
    <t xml:space="preserve">Mandatory idling per day</t>
  </si>
  <si>
    <t xml:space="preserve">Hours / Day</t>
  </si>
  <si>
    <t xml:space="preserve">DOT Hours of Service Legislation</t>
  </si>
  <si>
    <t xml:space="preserve">Weather factor (anti-idling factor)</t>
  </si>
  <si>
    <t xml:space="preserve">Team Assumption - Argonne National Laboratories</t>
  </si>
  <si>
    <t xml:space="preserve">Idling time per truck</t>
  </si>
  <si>
    <t xml:space="preserve">Hours / Year</t>
  </si>
  <si>
    <t xml:space="preserve">Idling time per reefer</t>
  </si>
  <si>
    <t xml:space="preserve">No weather effect</t>
  </si>
  <si>
    <t xml:space="preserve">Average idling @ Market share</t>
  </si>
  <si>
    <t xml:space="preserve">Hours</t>
  </si>
  <si>
    <t xml:space="preserve">Anti-idling parking places reserved</t>
  </si>
  <si>
    <t xml:space="preserve">Anti-idling parking places spot</t>
  </si>
  <si>
    <t xml:space="preserve">Value o Fuel Savings</t>
  </si>
  <si>
    <t xml:space="preserve">Fuel cost (diesel)</t>
  </si>
  <si>
    <t xml:space="preserve">$ / Gallon</t>
  </si>
  <si>
    <t xml:space="preserve">Long-run average @ Team assumption</t>
  </si>
  <si>
    <t xml:space="preserve">Heating Oil Index on average current price</t>
  </si>
  <si>
    <t xml:space="preserve">Index</t>
  </si>
  <si>
    <t xml:space="preserve">ENE</t>
  </si>
  <si>
    <t xml:space="preserve">Truck fuel consumption while idling</t>
  </si>
  <si>
    <t xml:space="preserve">Gallons / Hour</t>
  </si>
  <si>
    <t xml:space="preserve">Truck manufacturers 1.0 - Argonne National Laboratories 1.2</t>
  </si>
  <si>
    <t xml:space="preserve">Reefer fuel consumption while idling</t>
  </si>
  <si>
    <t xml:space="preserve">Team Analysis - Equipment manufacturers</t>
  </si>
  <si>
    <t xml:space="preserve">Truck Idling cost</t>
  </si>
  <si>
    <t xml:space="preserve">$ / Hour</t>
  </si>
  <si>
    <t xml:space="preserve">Truck Idling opportunity cost</t>
  </si>
  <si>
    <t xml:space="preserve">$ / Year</t>
  </si>
  <si>
    <t xml:space="preserve">Considering net hours of idling per year</t>
  </si>
  <si>
    <t xml:space="preserve">Reefer Idling cost</t>
  </si>
  <si>
    <t xml:space="preserve">Reefer Idling opportunity cost</t>
  </si>
  <si>
    <t xml:space="preserve">Weigthed average anti-idling unit opportunity cost</t>
  </si>
  <si>
    <t xml:space="preserve">Considering truck : reefer relationship</t>
  </si>
  <si>
    <t xml:space="preserve">Pricing</t>
  </si>
  <si>
    <t xml:space="preserve">Reserved price discount (take-or-pay) over spot</t>
  </si>
  <si>
    <t xml:space="preserve">Team Analysis</t>
  </si>
  <si>
    <t xml:space="preserve">Hourly reserved price</t>
  </si>
  <si>
    <t xml:space="preserve">Hourly spot price</t>
  </si>
  <si>
    <t xml:space="preserve">Other Services Volume &amp; Price</t>
  </si>
  <si>
    <t xml:space="preserve">Cable TV</t>
  </si>
  <si>
    <t xml:space="preserve">Cable TV take rate</t>
  </si>
  <si>
    <t xml:space="preserve">Usage while idling</t>
  </si>
  <si>
    <t xml:space="preserve">Cable TV revenues</t>
  </si>
  <si>
    <t xml:space="preserve">Local telephone services</t>
  </si>
  <si>
    <t xml:space="preserve">$ / Access</t>
  </si>
  <si>
    <t xml:space="preserve">Local telephone service take rate</t>
  </si>
  <si>
    <t xml:space="preserve">Local telephone service revenues</t>
  </si>
  <si>
    <t xml:space="preserve">Long-distance telephone services</t>
  </si>
  <si>
    <t xml:space="preserve">$ / Minutes</t>
  </si>
  <si>
    <t xml:space="preserve">Long-distance telephone services take-rate</t>
  </si>
  <si>
    <t xml:space="preserve">Minutes / Event</t>
  </si>
  <si>
    <t xml:space="preserve">Long distance revenues</t>
  </si>
  <si>
    <t xml:space="preserve">Internet services</t>
  </si>
  <si>
    <t xml:space="preserve">Internet services take rate</t>
  </si>
  <si>
    <t xml:space="preserve">Internet services revenues</t>
  </si>
  <si>
    <t xml:space="preserve">Revenues</t>
  </si>
  <si>
    <t xml:space="preserve">Anti-Idling reserved slots</t>
  </si>
  <si>
    <t xml:space="preserve">Anti-Idling spot slot</t>
  </si>
  <si>
    <t xml:space="preserve">Cable TV, telephone &amp; internet access</t>
  </si>
  <si>
    <t xml:space="preserve">Total revenues</t>
  </si>
  <si>
    <t xml:space="preserve">Revenue Share</t>
  </si>
  <si>
    <t xml:space="preserve">Carriers</t>
  </si>
  <si>
    <t xml:space="preserve">Carriers @ percentage of fuel savings</t>
  </si>
  <si>
    <t xml:space="preserve">Total virtual revenue / savings on fuel</t>
  </si>
  <si>
    <t xml:space="preserve">$ / Truck</t>
  </si>
  <si>
    <t xml:space="preserve">Wear &amp; tear</t>
  </si>
  <si>
    <t xml:space="preserve">Miles / Hour</t>
  </si>
  <si>
    <t xml:space="preserve">Team Analysis - Argonne National Laboratories</t>
  </si>
  <si>
    <t xml:space="preserve">Idling equivalent wear &amp; tear miles</t>
  </si>
  <si>
    <t xml:space="preserve">Miles</t>
  </si>
  <si>
    <t xml:space="preserve">Opportunity cost</t>
  </si>
  <si>
    <t xml:space="preserve">$ / Mile</t>
  </si>
  <si>
    <t xml:space="preserve">Carriers @ percentage of fuel wear &amp; tear</t>
  </si>
  <si>
    <t xml:space="preserve">Total virtual revenue / savings on wear &amp; tear</t>
  </si>
  <si>
    <t xml:space="preserve">Total virtual revenue / savings to carriers</t>
  </si>
  <si>
    <t xml:space="preserve">Total virtual revenue / savings per truck</t>
  </si>
  <si>
    <t xml:space="preserve">Others</t>
  </si>
  <si>
    <t xml:space="preserve">Truck stops @ percentage of revenues</t>
  </si>
  <si>
    <t xml:space="preserve">Truck stop revenues</t>
  </si>
  <si>
    <t xml:space="preserve">$ / Spot</t>
  </si>
  <si>
    <t xml:space="preserve">Truck drivers incentives @ percentage of revenues</t>
  </si>
  <si>
    <t xml:space="preserve">Truck drivers incentives</t>
  </si>
  <si>
    <t xml:space="preserve">$ / Driver</t>
  </si>
  <si>
    <t xml:space="preserve">Originators @ percentage of revenues</t>
  </si>
  <si>
    <t xml:space="preserve">Originators commision per fleet contract</t>
  </si>
  <si>
    <t xml:space="preserve">$ / Contract</t>
  </si>
  <si>
    <t xml:space="preserve">Total revenue share</t>
  </si>
  <si>
    <t xml:space="preserve">Direct Variable Expenses</t>
  </si>
  <si>
    <t xml:space="preserve">Average long-run price of electricity</t>
  </si>
  <si>
    <t xml:space="preserve">$ / kWh</t>
  </si>
  <si>
    <t xml:space="preserve">Team target is 0.075</t>
  </si>
  <si>
    <t xml:space="preserve">Truck anti-idling power consumption</t>
  </si>
  <si>
    <t xml:space="preserve">kWh / Hour</t>
  </si>
  <si>
    <t xml:space="preserve">Team Analysis - IdleAire</t>
  </si>
  <si>
    <t xml:space="preserve">Incremental power required from anti-idling units for accessories</t>
  </si>
  <si>
    <t xml:space="preserve">Reefer anti-idling power consumption</t>
  </si>
  <si>
    <t xml:space="preserve">Total anti-idling power consumption</t>
  </si>
  <si>
    <t xml:space="preserve">Total power consumption</t>
  </si>
  <si>
    <t xml:space="preserve">kWh / Year</t>
  </si>
  <si>
    <t xml:space="preserve">Electricity cost</t>
  </si>
  <si>
    <t xml:space="preserve">Fleet card fees @ percentage of revenues</t>
  </si>
  <si>
    <t xml:space="preserve">IA</t>
  </si>
  <si>
    <t xml:space="preserve">Other direct variable expenses @ percentage of revenues</t>
  </si>
  <si>
    <t xml:space="preserve">Operating Expense</t>
  </si>
  <si>
    <t xml:space="preserve">Casualty &amp; property insurance</t>
  </si>
  <si>
    <t xml:space="preserve">$ / Unit</t>
  </si>
  <si>
    <t xml:space="preserve">Anti-idling units repairs</t>
  </si>
  <si>
    <t xml:space="preserve">Accident &amp; vandalism</t>
  </si>
  <si>
    <t xml:space="preserve">Telephone services</t>
  </si>
  <si>
    <t xml:space="preserve">Cable TV services</t>
  </si>
  <si>
    <t xml:space="preserve">WAN</t>
  </si>
  <si>
    <t xml:space="preserve">$ / TS</t>
  </si>
  <si>
    <t xml:space="preserve">Anti-idling units installation</t>
  </si>
  <si>
    <t xml:space="preserve">Back office fulfillment, operations &amp; reservation system</t>
  </si>
  <si>
    <t xml:space="preserve">S G &amp; A</t>
  </si>
  <si>
    <t xml:space="preserve">R&amp;D @ Revenues @ 1 MM cap</t>
  </si>
  <si>
    <t xml:space="preserve">Capex &amp; Depreciation</t>
  </si>
  <si>
    <t xml:space="preserve">Average number of units required</t>
  </si>
  <si>
    <t xml:space="preserve">Team Analysis / NPW / AOL</t>
  </si>
  <si>
    <t xml:space="preserve">New aniti-idling parking required</t>
  </si>
  <si>
    <t xml:space="preserve">Units / Year</t>
  </si>
  <si>
    <t xml:space="preserve">Construction lead time</t>
  </si>
  <si>
    <t xml:space="preserve">Months</t>
  </si>
  <si>
    <t xml:space="preserve">Team Analysis (IA)</t>
  </si>
  <si>
    <t xml:space="preserve">Required units built</t>
  </si>
  <si>
    <t xml:space="preserve">All-In Anti-Idling Unit cost</t>
  </si>
  <si>
    <t xml:space="preserve">Total Operations Capex</t>
  </si>
  <si>
    <t xml:space="preserve">Initial development cost (Capex)</t>
  </si>
  <si>
    <t xml:space="preserve">Usage life</t>
  </si>
  <si>
    <t xml:space="preserve">Years</t>
  </si>
  <si>
    <t xml:space="preserve">Depreciation @ Years</t>
  </si>
  <si>
    <t xml:space="preserve">Total Operating Costs</t>
  </si>
  <si>
    <t xml:space="preserve">Opex and R&amp;D</t>
  </si>
  <si>
    <t xml:space="preserve">Total</t>
  </si>
  <si>
    <t xml:space="preserve">MAIN CONCEPTS</t>
  </si>
  <si>
    <t xml:space="preserve">Maximum</t>
  </si>
  <si>
    <t xml:space="preserve">Average</t>
  </si>
  <si>
    <t xml:space="preserve">Minimum</t>
  </si>
  <si>
    <t xml:space="preserve">FUEL SAVINGS TRUCK</t>
  </si>
  <si>
    <t xml:space="preserve">Average days trucks spent on the road</t>
  </si>
  <si>
    <t xml:space="preserve">Average hours driven per day</t>
  </si>
  <si>
    <t xml:space="preserve">Mandatory Idling ratio to hours driven</t>
  </si>
  <si>
    <t xml:space="preserve">Idling : Hours</t>
  </si>
  <si>
    <t xml:space="preserve">Average idling time</t>
  </si>
  <si>
    <t xml:space="preserve">Average hours inside truck</t>
  </si>
  <si>
    <t xml:space="preserve">Cost of diesel</t>
  </si>
  <si>
    <t xml:space="preserve">Diesel consumption while idling</t>
  </si>
  <si>
    <t xml:space="preserve">Net idling cost of fuel</t>
  </si>
  <si>
    <t xml:space="preserve">$ / Day</t>
  </si>
  <si>
    <t xml:space="preserve">`</t>
  </si>
  <si>
    <t xml:space="preserve">WEAR &amp; TEAR</t>
  </si>
  <si>
    <t xml:space="preserve">Miles equivalent wear &amp; tear per hour of net idling</t>
  </si>
  <si>
    <t xml:space="preserve">Net cost per idling mile</t>
  </si>
  <si>
    <t xml:space="preserve">Net wear &amp; tear cost</t>
  </si>
  <si>
    <t xml:space="preserve">Net idling cost of wear &amp; tear</t>
  </si>
  <si>
    <t xml:space="preserve">TOTAL AVERAGE SAVINGS OR OPPORTUNITY COST FROM IDLING</t>
  </si>
  <si>
    <t xml:space="preserve">Total net anti-idling direct savings</t>
  </si>
  <si>
    <t xml:space="preserve">ANTI-IDLING UNITS BUIL-UP</t>
  </si>
  <si>
    <t xml:space="preserve">Average parking places per truck stops</t>
  </si>
  <si>
    <t xml:space="preserve">Major truck stops in the US</t>
  </si>
  <si>
    <t xml:space="preserve">Long-haul TL places at truck stops in the US</t>
  </si>
  <si>
    <t xml:space="preserve">Capacity target</t>
  </si>
  <si>
    <t xml:space="preserve">Trucks</t>
  </si>
  <si>
    <t xml:space="preserve">Average number of days on the road</t>
  </si>
  <si>
    <t xml:space="preserve">Days</t>
  </si>
  <si>
    <t xml:space="preserve">Gross average idling time</t>
  </si>
  <si>
    <t xml:space="preserve">DOT Simutaneous trucks on the road @ any given moment</t>
  </si>
  <si>
    <t xml:space="preserve">Simultaneous trucks on the road</t>
  </si>
  <si>
    <t xml:space="preserve">Shifts per antl-Idling unit</t>
  </si>
  <si>
    <t xml:space="preserve">Gross number of anti-idling units required</t>
  </si>
  <si>
    <t xml:space="preserve">Capacity utilization @ truck stops</t>
  </si>
  <si>
    <t xml:space="preserve">Net number of anti-idling units required</t>
  </si>
  <si>
    <t xml:space="preserve">Average number of anti-idling units per truck stops</t>
  </si>
  <si>
    <t xml:space="preserve">Number of truck stops equipped</t>
  </si>
  <si>
    <t xml:space="preserve">Market share of total US MAJOR LH-TL truck stops</t>
  </si>
  <si>
    <t xml:space="preserve">Market share of total US MAJOR LH-TL truck stops parking places</t>
  </si>
  <si>
    <t xml:space="preserve">Total installed capacity</t>
  </si>
  <si>
    <t xml:space="preserve">Gross Idling capacity utlization</t>
  </si>
  <si>
    <t xml:space="preserve">Net number of hours spent idling inside the truck</t>
  </si>
  <si>
    <t xml:space="preserve">Net idling (revenue driven) capacity utilization</t>
  </si>
  <si>
    <t xml:space="preserve">Units per truck installed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</si>
</sst>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0%"/>
    <numFmt numFmtId="167" formatCode="_(* #,##0_);_(* \(#,##0\);_(* \-??_);_(@_)"/>
    <numFmt numFmtId="168" formatCode="0.00%"/>
    <numFmt numFmtId="169" formatCode="_(* #,##0.0_);_(* \(#,##0.0\);_(* \-??_);_(@_)"/>
    <numFmt numFmtId="170" formatCode="_(* #,##0.000_);_(* \(#,##0.000\);_(* \-??_);_(@_)"/>
    <numFmt numFmtId="171" formatCode="_(\$* #,##0.00_);_(\$* \(#,##0.00\);_(\$* \-??_);_(@_)"/>
    <numFmt numFmtId="172" formatCode="0.0%"/>
    <numFmt numFmtId="173" formatCode="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b val="true"/>
      <sz val="8"/>
      <name val="Arial Narrow"/>
      <family val="2"/>
    </font>
    <font>
      <sz val="8"/>
      <color rgb="FFFF0000"/>
      <name val="Arial Narrow"/>
      <family val="2"/>
    </font>
    <font>
      <u val="single"/>
      <sz val="8"/>
      <name val="Arial Narrow"/>
      <family val="2"/>
    </font>
    <font>
      <b val="true"/>
      <u val="single"/>
      <sz val="8"/>
      <name val="Arial Narrow"/>
      <family val="2"/>
    </font>
    <font>
      <b val="true"/>
      <sz val="8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1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3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5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6" fillId="3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3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3" borderId="3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3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2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3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2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2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15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left" vertical="bottom" textRotation="0" wrapText="false" indent="4" shrinkToFit="false"/>
      <protection locked="true" hidden="false"/>
    </xf>
    <xf numFmtId="165" fontId="4" fillId="0" borderId="0" xfId="15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66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3" borderId="1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3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1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3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3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3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2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2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3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6" fillId="3" borderId="0" xfId="15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65" fontId="4" fillId="0" borderId="0" xfId="15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66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5" fillId="2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5" fillId="2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2" borderId="3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5" fillId="2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5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2" borderId="1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5" fillId="2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2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3" borderId="1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3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2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9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2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1.99"/>
    <col collapsed="false" customWidth="true" hidden="false" outlineLevel="0" max="2" min="2" style="2" width="2.56"/>
    <col collapsed="false" customWidth="true" hidden="false" outlineLevel="0" max="3" min="3" style="3" width="3.56"/>
    <col collapsed="false" customWidth="true" hidden="false" outlineLevel="0" max="4" min="4" style="3" width="8.85"/>
    <col collapsed="false" customWidth="false" hidden="false" outlineLevel="0" max="5" min="5" style="3" width="9.14"/>
    <col collapsed="false" customWidth="true" hidden="false" outlineLevel="0" max="11" min="6" style="3" width="9.56"/>
    <col collapsed="false" customWidth="true" hidden="false" outlineLevel="0" max="14" min="12" style="3" width="10.28"/>
    <col collapsed="false" customWidth="true" hidden="false" outlineLevel="0" max="15" min="15" style="3" width="33.41"/>
    <col collapsed="false" customWidth="false" hidden="false" outlineLevel="0" max="257" min="16" style="3" width="9.14"/>
  </cols>
  <sheetData>
    <row r="1" customFormat="false" ht="13.5" hidden="false" customHeight="false" outlineLevel="0" collapsed="false">
      <c r="A1" s="4" t="s">
        <v>0</v>
      </c>
      <c r="B1" s="5"/>
      <c r="C1" s="6" t="str">
        <f aca="false">Revenue!C$1</f>
        <v>@</v>
      </c>
      <c r="D1" s="6" t="n">
        <f aca="false">Revenue!D$1</f>
        <v>0</v>
      </c>
      <c r="E1" s="6" t="n">
        <f aca="false">Revenue!E$1</f>
        <v>1</v>
      </c>
      <c r="F1" s="6" t="n">
        <f aca="false">Revenue!F$1</f>
        <v>2</v>
      </c>
      <c r="G1" s="6" t="n">
        <f aca="false">Revenue!G$1</f>
        <v>3</v>
      </c>
      <c r="H1" s="6" t="n">
        <f aca="false">Revenue!H$1</f>
        <v>4</v>
      </c>
      <c r="I1" s="6" t="n">
        <f aca="false">Revenue!I$1</f>
        <v>5</v>
      </c>
      <c r="J1" s="6" t="n">
        <f aca="false">Revenue!J$1</f>
        <v>6</v>
      </c>
      <c r="K1" s="6" t="n">
        <f aca="false">Revenue!K$1</f>
        <v>7</v>
      </c>
      <c r="L1" s="6" t="n">
        <f aca="false">Revenue!L$1</f>
        <v>8</v>
      </c>
      <c r="M1" s="6" t="n">
        <f aca="false">Revenue!M$1</f>
        <v>9</v>
      </c>
      <c r="N1" s="6" t="n">
        <f aca="false">Revenue!N$1</f>
        <v>10</v>
      </c>
      <c r="O1" s="1"/>
    </row>
    <row r="2" customFormat="false" ht="12.75" hidden="false" customHeight="false" outlineLevel="0" collapsed="false">
      <c r="A2" s="7" t="s">
        <v>1</v>
      </c>
      <c r="B2" s="8"/>
      <c r="C2" s="9"/>
      <c r="D2" s="10" t="n">
        <f aca="false">+CF!D11</f>
        <v>-4459916.37596082</v>
      </c>
      <c r="E2" s="10" t="n">
        <f aca="false">+CF!E11</f>
        <v>-3135511.59881169</v>
      </c>
      <c r="F2" s="10" t="n">
        <f aca="false">+CF!F11</f>
        <v>4705574.85072241</v>
      </c>
      <c r="G2" s="10" t="n">
        <f aca="false">+CF!G11</f>
        <v>13674479.6703022</v>
      </c>
      <c r="H2" s="10" t="n">
        <f aca="false">+CF!H11</f>
        <v>39277194.5588867</v>
      </c>
      <c r="I2" s="10" t="n">
        <f aca="false">+CF!I11</f>
        <v>97827779.9799826</v>
      </c>
      <c r="J2" s="10" t="n">
        <f aca="false">+CF!J11</f>
        <v>156043855.703226</v>
      </c>
      <c r="K2" s="10" t="n">
        <f aca="false">+CF!K11</f>
        <v>158579135.028245</v>
      </c>
      <c r="L2" s="10" t="n">
        <f aca="false">+CF!L11</f>
        <v>173291778.565711</v>
      </c>
      <c r="M2" s="10" t="n">
        <f aca="false">+CF!M11</f>
        <v>195635266.658453</v>
      </c>
      <c r="N2" s="10" t="n">
        <f aca="false">+CF!N11</f>
        <v>210567885.007501</v>
      </c>
      <c r="O2" s="1"/>
    </row>
    <row r="3" customFormat="false" ht="12.75" hidden="false" customHeight="false" outlineLevel="0" collapsed="false">
      <c r="A3" s="7" t="s">
        <v>2</v>
      </c>
      <c r="B3" s="8"/>
      <c r="C3" s="9"/>
      <c r="D3" s="10" t="n">
        <f aca="false">-CF!D10</f>
        <v>5104823.5491903</v>
      </c>
      <c r="E3" s="10" t="n">
        <f aca="false">-CF!E10</f>
        <v>11477658.7192736</v>
      </c>
      <c r="F3" s="10" t="n">
        <f aca="false">-CF!F10</f>
        <v>19914342.6497684</v>
      </c>
      <c r="G3" s="10" t="n">
        <f aca="false">-CF!G10</f>
        <v>35016163.8888466</v>
      </c>
      <c r="H3" s="10" t="n">
        <f aca="false">-CF!H10</f>
        <v>58893683.6997895</v>
      </c>
      <c r="I3" s="10" t="n">
        <f aca="false">-CF!I10</f>
        <v>72184489.8915728</v>
      </c>
      <c r="J3" s="10" t="n">
        <f aca="false">-CF!J10</f>
        <v>67855327.2924185</v>
      </c>
      <c r="K3" s="10" t="n">
        <f aca="false">-CF!K10</f>
        <v>61523626.1099804</v>
      </c>
      <c r="L3" s="10" t="n">
        <f aca="false">-CF!L10</f>
        <v>48589937.1014008</v>
      </c>
      <c r="M3" s="10" t="n">
        <f aca="false">-CF!M10</f>
        <v>26945593.4878713</v>
      </c>
      <c r="N3" s="10" t="n">
        <f aca="false">-CF!N10</f>
        <v>10262250.2109194</v>
      </c>
      <c r="O3" s="1"/>
    </row>
    <row r="4" customFormat="false" ht="12.75" hidden="false" customHeight="false" outlineLevel="0" collapsed="false">
      <c r="A4" s="7" t="s">
        <v>3</v>
      </c>
      <c r="B4" s="8"/>
      <c r="C4" s="9"/>
      <c r="D4" s="10" t="n">
        <f aca="false">+CF!D16</f>
        <v>-250680.08713702</v>
      </c>
      <c r="E4" s="10" t="n">
        <f aca="false">+CF!E16</f>
        <v>-2459803.48805461</v>
      </c>
      <c r="F4" s="10" t="n">
        <f aca="false">+CF!F16</f>
        <v>-3979255.69377329</v>
      </c>
      <c r="G4" s="10" t="n">
        <f aca="false">+CF!G16</f>
        <v>-6603227.27384864</v>
      </c>
      <c r="H4" s="10" t="n">
        <f aca="false">+CF!H16</f>
        <v>-13511920.5993108</v>
      </c>
      <c r="I4" s="10" t="n">
        <f aca="false">+CF!I16</f>
        <v>-17159622.4173297</v>
      </c>
      <c r="J4" s="10" t="n">
        <f aca="false">+CF!J16</f>
        <v>-8900808.96453577</v>
      </c>
      <c r="K4" s="10" t="n">
        <f aca="false">+CF!K16</f>
        <v>247047.387533933</v>
      </c>
      <c r="L4" s="10" t="n">
        <f aca="false">+CF!L16</f>
        <v>-942975.54600459</v>
      </c>
      <c r="M4" s="10" t="n">
        <f aca="false">+CF!M16</f>
        <v>-893442.9695201</v>
      </c>
      <c r="N4" s="10" t="n">
        <f aca="false">+CF!N16</f>
        <v>-653461.83551269</v>
      </c>
      <c r="O4" s="1"/>
    </row>
    <row r="5" customFormat="false" ht="12.75" hidden="false" customHeight="false" outlineLevel="0" collapsed="false">
      <c r="A5" s="7" t="s">
        <v>4</v>
      </c>
      <c r="B5" s="8"/>
      <c r="C5" s="9"/>
      <c r="D5" s="10" t="n">
        <f aca="false">+CF!D13</f>
        <v>1516371.56752068</v>
      </c>
      <c r="E5" s="10" t="n">
        <f aca="false">+CF!E13</f>
        <v>2029505.5225542</v>
      </c>
      <c r="F5" s="10" t="n">
        <f aca="false">+CF!F13</f>
        <v>340791.058896344</v>
      </c>
      <c r="G5" s="10" t="n">
        <f aca="false">+CF!G13</f>
        <v>-1727984.54541862</v>
      </c>
      <c r="H5" s="10" t="n">
        <f aca="false">+CF!H13</f>
        <v>-8765918.50877553</v>
      </c>
      <c r="I5" s="10" t="n">
        <f aca="false">+CF!I13</f>
        <v>-26547978.8827617</v>
      </c>
      <c r="J5" s="10" t="n">
        <f aca="false">+CF!J13</f>
        <v>-47191367.3222721</v>
      </c>
      <c r="K5" s="10" t="n">
        <f aca="false">+CF!K13</f>
        <v>-53111289.9523515</v>
      </c>
      <c r="L5" s="10" t="n">
        <f aca="false">+CF!L13</f>
        <v>-60154558.8320163</v>
      </c>
      <c r="M5" s="10" t="n">
        <f aca="false">+CF!M13</f>
        <v>-69420993.4487267</v>
      </c>
      <c r="N5" s="10" t="n">
        <f aca="false">+CF!N13</f>
        <v>-76024459.306907</v>
      </c>
      <c r="O5" s="1"/>
    </row>
    <row r="6" customFormat="false" ht="12.75" hidden="false" customHeight="false" outlineLevel="0" collapsed="false">
      <c r="A6" s="11" t="s">
        <v>5</v>
      </c>
      <c r="B6" s="12"/>
      <c r="C6" s="13"/>
      <c r="D6" s="14" t="n">
        <f aca="false">SUM(D2:D5)</f>
        <v>1910598.65361314</v>
      </c>
      <c r="E6" s="14" t="n">
        <f aca="false">SUM(E2:E5)</f>
        <v>7911849.15496147</v>
      </c>
      <c r="F6" s="14" t="n">
        <f aca="false">SUM(F2:F5)</f>
        <v>20981452.8656139</v>
      </c>
      <c r="G6" s="14" t="n">
        <f aca="false">SUM(G2:G5)</f>
        <v>40359431.7398815</v>
      </c>
      <c r="H6" s="14" t="n">
        <f aca="false">SUM(H2:H5)</f>
        <v>75893039.1505898</v>
      </c>
      <c r="I6" s="14" t="n">
        <f aca="false">SUM(I2:I5)</f>
        <v>126304668.571464</v>
      </c>
      <c r="J6" s="14" t="n">
        <f aca="false">SUM(J2:J5)</f>
        <v>167807006.708837</v>
      </c>
      <c r="K6" s="14" t="n">
        <f aca="false">SUM(K2:K5)</f>
        <v>167238518.573408</v>
      </c>
      <c r="L6" s="14" t="n">
        <f aca="false">SUM(L2:L5)</f>
        <v>160784181.289091</v>
      </c>
      <c r="M6" s="14" t="n">
        <f aca="false">SUM(M2:M5)</f>
        <v>152266423.728077</v>
      </c>
      <c r="N6" s="14" t="n">
        <f aca="false">SUM(N2:N5)</f>
        <v>144152214.076001</v>
      </c>
      <c r="O6" s="1"/>
    </row>
    <row r="7" customFormat="false" ht="12.75" hidden="false" customHeight="false" outlineLevel="0" collapsed="false">
      <c r="A7" s="7" t="s">
        <v>6</v>
      </c>
      <c r="B7" s="8"/>
      <c r="C7" s="9"/>
      <c r="D7" s="15" t="n">
        <f aca="false">+CF!D17+CF!D18</f>
        <v>-25524117.7459515</v>
      </c>
      <c r="E7" s="15" t="n">
        <f aca="false">+CF!E17+CF!E18</f>
        <v>-31864175.8504164</v>
      </c>
      <c r="F7" s="15" t="n">
        <f aca="false">+CF!F17+CF!F18</f>
        <v>-42183419.6524743</v>
      </c>
      <c r="G7" s="15" t="n">
        <f aca="false">+CF!G17+CF!G18</f>
        <v>-75509106.1953906</v>
      </c>
      <c r="H7" s="15" t="n">
        <f aca="false">+CF!H17+CF!H18</f>
        <v>-119387599.054715</v>
      </c>
      <c r="I7" s="15" t="n">
        <f aca="false">+CF!I17+CF!I18</f>
        <v>-91978148.7048681</v>
      </c>
      <c r="J7" s="15" t="n">
        <f aca="false">+CF!J17+CF!J18</f>
        <v>-10218362.8546446</v>
      </c>
      <c r="K7" s="15" t="n">
        <f aca="false">+CF!K17+CF!K18</f>
        <v>-10524913.740284</v>
      </c>
      <c r="L7" s="15" t="n">
        <f aca="false">+CF!L17+CF!L18</f>
        <v>-10840661.1524924</v>
      </c>
      <c r="M7" s="15" t="n">
        <f aca="false">+CF!M17+CF!M18</f>
        <v>-11165880.9870672</v>
      </c>
      <c r="N7" s="15" t="n">
        <f aca="false">+CF!N17+CF!N18</f>
        <v>-8561432.32010865</v>
      </c>
      <c r="O7" s="1"/>
    </row>
    <row r="8" customFormat="false" ht="12.75" hidden="false" customHeight="false" outlineLevel="0" collapsed="false">
      <c r="A8" s="11" t="s">
        <v>7</v>
      </c>
      <c r="B8" s="12"/>
      <c r="C8" s="16"/>
      <c r="D8" s="17" t="n">
        <f aca="false">SUM(D7)</f>
        <v>-25524117.7459515</v>
      </c>
      <c r="E8" s="17" t="n">
        <f aca="false">SUM(E7)</f>
        <v>-31864175.8504164</v>
      </c>
      <c r="F8" s="17" t="n">
        <f aca="false">SUM(F7)</f>
        <v>-42183419.6524743</v>
      </c>
      <c r="G8" s="17" t="n">
        <f aca="false">SUM(G7)</f>
        <v>-75509106.1953906</v>
      </c>
      <c r="H8" s="17" t="n">
        <f aca="false">SUM(H7)</f>
        <v>-119387599.054715</v>
      </c>
      <c r="I8" s="17" t="n">
        <f aca="false">SUM(I7)</f>
        <v>-91978148.7048681</v>
      </c>
      <c r="J8" s="17" t="n">
        <f aca="false">SUM(J7)</f>
        <v>-10218362.8546446</v>
      </c>
      <c r="K8" s="17" t="n">
        <f aca="false">SUM(K7)</f>
        <v>-10524913.740284</v>
      </c>
      <c r="L8" s="17" t="n">
        <f aca="false">SUM(L7)</f>
        <v>-10840661.1524924</v>
      </c>
      <c r="M8" s="17" t="n">
        <f aca="false">SUM(M7)</f>
        <v>-11165880.9870672</v>
      </c>
      <c r="N8" s="17" t="n">
        <f aca="false">SUM(N7)</f>
        <v>-8561432.32010865</v>
      </c>
      <c r="O8" s="1"/>
    </row>
    <row r="9" customFormat="false" ht="12.75" hidden="false" customHeight="false" outlineLevel="0" collapsed="false">
      <c r="A9" s="7" t="s">
        <v>8</v>
      </c>
      <c r="B9" s="8"/>
      <c r="C9" s="9"/>
      <c r="D9" s="15" t="n">
        <f aca="false">IF(D6+D8&lt;0,-(D8+D6),0)+IF(C18&lt;0,-C18,0)</f>
        <v>23613519.0923384</v>
      </c>
      <c r="E9" s="15" t="n">
        <f aca="false">IF(E6+E8&lt;0,-(E8+E6),0)+IF(D18&lt;0,-D18,0)</f>
        <v>23952326.6954549</v>
      </c>
      <c r="F9" s="15" t="n">
        <f aca="false">IF(F6+F8&lt;0,-(F8+F6),0)+IF(E18&lt;0,-E18,0)</f>
        <v>24035589.077014</v>
      </c>
      <c r="G9" s="15" t="n">
        <f aca="false">IF(G6+G8&lt;0,-(G8+G6),0)+IF(F18&lt;0,-F18,0)</f>
        <v>40857575.9500443</v>
      </c>
      <c r="H9" s="15" t="n">
        <f aca="false">IF(H6+H8&lt;0,-(H8+H6),0)+IF(G18&lt;0,-G18,0)</f>
        <v>52086732.0879018</v>
      </c>
      <c r="I9" s="15" t="n">
        <f aca="false">IF(I6+I8&lt;0,-(I8+I6),0)+IF(H18&lt;0,-H18,0)</f>
        <v>13495081.2977822</v>
      </c>
      <c r="J9" s="15" t="n">
        <f aca="false">IF(J6+J8&lt;0,-(J8+J6),0)+IF(I18&lt;0,-I18,0)</f>
        <v>19745489.1483304</v>
      </c>
      <c r="K9" s="15" t="n">
        <f aca="false">IF(K6+K8&lt;0,-(K8+K6),0)+IF(J18&lt;0,-J18,0)</f>
        <v>3371376.99982045</v>
      </c>
      <c r="L9" s="15" t="n">
        <f aca="false">IF(L6+L8&lt;0,-(L8+L6),0)+IF(K18&lt;0,-K18,0)</f>
        <v>0</v>
      </c>
      <c r="M9" s="15" t="n">
        <f aca="false">IF(M6+M8&lt;0,-(M8+M6),0)+IF(L18&lt;0,-L18,0)</f>
        <v>0</v>
      </c>
      <c r="N9" s="15" t="n">
        <f aca="false">IF(N6+N8&lt;0,-(N8+N6),0)+IF(M18&lt;0,-M18,0)</f>
        <v>0</v>
      </c>
      <c r="O9" s="1" t="n">
        <f aca="false">SUM(D9:N9)</f>
        <v>201157690.348686</v>
      </c>
    </row>
    <row r="10" customFormat="false" ht="12.75" hidden="false" customHeight="false" outlineLevel="0" collapsed="false">
      <c r="A10" s="7" t="s">
        <v>9</v>
      </c>
      <c r="B10" s="8"/>
      <c r="C10" s="9"/>
      <c r="D10" s="15" t="n">
        <f aca="false">-IF(CF!D20&gt;0,IF(CF!D20&gt;=SUM(C$9:$D9)+SUM(C$10:$D10),SUM(C$9:$D9)+SUM(C$10:$D10),CF!D20),0)</f>
        <v>-0</v>
      </c>
      <c r="E10" s="15" t="n">
        <f aca="false">-IF(CF!E20&gt;0,IF(CF!E20&gt;=SUM(D$9:$D9)+SUM(D$10:$D10),SUM(D$9:$D9)+SUM(D$10:$D10),CF!E20),0)</f>
        <v>-0</v>
      </c>
      <c r="F10" s="15" t="n">
        <f aca="false">-IF(CF!F20&gt;0,IF(CF!F20&gt;=SUM($D$9:E9)+SUM($D$10:E10),SUM($D$9:E9)+SUM($D$10:E10),CF!F20),0)</f>
        <v>-0</v>
      </c>
      <c r="G10" s="15" t="n">
        <f aca="false">-IF(CF!G20&gt;0,IF(CF!G20&gt;=SUM($D$9:F9)+SUM($D$10:F10),SUM($D$9:F9)+SUM($D$10:F10),CF!G20),0)</f>
        <v>-0</v>
      </c>
      <c r="H10" s="15" t="n">
        <f aca="false">-IF(CF!H20&gt;0,IF(CF!H20&gt;=SUM($D$9:G9)+SUM($D$10:G10),SUM($D$9:G9)+SUM($D$10:G10),CF!H20),0)</f>
        <v>-0</v>
      </c>
      <c r="I10" s="15" t="n">
        <f aca="false">-IF(CF!I20&gt;0,IF(CF!I20&gt;=SUM($D$9:H9)+SUM($D$10:H10),SUM($D$9:H9)+SUM($D$10:H10),CF!I20),0)</f>
        <v>-34326519.8665959</v>
      </c>
      <c r="J10" s="15" t="n">
        <f aca="false">-IF(CF!J20&gt;0,IF(CF!J20&gt;=SUM($D$9:I9)+SUM($D$10:I10),SUM($D$9:I9)+SUM($D$10:I10),CF!J20),0)</f>
        <v>-143714304.33394</v>
      </c>
      <c r="K10" s="15" t="n">
        <f aca="false">-IF(CF!K20&gt;0,IF(CF!K20&gt;=SUM($D$9:J9)+SUM($D$10:J10),SUM($D$9:J9)+SUM($D$10:J10),CF!K20),0)</f>
        <v>-19745489.1483304</v>
      </c>
      <c r="L10" s="15" t="n">
        <f aca="false">-IF(CF!L20&gt;0,IF(CF!L20&gt;=SUM($D$9:K9)+SUM($D$10:K10),SUM($D$9:K9)+SUM($D$10:K10),CF!L20),0)</f>
        <v>-3371376.99982044</v>
      </c>
      <c r="M10" s="15" t="n">
        <f aca="false">-IF(CF!M20&gt;0,IF(CF!M20&gt;=SUM($D$9:L9)+SUM($D$10:L10),SUM($D$9:L9)+SUM($D$10:L10),CF!M20),0)</f>
        <v>-0</v>
      </c>
      <c r="N10" s="15" t="n">
        <f aca="false">-IF(CF!N20&gt;0,IF(CF!N20&gt;=SUM($D$9:M9)+SUM($D$10:M10),SUM($D$9:M9)+SUM($D$10:M10),CF!N20),0)</f>
        <v>-0</v>
      </c>
      <c r="O10" s="1" t="n">
        <f aca="false">SUM(D10:N10)</f>
        <v>-201157690.348686</v>
      </c>
    </row>
    <row r="11" customFormat="false" ht="12.75" hidden="false" customHeight="false" outlineLevel="0" collapsed="false">
      <c r="A11" s="7" t="s">
        <v>10</v>
      </c>
      <c r="B11" s="8"/>
      <c r="C11" s="18" t="n">
        <v>0.12</v>
      </c>
      <c r="D11" s="15" t="n">
        <f aca="false">-SUM($C$9:C10)*$C$11+C25*$C$25</f>
        <v>0.0009</v>
      </c>
      <c r="E11" s="15" t="n">
        <f aca="false">-SUM($C$9:D10)*$C$11+D25*$C$25</f>
        <v>-2833622.2910536</v>
      </c>
      <c r="F11" s="15" t="n">
        <f aca="false">-SUM($C$9:E10)*$C$11+E25*$C$25</f>
        <v>-5707901.49453519</v>
      </c>
      <c r="G11" s="15" t="n">
        <f aca="false">-SUM($C$9:F10)*$C$11+F25*$C$25</f>
        <v>-8592172.18377687</v>
      </c>
      <c r="H11" s="15" t="n">
        <f aca="false">-SUM($C$9:G10)*$C$11+G25*$C$25</f>
        <v>-13495081.2977822</v>
      </c>
      <c r="I11" s="15" t="n">
        <f aca="false">-SUM($C$9:H10)*$C$11+H25*$C$25</f>
        <v>-19745489.1483304</v>
      </c>
      <c r="J11" s="15" t="n">
        <f aca="false">-SUM($C$9:I10)*$C$11+I25*$C$25</f>
        <v>-17245716.5200728</v>
      </c>
      <c r="K11" s="15" t="n">
        <f aca="false">-SUM($C$9:J10)*$C$11+J25*$C$25</f>
        <v>-2369458.69779965</v>
      </c>
      <c r="L11" s="15" t="n">
        <f aca="false">-SUM($C$9:K10)*$C$11+K25*$C$25</f>
        <v>3633394.46963137</v>
      </c>
      <c r="M11" s="15" t="n">
        <f aca="false">-SUM($C$9:L10)*$C$11+L25*$C$25</f>
        <v>8544125.83780209</v>
      </c>
      <c r="N11" s="15" t="n">
        <f aca="false">-SUM($C$9:M10)*$C$11+M25*$C$25</f>
        <v>13033465.8951665</v>
      </c>
      <c r="O11" s="1"/>
    </row>
    <row r="12" customFormat="false" ht="12.75" hidden="false" customHeight="false" outlineLevel="0" collapsed="false">
      <c r="A12" s="11" t="s">
        <v>11</v>
      </c>
      <c r="B12" s="12"/>
      <c r="C12" s="16"/>
      <c r="D12" s="17" t="n">
        <f aca="false">SUM(D9:D11)</f>
        <v>23613519.0932384</v>
      </c>
      <c r="E12" s="17" t="n">
        <f aca="false">SUM(E9:E11)</f>
        <v>21118704.4044013</v>
      </c>
      <c r="F12" s="17" t="n">
        <f aca="false">SUM(F9:F11)</f>
        <v>18327687.5824788</v>
      </c>
      <c r="G12" s="17" t="n">
        <f aca="false">SUM(G9:G11)</f>
        <v>32265403.7662674</v>
      </c>
      <c r="H12" s="17" t="n">
        <f aca="false">SUM(H9:H11)</f>
        <v>38591650.7901197</v>
      </c>
      <c r="I12" s="17" t="n">
        <f aca="false">SUM(I9:I11)</f>
        <v>-40576927.7171441</v>
      </c>
      <c r="J12" s="17" t="n">
        <f aca="false">SUM(J9:J11)</f>
        <v>-141214531.705682</v>
      </c>
      <c r="K12" s="17" t="n">
        <f aca="false">SUM(K9:K11)</f>
        <v>-18743570.8463096</v>
      </c>
      <c r="L12" s="17" t="n">
        <f aca="false">SUM(L9:L11)</f>
        <v>262017.469810928</v>
      </c>
      <c r="M12" s="17" t="n">
        <f aca="false">SUM(M9:M11)</f>
        <v>8544125.83780209</v>
      </c>
      <c r="N12" s="17" t="n">
        <f aca="false">SUM(N9:N11)</f>
        <v>13033465.8951665</v>
      </c>
      <c r="O12" s="1"/>
    </row>
    <row r="13" customFormat="false" ht="12.75" hidden="false" customHeight="false" outlineLevel="0" collapsed="false">
      <c r="A13" s="7" t="s">
        <v>12</v>
      </c>
      <c r="B13" s="8"/>
      <c r="C13" s="9"/>
      <c r="D13" s="19" t="n">
        <v>0</v>
      </c>
      <c r="E13" s="15" t="n">
        <v>0</v>
      </c>
      <c r="F13" s="15" t="n">
        <v>0</v>
      </c>
      <c r="G13" s="15" t="n">
        <v>0</v>
      </c>
      <c r="H13" s="15" t="n">
        <v>0</v>
      </c>
      <c r="I13" s="15" t="n">
        <v>0</v>
      </c>
      <c r="J13" s="15" t="n">
        <v>0</v>
      </c>
      <c r="K13" s="15" t="n">
        <v>0</v>
      </c>
      <c r="L13" s="15" t="n">
        <v>0</v>
      </c>
      <c r="M13" s="15" t="n">
        <v>0</v>
      </c>
      <c r="N13" s="15" t="n">
        <v>0</v>
      </c>
      <c r="O13" s="1"/>
    </row>
    <row r="14" customFormat="false" ht="12.75" hidden="false" customHeight="false" outlineLevel="0" collapsed="false">
      <c r="A14" s="7" t="s">
        <v>13</v>
      </c>
      <c r="B14" s="8"/>
      <c r="C14" s="18" t="n">
        <v>0</v>
      </c>
      <c r="D14" s="15" t="n">
        <f aca="false">$C$14*CF!D14</f>
        <v>-0</v>
      </c>
      <c r="E14" s="15" t="n">
        <f aca="false">$C$14*CF!E14</f>
        <v>-0</v>
      </c>
      <c r="F14" s="15" t="n">
        <f aca="false">$C$14*CF!F14</f>
        <v>-0</v>
      </c>
      <c r="G14" s="15" t="n">
        <f aca="false">$C$14*CF!G14</f>
        <v>0</v>
      </c>
      <c r="H14" s="15" t="n">
        <f aca="false">$C$14*CF!H14</f>
        <v>0</v>
      </c>
      <c r="I14" s="15" t="n">
        <f aca="false">$C$14*CF!I14</f>
        <v>0</v>
      </c>
      <c r="J14" s="15" t="n">
        <f aca="false">$C$14*CF!J14</f>
        <v>0</v>
      </c>
      <c r="K14" s="15" t="n">
        <f aca="false">$C$14*CF!K14</f>
        <v>0</v>
      </c>
      <c r="L14" s="15" t="n">
        <f aca="false">$C$14*CF!L14</f>
        <v>0</v>
      </c>
      <c r="M14" s="15" t="n">
        <f aca="false">$C$14*CF!M14</f>
        <v>0</v>
      </c>
      <c r="N14" s="15" t="n">
        <f aca="false">$C$14*CF!N14</f>
        <v>0</v>
      </c>
      <c r="O14" s="1"/>
    </row>
    <row r="15" customFormat="false" ht="12.75" hidden="false" customHeight="false" outlineLevel="0" collapsed="false">
      <c r="A15" s="11" t="s">
        <v>14</v>
      </c>
      <c r="B15" s="12"/>
      <c r="C15" s="16"/>
      <c r="D15" s="17" t="n">
        <f aca="false">+D13+D14</f>
        <v>0</v>
      </c>
      <c r="E15" s="17" t="n">
        <f aca="false">+E13+E14</f>
        <v>0</v>
      </c>
      <c r="F15" s="17" t="n">
        <f aca="false">+F13+F14</f>
        <v>0</v>
      </c>
      <c r="G15" s="17" t="n">
        <f aca="false">+G13+G14</f>
        <v>0</v>
      </c>
      <c r="H15" s="17" t="n">
        <f aca="false">+H13+H14</f>
        <v>0</v>
      </c>
      <c r="I15" s="17" t="n">
        <f aca="false">+I13+I14</f>
        <v>0</v>
      </c>
      <c r="J15" s="17" t="n">
        <f aca="false">+J13+J14</f>
        <v>0</v>
      </c>
      <c r="K15" s="17" t="n">
        <f aca="false">+K13+K14</f>
        <v>0</v>
      </c>
      <c r="L15" s="17" t="n">
        <f aca="false">+L13+L14</f>
        <v>0</v>
      </c>
      <c r="M15" s="17" t="n">
        <f aca="false">+M13+M14</f>
        <v>0</v>
      </c>
      <c r="N15" s="17" t="n">
        <f aca="false">+N13+N14</f>
        <v>0</v>
      </c>
      <c r="O15" s="1"/>
    </row>
    <row r="16" customFormat="false" ht="12.75" hidden="false" customHeight="false" outlineLevel="0" collapsed="false">
      <c r="A16" s="7" t="s">
        <v>15</v>
      </c>
      <c r="B16" s="8"/>
      <c r="C16" s="9"/>
      <c r="D16" s="15" t="n">
        <f aca="false">+D15+D12+D6+D8</f>
        <v>0.000900000333786011</v>
      </c>
      <c r="E16" s="15" t="n">
        <f aca="false">+E15+E12+E6+E8</f>
        <v>-2833622.2910536</v>
      </c>
      <c r="F16" s="15" t="n">
        <f aca="false">+F15+F12+F6+F8</f>
        <v>-2874279.20438159</v>
      </c>
      <c r="G16" s="15" t="n">
        <f aca="false">+G15+G12+G6+G8</f>
        <v>-2884270.68924168</v>
      </c>
      <c r="H16" s="15" t="n">
        <f aca="false">+H15+H12+H6+H8</f>
        <v>-4902909.11400531</v>
      </c>
      <c r="I16" s="15" t="n">
        <f aca="false">+I15+I12+I6+I8</f>
        <v>-6250407.85054824</v>
      </c>
      <c r="J16" s="15" t="n">
        <f aca="false">+J15+J12+J6+J8</f>
        <v>16374112.14851</v>
      </c>
      <c r="K16" s="15" t="n">
        <f aca="false">+K15+K12+K6+K8</f>
        <v>137970033.986815</v>
      </c>
      <c r="L16" s="15" t="n">
        <f aca="false">+L15+L12+L6+L8</f>
        <v>150205537.606409</v>
      </c>
      <c r="M16" s="15" t="n">
        <f aca="false">+M15+M12+M6+M8</f>
        <v>149644668.578812</v>
      </c>
      <c r="N16" s="15" t="n">
        <f aca="false">+N15+N12+N6+N8</f>
        <v>148624247.651059</v>
      </c>
      <c r="O16" s="1"/>
    </row>
    <row r="17" customFormat="false" ht="12.75" hidden="false" customHeight="false" outlineLevel="0" collapsed="false">
      <c r="A17" s="7" t="s">
        <v>16</v>
      </c>
      <c r="B17" s="8"/>
      <c r="C17" s="9"/>
      <c r="D17" s="15" t="n">
        <f aca="false">+C18</f>
        <v>0</v>
      </c>
      <c r="E17" s="15" t="n">
        <f aca="false">+D18</f>
        <v>0.000900000333786011</v>
      </c>
      <c r="F17" s="15" t="n">
        <f aca="false">+E18</f>
        <v>-2833622.2901536</v>
      </c>
      <c r="G17" s="15" t="n">
        <f aca="false">+F18</f>
        <v>-5707901.49453519</v>
      </c>
      <c r="H17" s="15" t="n">
        <f aca="false">+G18</f>
        <v>-8592172.18377687</v>
      </c>
      <c r="I17" s="15" t="n">
        <f aca="false">+H18</f>
        <v>-13495081.2977822</v>
      </c>
      <c r="J17" s="15" t="n">
        <f aca="false">+I18</f>
        <v>-19745489.1483304</v>
      </c>
      <c r="K17" s="15" t="n">
        <f aca="false">+J18</f>
        <v>-3371376.99982045</v>
      </c>
      <c r="L17" s="15" t="n">
        <f aca="false">+K18</f>
        <v>134598656.986994</v>
      </c>
      <c r="M17" s="15" t="n">
        <f aca="false">+L18</f>
        <v>284804194.593403</v>
      </c>
      <c r="N17" s="15" t="n">
        <f aca="false">+M18</f>
        <v>434448863.172215</v>
      </c>
      <c r="O17" s="1"/>
    </row>
    <row r="18" customFormat="false" ht="12.75" hidden="false" customHeight="false" outlineLevel="0" collapsed="false">
      <c r="A18" s="11" t="s">
        <v>17</v>
      </c>
      <c r="B18" s="20"/>
      <c r="C18" s="17"/>
      <c r="D18" s="17" t="n">
        <f aca="false">+D16+D17</f>
        <v>0.000900000333786011</v>
      </c>
      <c r="E18" s="17" t="n">
        <f aca="false">+E16+E17</f>
        <v>-2833622.2901536</v>
      </c>
      <c r="F18" s="17" t="n">
        <f aca="false">+F16+F17</f>
        <v>-5707901.49453519</v>
      </c>
      <c r="G18" s="17" t="n">
        <f aca="false">+G16+G17</f>
        <v>-8592172.18377687</v>
      </c>
      <c r="H18" s="17" t="n">
        <f aca="false">+H16+H17</f>
        <v>-13495081.2977822</v>
      </c>
      <c r="I18" s="17" t="n">
        <f aca="false">+I16+I17</f>
        <v>-19745489.1483304</v>
      </c>
      <c r="J18" s="17" t="n">
        <f aca="false">+J16+J17</f>
        <v>-3371376.99982045</v>
      </c>
      <c r="K18" s="17" t="n">
        <f aca="false">+K16+K17</f>
        <v>134598656.986994</v>
      </c>
      <c r="L18" s="17" t="n">
        <f aca="false">+L16+L17</f>
        <v>284804194.593403</v>
      </c>
      <c r="M18" s="17" t="n">
        <f aca="false">+M16+M17</f>
        <v>434448863.172215</v>
      </c>
      <c r="N18" s="17" t="n">
        <f aca="false">+N16+N17</f>
        <v>583073110.823274</v>
      </c>
      <c r="O18" s="1"/>
    </row>
    <row r="19" customFormat="false" ht="12.75" hidden="false" customHeight="false" outlineLevel="0" collapsed="false">
      <c r="A19" s="7" t="s">
        <v>18</v>
      </c>
      <c r="B19" s="21"/>
      <c r="C19" s="22"/>
      <c r="D19" s="15" t="n">
        <f aca="false">IF(+D35-C35&gt;0,D35-C35,0)</f>
        <v>0</v>
      </c>
      <c r="E19" s="15" t="n">
        <f aca="false">IF(+E35-D35&gt;0,E35-D35,0)</f>
        <v>2833622.2901536</v>
      </c>
      <c r="F19" s="15" t="n">
        <f aca="false">IF(+F35-E35&gt;0,F35-E35,0)</f>
        <v>2874279.20438159</v>
      </c>
      <c r="G19" s="15" t="n">
        <f aca="false">IF(+G35-F35&gt;0,G35-F35,0)</f>
        <v>2884270.68924168</v>
      </c>
      <c r="H19" s="15" t="n">
        <f aca="false">IF(+H35-G35&gt;0,H35-G35,0)</f>
        <v>4902909.11400531</v>
      </c>
      <c r="I19" s="15" t="n">
        <f aca="false">IF(+I35-H35&gt;0,I35-H35,0)</f>
        <v>6250407.85054824</v>
      </c>
      <c r="J19" s="15" t="n">
        <f aca="false">IF(+J35-I35&gt;0,J35-I35,0)</f>
        <v>0</v>
      </c>
      <c r="K19" s="15" t="n">
        <f aca="false">IF(+K35-J35&gt;0,K35-J35,0)</f>
        <v>0</v>
      </c>
      <c r="L19" s="15" t="n">
        <f aca="false">IF(+L35-K35&gt;0,L35-K35,0)</f>
        <v>0</v>
      </c>
      <c r="M19" s="15" t="n">
        <f aca="false">IF(+M35-L35&gt;0,M35-L35,0)</f>
        <v>0</v>
      </c>
      <c r="N19" s="15" t="n">
        <f aca="false">IF(+N35-M35&gt;0,N35-M35,0)</f>
        <v>0</v>
      </c>
      <c r="O19" s="1"/>
    </row>
    <row r="20" customFormat="false" ht="12.75" hidden="false" customHeight="false" outlineLevel="0" collapsed="false">
      <c r="A20" s="7" t="s">
        <v>19</v>
      </c>
      <c r="B20" s="21"/>
      <c r="C20" s="22"/>
      <c r="D20" s="15" t="n">
        <f aca="false">IF(D35-C35&lt;0,D35-C35,0)</f>
        <v>0</v>
      </c>
      <c r="E20" s="15" t="n">
        <f aca="false">IF(E35-D35&lt;0,E35-D35,0)</f>
        <v>0</v>
      </c>
      <c r="F20" s="15" t="n">
        <f aca="false">IF(F35-E35&lt;0,F35-E35,0)</f>
        <v>0</v>
      </c>
      <c r="G20" s="15" t="n">
        <f aca="false">IF(G35-F35&lt;0,G35-F35,0)</f>
        <v>0</v>
      </c>
      <c r="H20" s="15" t="n">
        <f aca="false">IF(H35-G35&lt;0,H35-G35,0)</f>
        <v>0</v>
      </c>
      <c r="I20" s="15" t="n">
        <f aca="false">IF(I35-H35&lt;0,I35-H35,0)</f>
        <v>0</v>
      </c>
      <c r="J20" s="15" t="n">
        <f aca="false">IF(J35-I35&lt;0,J35-I35,0)</f>
        <v>-16374112.14851</v>
      </c>
      <c r="K20" s="15" t="n">
        <f aca="false">IF(K35-J35&lt;0,K35-J35,0)</f>
        <v>-3371376.99982045</v>
      </c>
      <c r="L20" s="15" t="n">
        <f aca="false">IF(L35-K35&lt;0,L35-K35,0)</f>
        <v>0</v>
      </c>
      <c r="M20" s="15" t="n">
        <f aca="false">IF(M35-L35&lt;0,M35-L35,0)</f>
        <v>0</v>
      </c>
      <c r="N20" s="15" t="n">
        <f aca="false">IF(N35-M35&lt;0,N35-M35,0)</f>
        <v>0</v>
      </c>
      <c r="O20" s="1"/>
    </row>
    <row r="21" customFormat="false" ht="12.75" hidden="false" customHeight="false" outlineLevel="0" collapsed="false">
      <c r="A21" s="11" t="s">
        <v>20</v>
      </c>
      <c r="B21" s="23"/>
      <c r="C21" s="24"/>
      <c r="D21" s="17" t="n">
        <f aca="false">+D19+D20</f>
        <v>0</v>
      </c>
      <c r="E21" s="17" t="n">
        <f aca="false">+E19+E20</f>
        <v>2833622.2901536</v>
      </c>
      <c r="F21" s="17" t="n">
        <f aca="false">+F19+F20</f>
        <v>2874279.20438159</v>
      </c>
      <c r="G21" s="17" t="n">
        <f aca="false">+G19+G20</f>
        <v>2884270.68924168</v>
      </c>
      <c r="H21" s="17" t="n">
        <f aca="false">+H19+H20</f>
        <v>4902909.11400531</v>
      </c>
      <c r="I21" s="17" t="n">
        <f aca="false">+I19+I20</f>
        <v>6250407.85054824</v>
      </c>
      <c r="J21" s="17" t="n">
        <f aca="false">+J19+J20</f>
        <v>-16374112.14851</v>
      </c>
      <c r="K21" s="17" t="n">
        <f aca="false">+K19+K20</f>
        <v>-3371376.99982045</v>
      </c>
      <c r="L21" s="17" t="n">
        <f aca="false">+L19+L20</f>
        <v>0</v>
      </c>
      <c r="M21" s="17" t="n">
        <f aca="false">+M19+M20</f>
        <v>0</v>
      </c>
      <c r="N21" s="17" t="n">
        <f aca="false">+N19+N20</f>
        <v>0</v>
      </c>
      <c r="O21" s="25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  <c r="IU21" s="26"/>
      <c r="IV21" s="26"/>
      <c r="IW21" s="26"/>
    </row>
    <row r="22" customFormat="false" ht="12.75" hidden="false" customHeight="false" outlineLevel="0" collapsed="false">
      <c r="A22" s="27"/>
      <c r="B22" s="21"/>
      <c r="C22" s="22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"/>
    </row>
    <row r="23" customFormat="false" ht="13.5" hidden="false" customHeight="false" outlineLevel="0" collapsed="false">
      <c r="A23" s="4" t="s">
        <v>21</v>
      </c>
      <c r="B23" s="5"/>
      <c r="C23" s="6" t="str">
        <f aca="false">Revenue!C$1</f>
        <v>@</v>
      </c>
      <c r="D23" s="6" t="n">
        <f aca="false">Revenue!D$1</f>
        <v>0</v>
      </c>
      <c r="E23" s="6" t="n">
        <f aca="false">Revenue!E$1</f>
        <v>1</v>
      </c>
      <c r="F23" s="6" t="n">
        <f aca="false">Revenue!F$1</f>
        <v>2</v>
      </c>
      <c r="G23" s="6" t="n">
        <f aca="false">Revenue!G$1</f>
        <v>3</v>
      </c>
      <c r="H23" s="6" t="n">
        <f aca="false">Revenue!H$1</f>
        <v>4</v>
      </c>
      <c r="I23" s="6" t="n">
        <f aca="false">Revenue!I$1</f>
        <v>5</v>
      </c>
      <c r="J23" s="6" t="n">
        <f aca="false">Revenue!J$1</f>
        <v>6</v>
      </c>
      <c r="K23" s="6" t="n">
        <f aca="false">Revenue!K$1</f>
        <v>7</v>
      </c>
      <c r="L23" s="6" t="n">
        <f aca="false">Revenue!L$1</f>
        <v>8</v>
      </c>
      <c r="M23" s="6" t="n">
        <f aca="false">Revenue!M$1</f>
        <v>9</v>
      </c>
      <c r="N23" s="6" t="n">
        <f aca="false">Revenue!N$1</f>
        <v>10</v>
      </c>
      <c r="O23" s="1"/>
    </row>
    <row r="24" customFormat="false" ht="12.75" hidden="false" customHeight="false" outlineLevel="0" collapsed="false">
      <c r="A24" s="27" t="s">
        <v>22</v>
      </c>
      <c r="B24" s="21" t="s">
        <v>23</v>
      </c>
      <c r="C24" s="19" t="n">
        <v>15</v>
      </c>
      <c r="D24" s="15" t="n">
        <f aca="false">CF!D5/365*$C$24</f>
        <v>88610.2955907534</v>
      </c>
      <c r="E24" s="15" t="n">
        <f aca="false">CF!E5/365*$C$24</f>
        <v>986260.052683183</v>
      </c>
      <c r="F24" s="15" t="n">
        <f aca="false">CF!F5/365*$C$24</f>
        <v>2414044.80532923</v>
      </c>
      <c r="G24" s="15" t="n">
        <f aca="false">CF!G5/365*$C$24</f>
        <v>4805821.96761075</v>
      </c>
      <c r="H24" s="15" t="n">
        <f aca="false">CF!H5/365*$C$24</f>
        <v>9703968.75755941</v>
      </c>
      <c r="I24" s="15" t="n">
        <f aca="false">CF!I5/365*$C$24</f>
        <v>15883394.6069841</v>
      </c>
      <c r="J24" s="15" t="n">
        <f aca="false">CF!J5/365*$C$24</f>
        <v>18998473.6400401</v>
      </c>
      <c r="K24" s="15" t="n">
        <f aca="false">CF!K5/365*$C$24</f>
        <v>18956463.8725102</v>
      </c>
      <c r="L24" s="15" t="n">
        <f aca="false">CF!L5/365*$C$24</f>
        <v>19337976.5535793</v>
      </c>
      <c r="M24" s="15" t="n">
        <f aca="false">CF!M5/365*$C$24</f>
        <v>19719260.8774099</v>
      </c>
      <c r="N24" s="15" t="n">
        <f aca="false">CF!N5/365*$C$24</f>
        <v>20042456.7578945</v>
      </c>
      <c r="O24" s="1"/>
    </row>
    <row r="25" customFormat="false" ht="12.75" hidden="false" customHeight="false" outlineLevel="0" collapsed="false">
      <c r="A25" s="27" t="s">
        <v>24</v>
      </c>
      <c r="B25" s="21" t="s">
        <v>23</v>
      </c>
      <c r="C25" s="28" t="n">
        <v>0.03</v>
      </c>
      <c r="D25" s="15" t="n">
        <f aca="false">IF(D18&gt;0,D18,0)</f>
        <v>0.000900000333786011</v>
      </c>
      <c r="E25" s="15" t="n">
        <f aca="false">IF(E18&gt;0,E18,0)</f>
        <v>0</v>
      </c>
      <c r="F25" s="15" t="n">
        <f aca="false">IF(F18&gt;0,F18,0)</f>
        <v>0</v>
      </c>
      <c r="G25" s="15" t="n">
        <f aca="false">IF(G18&gt;0,G18,0)</f>
        <v>0</v>
      </c>
      <c r="H25" s="15" t="n">
        <f aca="false">IF(H18&gt;0,H18,0)</f>
        <v>0</v>
      </c>
      <c r="I25" s="15" t="n">
        <f aca="false">IF(I18&gt;0,I18,0)</f>
        <v>0</v>
      </c>
      <c r="J25" s="15" t="n">
        <f aca="false">IF(J18&gt;0,J18,0)</f>
        <v>0</v>
      </c>
      <c r="K25" s="15" t="n">
        <f aca="false">IF(K18&gt;0,K18,0)</f>
        <v>134598656.986994</v>
      </c>
      <c r="L25" s="15" t="n">
        <f aca="false">IF(L18&gt;0,L18,0)</f>
        <v>284804194.593403</v>
      </c>
      <c r="M25" s="15" t="n">
        <f aca="false">IF(M18&gt;0,M18,0)</f>
        <v>434448863.172215</v>
      </c>
      <c r="N25" s="15" t="n">
        <f aca="false">IF(N18&gt;0,N18,0)</f>
        <v>583073110.823274</v>
      </c>
      <c r="O25" s="1"/>
    </row>
    <row r="26" customFormat="false" ht="12.75" hidden="false" customHeight="false" outlineLevel="0" collapsed="false">
      <c r="A26" s="27" t="s">
        <v>25</v>
      </c>
      <c r="B26" s="21" t="s">
        <v>23</v>
      </c>
      <c r="C26" s="19" t="n">
        <v>30</v>
      </c>
      <c r="D26" s="15" t="n">
        <f aca="false">$C$26*(CF!D3/365)</f>
        <v>238190.162671233</v>
      </c>
      <c r="E26" s="15" t="n">
        <f aca="false">$C$26*(CF!E3/365)</f>
        <v>2537135.89970758</v>
      </c>
      <c r="F26" s="15" t="n">
        <f aca="false">$C$26*(CF!F3/365)</f>
        <v>6294732.98291146</v>
      </c>
      <c r="G26" s="15" t="n">
        <f aca="false">$C$26*(CF!G3/365)</f>
        <v>12503941.2792557</v>
      </c>
      <c r="H26" s="15" t="n">
        <f aca="false">$C$26*(CF!H3/365)</f>
        <v>25219983.737096</v>
      </c>
      <c r="I26" s="15" t="n">
        <f aca="false">$C$26*(CF!I3/365)</f>
        <v>41475086.9031007</v>
      </c>
      <c r="J26" s="15" t="n">
        <f aca="false">$C$26*(CF!J3/365)</f>
        <v>50133847.1268705</v>
      </c>
      <c r="K26" s="15" t="n">
        <f aca="false">$C$26*(CF!K3/365)</f>
        <v>49979889.5195652</v>
      </c>
      <c r="L26" s="15" t="n">
        <f aca="false">$C$26*(CF!L3/365)</f>
        <v>51034134.5523708</v>
      </c>
      <c r="M26" s="15" t="n">
        <f aca="false">$C$26*(CF!M3/365)</f>
        <v>52123832.9798778</v>
      </c>
      <c r="N26" s="15" t="n">
        <f aca="false">$C$26*(CF!N3/365)</f>
        <v>53106276.6155587</v>
      </c>
      <c r="O26" s="1"/>
    </row>
    <row r="27" customFormat="false" ht="12.75" hidden="false" customHeight="false" outlineLevel="0" collapsed="false">
      <c r="A27" s="27" t="s">
        <v>26</v>
      </c>
      <c r="B27" s="21" t="s">
        <v>23</v>
      </c>
      <c r="C27" s="19" t="n">
        <v>30</v>
      </c>
      <c r="D27" s="15" t="n">
        <f aca="false">$C$27*SUM(Costs!D35,Costs!D36,Costs!D41,Costs!D44)/365</f>
        <v>31881.5304815283</v>
      </c>
      <c r="E27" s="15" t="n">
        <f aca="false">$C$27*SUM(Costs!E35,Costs!E36,Costs!E41,Costs!E44)/365</f>
        <v>310983.115632095</v>
      </c>
      <c r="F27" s="15" t="n">
        <f aca="false">$C$27*SUM(Costs!F35,Costs!F36,Costs!F41,Costs!F44)/365</f>
        <v>501055.923003867</v>
      </c>
      <c r="G27" s="15" t="n">
        <f aca="false">$C$27*SUM(Costs!G35,Costs!G36,Costs!G41,Costs!G44)/365</f>
        <v>984695.482761908</v>
      </c>
      <c r="H27" s="15" t="n">
        <f aca="false">$C$27*SUM(Costs!H35,Costs!H36,Costs!H41,Costs!H44)/365</f>
        <v>1941349.4068183</v>
      </c>
      <c r="I27" s="15" t="n">
        <f aca="false">$C$27*SUM(Costs!I35,Costs!I36,Costs!I41,Costs!I44)/365</f>
        <v>2544130.29306004</v>
      </c>
      <c r="J27" s="15" t="n">
        <f aca="false">$C$27*SUM(Costs!J35,Costs!J36,Costs!J41,Costs!J44)/365</f>
        <v>1772440.80737905</v>
      </c>
      <c r="K27" s="15" t="n">
        <f aca="false">$C$27*SUM(Costs!K35,Costs!K36,Costs!K41,Costs!K44)/365</f>
        <v>1823148.27817576</v>
      </c>
      <c r="L27" s="15" t="n">
        <f aca="false">$C$27*SUM(Costs!L35,Costs!L36,Costs!L41,Costs!L44)/365</f>
        <v>1875376.97309638</v>
      </c>
      <c r="M27" s="15" t="n">
        <f aca="false">$C$27*SUM(Costs!M35,Costs!M36,Costs!M41,Costs!M44)/365</f>
        <v>1929172.52886461</v>
      </c>
      <c r="N27" s="15" t="n">
        <f aca="false">$C$27*SUM(Costs!N35,Costs!N36,Costs!N41,Costs!N44)/365</f>
        <v>1984581.95130589</v>
      </c>
      <c r="O27" s="1"/>
    </row>
    <row r="28" customFormat="false" ht="12.75" hidden="false" customHeight="false" outlineLevel="0" collapsed="false">
      <c r="A28" s="27" t="s">
        <v>27</v>
      </c>
      <c r="B28" s="21" t="s">
        <v>23</v>
      </c>
      <c r="C28" s="19" t="n">
        <v>30</v>
      </c>
      <c r="D28" s="15" t="n">
        <f aca="false">$C$28*SUM(Costs!D42:D43)/365</f>
        <v>27645.7483506708</v>
      </c>
      <c r="E28" s="15" t="n">
        <f aca="false">$C$28*SUM(Costs!E42:E43)/365</f>
        <v>284751.208011909</v>
      </c>
      <c r="F28" s="15" t="n">
        <f aca="false">$C$28*SUM(Costs!F42:F43)/365</f>
        <v>586587.488504533</v>
      </c>
      <c r="G28" s="15" t="n">
        <f aca="false">$C$28*SUM(Costs!G42:G43)/365</f>
        <v>1208370.22631934</v>
      </c>
      <c r="H28" s="15" t="n">
        <f aca="false">$C$28*SUM(Costs!H42:H43)/365</f>
        <v>2489242.66621784</v>
      </c>
      <c r="I28" s="15" t="n">
        <f aca="false">$C$28*SUM(Costs!I42:I43)/365</f>
        <v>3845879.91930656</v>
      </c>
      <c r="J28" s="15" t="n">
        <f aca="false">$C$28*SUM(Costs!J42:J43)/365</f>
        <v>3961256.31688575</v>
      </c>
      <c r="K28" s="15" t="n">
        <f aca="false">$C$28*SUM(Costs!K42:K43)/365</f>
        <v>4080094.00639233</v>
      </c>
      <c r="L28" s="15" t="n">
        <f aca="false">$C$28*SUM(Costs!L42:L43)/365</f>
        <v>4202496.8265841</v>
      </c>
      <c r="M28" s="15" t="n">
        <f aca="false">$C$28*SUM(Costs!M42:M43)/365</f>
        <v>4328571.73138162</v>
      </c>
      <c r="N28" s="15" t="n">
        <f aca="false">$C$28*SUM(Costs!N42:N43)/365</f>
        <v>4458428.88332307</v>
      </c>
      <c r="O28" s="1"/>
    </row>
    <row r="29" customFormat="false" ht="12.75" hidden="false" customHeight="false" outlineLevel="0" collapsed="false">
      <c r="A29" s="29" t="s">
        <v>28</v>
      </c>
      <c r="B29" s="30" t="s">
        <v>23</v>
      </c>
      <c r="C29" s="31"/>
      <c r="D29" s="32" t="n">
        <f aca="false">SUM(D24:D28)</f>
        <v>386327.737994186</v>
      </c>
      <c r="E29" s="32" t="n">
        <f aca="false">SUM(E24:E28)</f>
        <v>4119130.27603476</v>
      </c>
      <c r="F29" s="32" t="n">
        <f aca="false">SUM(F24:F28)</f>
        <v>9796421.19974909</v>
      </c>
      <c r="G29" s="32" t="n">
        <f aca="false">SUM(G24:G28)</f>
        <v>19502828.9559476</v>
      </c>
      <c r="H29" s="32" t="n">
        <f aca="false">SUM(H24:H28)</f>
        <v>39354544.5676915</v>
      </c>
      <c r="I29" s="32" t="n">
        <f aca="false">SUM(I24:I28)</f>
        <v>63748491.7224514</v>
      </c>
      <c r="J29" s="32" t="n">
        <f aca="false">SUM(J24:J28)</f>
        <v>74866017.8911754</v>
      </c>
      <c r="K29" s="32" t="n">
        <f aca="false">SUM(K24:K28)</f>
        <v>209438252.663638</v>
      </c>
      <c r="L29" s="32" t="n">
        <f aca="false">SUM(L24:L28)</f>
        <v>361254179.499034</v>
      </c>
      <c r="M29" s="32" t="n">
        <f aca="false">SUM(M24:M28)</f>
        <v>512549701.289749</v>
      </c>
      <c r="N29" s="32" t="n">
        <f aca="false">SUM(N24:N28)</f>
        <v>662664855.031356</v>
      </c>
      <c r="O29" s="1"/>
    </row>
    <row r="30" customFormat="false" ht="12.75" hidden="false" customHeight="false" outlineLevel="0" collapsed="false">
      <c r="A30" s="27" t="s">
        <v>29</v>
      </c>
      <c r="B30" s="21" t="s">
        <v>23</v>
      </c>
      <c r="C30" s="22"/>
      <c r="D30" s="15" t="n">
        <f aca="false">Costs!D52+Costs!D53</f>
        <v>25524117.7459515</v>
      </c>
      <c r="E30" s="15" t="n">
        <f aca="false">Costs!E52+Costs!E53+D30</f>
        <v>57388293.5963679</v>
      </c>
      <c r="F30" s="15" t="n">
        <f aca="false">Costs!F52+Costs!F53+E30</f>
        <v>99571713.2488421</v>
      </c>
      <c r="G30" s="15" t="n">
        <f aca="false">Costs!G52+Costs!G53+F30</f>
        <v>175080819.444233</v>
      </c>
      <c r="H30" s="15" t="n">
        <f aca="false">Costs!H52+Costs!H53+G30</f>
        <v>294468418.498948</v>
      </c>
      <c r="I30" s="15" t="n">
        <f aca="false">Costs!I52+Costs!I53+H30</f>
        <v>386446567.203816</v>
      </c>
      <c r="J30" s="15" t="n">
        <f aca="false">Costs!J52+Costs!J53+I30</f>
        <v>396664930.05846</v>
      </c>
      <c r="K30" s="15" t="n">
        <f aca="false">Costs!K52+Costs!K53+J30</f>
        <v>407189843.798744</v>
      </c>
      <c r="L30" s="15" t="n">
        <f aca="false">Costs!L52+Costs!L53+K30</f>
        <v>418030504.951237</v>
      </c>
      <c r="M30" s="15" t="n">
        <f aca="false">Costs!M52+Costs!M53+L30</f>
        <v>429196385.938304</v>
      </c>
      <c r="N30" s="15" t="n">
        <f aca="false">Costs!N52+Costs!N53+M30</f>
        <v>437757818.258412</v>
      </c>
      <c r="O30" s="1" t="n">
        <f aca="false">SUM(D30:N30)</f>
        <v>3127319412.74331</v>
      </c>
    </row>
    <row r="31" customFormat="false" ht="12.75" hidden="false" customHeight="false" outlineLevel="0" collapsed="false">
      <c r="A31" s="27" t="s">
        <v>30</v>
      </c>
      <c r="B31" s="21" t="s">
        <v>23</v>
      </c>
      <c r="C31" s="22"/>
      <c r="D31" s="15" t="n">
        <f aca="false">-Costs!D55</f>
        <v>-5104823.5491903</v>
      </c>
      <c r="E31" s="15" t="n">
        <f aca="false">-Costs!E55+D31</f>
        <v>-16582482.2684639</v>
      </c>
      <c r="F31" s="15" t="n">
        <f aca="false">-Costs!F55+E31</f>
        <v>-36496824.9182323</v>
      </c>
      <c r="G31" s="15" t="n">
        <f aca="false">-Costs!G55+F31</f>
        <v>-71512988.8070788</v>
      </c>
      <c r="H31" s="15" t="n">
        <f aca="false">-Costs!H55+G31</f>
        <v>-130406672.506868</v>
      </c>
      <c r="I31" s="15" t="n">
        <f aca="false">-Costs!I55+H31</f>
        <v>-202591162.398441</v>
      </c>
      <c r="J31" s="15" t="n">
        <f aca="false">-Costs!J55+I31</f>
        <v>-270446489.69086</v>
      </c>
      <c r="K31" s="15" t="n">
        <f aca="false">-Costs!K55+J31</f>
        <v>-331970115.80084</v>
      </c>
      <c r="L31" s="15" t="n">
        <f aca="false">-Costs!L55+K31</f>
        <v>-380560052.902241</v>
      </c>
      <c r="M31" s="15" t="n">
        <f aca="false">-Costs!M55+L31</f>
        <v>-407505646.390112</v>
      </c>
      <c r="N31" s="15" t="n">
        <f aca="false">-Costs!N55+M31</f>
        <v>-417767896.601031</v>
      </c>
      <c r="O31" s="1" t="n">
        <f aca="false">SUM(D31:N31)</f>
        <v>-2270945155.83336</v>
      </c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.75" hidden="false" customHeight="false" outlineLevel="0" collapsed="false">
      <c r="A32" s="33" t="s">
        <v>31</v>
      </c>
      <c r="B32" s="34" t="s">
        <v>23</v>
      </c>
      <c r="C32" s="35"/>
      <c r="D32" s="36" t="n">
        <f aca="false">+D30+D31</f>
        <v>20419294.1967612</v>
      </c>
      <c r="E32" s="36" t="n">
        <f aca="false">+E30+E31</f>
        <v>40805811.327904</v>
      </c>
      <c r="F32" s="36" t="n">
        <f aca="false">+F30+F31</f>
        <v>63074888.3306098</v>
      </c>
      <c r="G32" s="36" t="n">
        <f aca="false">+G30+G31</f>
        <v>103567830.637154</v>
      </c>
      <c r="H32" s="36" t="n">
        <f aca="false">+H30+H31</f>
        <v>164061745.992079</v>
      </c>
      <c r="I32" s="36" t="n">
        <f aca="false">+I30+I31</f>
        <v>183855404.805374</v>
      </c>
      <c r="J32" s="36" t="n">
        <f aca="false">+J30+J31</f>
        <v>126218440.367601</v>
      </c>
      <c r="K32" s="36" t="n">
        <f aca="false">+K30+K31</f>
        <v>75219727.9979041</v>
      </c>
      <c r="L32" s="36" t="n">
        <f aca="false">+L30+L31</f>
        <v>37470452.0489958</v>
      </c>
      <c r="M32" s="36" t="n">
        <f aca="false">+M30+M31</f>
        <v>21690739.5481918</v>
      </c>
      <c r="N32" s="36" t="n">
        <f aca="false">+N30+N31</f>
        <v>19989921.6573811</v>
      </c>
      <c r="O32" s="1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3.5" hidden="false" customHeight="false" outlineLevel="0" collapsed="false">
      <c r="A33" s="37" t="s">
        <v>32</v>
      </c>
      <c r="B33" s="38" t="s">
        <v>23</v>
      </c>
      <c r="C33" s="39"/>
      <c r="D33" s="40" t="n">
        <f aca="false">+D32+D29</f>
        <v>20805621.9347554</v>
      </c>
      <c r="E33" s="40" t="n">
        <f aca="false">+E32+E29</f>
        <v>44924941.6039387</v>
      </c>
      <c r="F33" s="40" t="n">
        <f aca="false">+F32+F29</f>
        <v>72871309.5303589</v>
      </c>
      <c r="G33" s="40" t="n">
        <f aca="false">+G32+G29</f>
        <v>123070659.593102</v>
      </c>
      <c r="H33" s="40" t="n">
        <f aca="false">+H32+H29</f>
        <v>203416290.559771</v>
      </c>
      <c r="I33" s="40" t="n">
        <f aca="false">+I32+I29</f>
        <v>247603896.527826</v>
      </c>
      <c r="J33" s="40" t="n">
        <f aca="false">+J32+J29</f>
        <v>201084458.258776</v>
      </c>
      <c r="K33" s="40" t="n">
        <f aca="false">+K32+K29</f>
        <v>284657980.661542</v>
      </c>
      <c r="L33" s="40" t="n">
        <f aca="false">+L32+L29</f>
        <v>398724631.54803</v>
      </c>
      <c r="M33" s="40" t="n">
        <f aca="false">+M32+M29</f>
        <v>534240440.837941</v>
      </c>
      <c r="N33" s="40" t="n">
        <f aca="false">+N32+N29</f>
        <v>682654776.688737</v>
      </c>
      <c r="O33" s="1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.75" hidden="false" customHeight="false" outlineLevel="0" collapsed="false">
      <c r="A34" s="27" t="s">
        <v>33</v>
      </c>
      <c r="B34" s="21" t="s">
        <v>23</v>
      </c>
      <c r="C34" s="41" t="n">
        <v>30</v>
      </c>
      <c r="D34" s="15" t="n">
        <f aca="false">$C$34*SUM(Costs!D29,Costs!D31,Costs!D32,Costs!D34,Costs!D35,Costs!D36,Costs!D37,Costs!D38,Costs!D39,Costs!D40,Costs!D41,Costs!D42,Costs!D43,Costs!D44)/365</f>
        <v>135647.649957166</v>
      </c>
      <c r="E34" s="15" t="n">
        <f aca="false">$C$34*SUM(Costs!E29,Costs!E31,Costs!E32,Costs!E34,Costs!E35,Costs!E36,Costs!E37,Costs!E38,Costs!E39,Costs!E40,Costs!E41,Costs!E42,Costs!E43,Costs!E44)/365</f>
        <v>1408646.70084313</v>
      </c>
      <c r="F34" s="15" t="n">
        <f aca="false">$C$34*SUM(Costs!F29,Costs!F31,Costs!F32,Costs!F34,Costs!F35,Costs!F36,Costs!F37,Costs!F38,Costs!F39,Costs!F40,Costs!F41,Costs!F42,Costs!F43,Costs!F44)/365</f>
        <v>3106681.93078417</v>
      </c>
      <c r="G34" s="15" t="n">
        <f aca="false">$C$34*SUM(Costs!G29,Costs!G31,Costs!G32,Costs!G34,Costs!G35,Costs!G36,Costs!G37,Costs!G38,Costs!G39,Costs!G40,Costs!G41,Costs!G42,Costs!G43,Costs!G44)/365</f>
        <v>6209862.41313408</v>
      </c>
      <c r="H34" s="15" t="n">
        <f aca="false">$C$34*SUM(Costs!H29,Costs!H31,Costs!H32,Costs!H34,Costs!H35,Costs!H36,Costs!H37,Costs!H38,Costs!H39,Costs!H40,Costs!H41,Costs!H42,Costs!H43,Costs!H44)/365</f>
        <v>12549657.4255671</v>
      </c>
      <c r="I34" s="15" t="n">
        <f aca="false">$C$34*SUM(Costs!I29,Costs!I31,Costs!I32,Costs!I34,Costs!I35,Costs!I36,Costs!I37,Costs!I38,Costs!I39,Costs!I40,Costs!I41,Costs!I42,Costs!I43,Costs!I44)/365</f>
        <v>19783982.1629973</v>
      </c>
      <c r="J34" s="15" t="n">
        <f aca="false">$C$34*SUM(Costs!J29,Costs!J31,Costs!J32,Costs!J34,Costs!J35,Costs!J36,Costs!J37,Costs!J38,Costs!J39,Costs!J40,Costs!J41,Costs!J42,Costs!J43,Costs!J44)/365</f>
        <v>22000699.3671856</v>
      </c>
      <c r="K34" s="15" t="n">
        <f aca="false">$C$34*SUM(Costs!K29,Costs!K31,Costs!K32,Costs!K34,Costs!K35,Costs!K36,Costs!K37,Costs!K38,Costs!K39,Costs!K40,Costs!K41,Costs!K42,Costs!K43,Costs!K44)/365</f>
        <v>22221324.5401876</v>
      </c>
      <c r="L34" s="15" t="n">
        <f aca="false">$C$34*SUM(Costs!L29,Costs!L31,Costs!L32,Costs!L34,Costs!L35,Costs!L36,Costs!L37,Costs!L38,Costs!L39,Costs!L40,Costs!L41,Costs!L42,Costs!L43,Costs!L44)/365</f>
        <v>22888738.22317</v>
      </c>
      <c r="M34" s="15" t="n">
        <f aca="false">$C$34*SUM(Costs!M29,Costs!M31,Costs!M32,Costs!M34,Costs!M35,Costs!M36,Costs!M37,Costs!M38,Costs!M39,Costs!M40,Costs!M41,Costs!M42,Costs!M43,Costs!M44)/365</f>
        <v>23646148.4655533</v>
      </c>
      <c r="N34" s="15" t="n">
        <f aca="false">$C$34*SUM(Costs!N29,Costs!N31,Costs!N32,Costs!N34,Costs!N35,Costs!N36,Costs!N37,Costs!N38,Costs!N39,Costs!N40,Costs!N41,Costs!N42,Costs!N43,Costs!N44)/365</f>
        <v>24483592.7205889</v>
      </c>
      <c r="O34" s="1"/>
    </row>
    <row r="35" customFormat="false" ht="12.75" hidden="false" customHeight="false" outlineLevel="0" collapsed="false">
      <c r="A35" s="27" t="s">
        <v>34</v>
      </c>
      <c r="B35" s="21" t="s">
        <v>23</v>
      </c>
      <c r="C35" s="21"/>
      <c r="D35" s="15" t="n">
        <f aca="false">IF(D18&lt;0,-D18,0)</f>
        <v>0</v>
      </c>
      <c r="E35" s="15" t="n">
        <f aca="false">IF(E18&lt;0,-E18,0)</f>
        <v>2833622.2901536</v>
      </c>
      <c r="F35" s="15" t="n">
        <f aca="false">IF(F18&lt;0,-F18,0)</f>
        <v>5707901.49453519</v>
      </c>
      <c r="G35" s="15" t="n">
        <f aca="false">IF(G18&lt;0,-G18,0)</f>
        <v>8592172.18377687</v>
      </c>
      <c r="H35" s="15" t="n">
        <f aca="false">IF(H18&lt;0,-H18,0)</f>
        <v>13495081.2977822</v>
      </c>
      <c r="I35" s="15" t="n">
        <f aca="false">IF(I18&lt;0,-I18,0)</f>
        <v>19745489.1483304</v>
      </c>
      <c r="J35" s="15" t="n">
        <f aca="false">IF(J18&lt;0,-J18,0)</f>
        <v>3371376.99982045</v>
      </c>
      <c r="K35" s="15" t="n">
        <f aca="false">IF(K18&lt;0,-K18,0)</f>
        <v>0</v>
      </c>
      <c r="L35" s="15" t="n">
        <f aca="false">IF(L18&lt;0,-L18,0)</f>
        <v>0</v>
      </c>
      <c r="M35" s="15" t="n">
        <f aca="false">IF(M18&lt;0,-M18,0)</f>
        <v>0</v>
      </c>
      <c r="N35" s="15" t="n">
        <f aca="false">IF(N18&lt;0,-N18,0)</f>
        <v>0</v>
      </c>
      <c r="O35" s="1"/>
    </row>
    <row r="36" customFormat="false" ht="12.75" hidden="false" customHeight="false" outlineLevel="0" collapsed="false">
      <c r="A36" s="1" t="s">
        <v>35</v>
      </c>
      <c r="B36" s="2" t="s">
        <v>23</v>
      </c>
      <c r="D36" s="15" t="n">
        <f aca="false">+D9+D10</f>
        <v>23613519.0923384</v>
      </c>
      <c r="E36" s="15" t="n">
        <f aca="false">+E9+E10+D36</f>
        <v>47565845.7877932</v>
      </c>
      <c r="F36" s="15" t="n">
        <f aca="false">+F9+F10+E36</f>
        <v>71601434.8648072</v>
      </c>
      <c r="G36" s="15" t="n">
        <f aca="false">+G9+G10+F36</f>
        <v>112459010.814852</v>
      </c>
      <c r="H36" s="15" t="n">
        <f aca="false">+H9+H10+G36</f>
        <v>164545742.902753</v>
      </c>
      <c r="I36" s="15" t="n">
        <f aca="false">+I9+I10+H36</f>
        <v>143714304.33394</v>
      </c>
      <c r="J36" s="15" t="n">
        <f aca="false">+J9+J10+I36</f>
        <v>19745489.1483304</v>
      </c>
      <c r="K36" s="15" t="n">
        <f aca="false">+K9+K10+J36</f>
        <v>3371376.99982048</v>
      </c>
      <c r="L36" s="15" t="n">
        <f aca="false">+L9+L10+K36</f>
        <v>3.91155481338501E-008</v>
      </c>
      <c r="M36" s="15" t="n">
        <f aca="false">+M9+M10+L36</f>
        <v>3.91155481338501E-008</v>
      </c>
      <c r="N36" s="15" t="n">
        <f aca="false">+N9+N10+M36</f>
        <v>3.91155481338501E-008</v>
      </c>
    </row>
    <row r="37" customFormat="false" ht="12.75" hidden="false" customHeight="false" outlineLevel="0" collapsed="false">
      <c r="A37" s="42" t="s">
        <v>36</v>
      </c>
      <c r="B37" s="43" t="s">
        <v>23</v>
      </c>
      <c r="C37" s="31"/>
      <c r="D37" s="44" t="n">
        <f aca="false">SUM(D34:D36)</f>
        <v>23749166.7422955</v>
      </c>
      <c r="E37" s="44" t="n">
        <f aca="false">SUM(E34:E36)</f>
        <v>51808114.77879</v>
      </c>
      <c r="F37" s="44" t="n">
        <f aca="false">SUM(F34:F36)</f>
        <v>80416018.2901266</v>
      </c>
      <c r="G37" s="44" t="n">
        <f aca="false">SUM(G34:G36)</f>
        <v>127261045.411762</v>
      </c>
      <c r="H37" s="44" t="n">
        <f aca="false">SUM(H34:H36)</f>
        <v>190590481.626103</v>
      </c>
      <c r="I37" s="44" t="n">
        <f aca="false">SUM(I34:I36)</f>
        <v>183243775.645267</v>
      </c>
      <c r="J37" s="44" t="n">
        <f aca="false">SUM(J34:J36)</f>
        <v>45117565.5153365</v>
      </c>
      <c r="K37" s="44" t="n">
        <f aca="false">SUM(K34:K36)</f>
        <v>25592701.540008</v>
      </c>
      <c r="L37" s="44" t="n">
        <f aca="false">SUM(L34:L36)</f>
        <v>22888738.2231701</v>
      </c>
      <c r="M37" s="44" t="n">
        <f aca="false">SUM(M34:M36)</f>
        <v>23646148.4655533</v>
      </c>
      <c r="N37" s="44" t="n">
        <f aca="false">SUM(N34:N36)</f>
        <v>24483592.7205889</v>
      </c>
    </row>
    <row r="38" customFormat="false" ht="12.75" hidden="false" customHeight="false" outlineLevel="0" collapsed="false">
      <c r="A38" s="1" t="s">
        <v>37</v>
      </c>
      <c r="B38" s="2" t="s">
        <v>23</v>
      </c>
      <c r="D38" s="1" t="n">
        <f aca="false">BS!D13+C38</f>
        <v>0</v>
      </c>
      <c r="E38" s="1" t="n">
        <f aca="false">BS!E13+D38</f>
        <v>0</v>
      </c>
      <c r="F38" s="1" t="n">
        <f aca="false">BS!F13+E38</f>
        <v>0</v>
      </c>
      <c r="G38" s="1" t="n">
        <f aca="false">BS!G13+F38</f>
        <v>0</v>
      </c>
      <c r="H38" s="1" t="n">
        <f aca="false">BS!H13+G38</f>
        <v>0</v>
      </c>
      <c r="I38" s="1" t="n">
        <f aca="false">BS!I13+H38</f>
        <v>0</v>
      </c>
      <c r="J38" s="1" t="n">
        <f aca="false">BS!J13+I38</f>
        <v>0</v>
      </c>
      <c r="K38" s="1" t="n">
        <f aca="false">BS!K13+J38</f>
        <v>0</v>
      </c>
      <c r="L38" s="1" t="n">
        <f aca="false">BS!L13+K38</f>
        <v>0</v>
      </c>
      <c r="M38" s="1" t="n">
        <f aca="false">BS!M13+L38</f>
        <v>0</v>
      </c>
      <c r="N38" s="1" t="n">
        <f aca="false">BS!N13+M38</f>
        <v>0</v>
      </c>
    </row>
    <row r="39" customFormat="false" ht="12.75" hidden="false" customHeight="false" outlineLevel="0" collapsed="false">
      <c r="A39" s="1" t="s">
        <v>38</v>
      </c>
      <c r="B39" s="2" t="s">
        <v>23</v>
      </c>
      <c r="D39" s="15" t="n">
        <f aca="false">CF!D14</f>
        <v>-2943544.80754014</v>
      </c>
      <c r="E39" s="15" t="n">
        <f aca="false">CF!E14</f>
        <v>-3939628.36731109</v>
      </c>
      <c r="F39" s="15" t="n">
        <f aca="false">CF!F14</f>
        <v>-661535.584916432</v>
      </c>
      <c r="G39" s="15" t="n">
        <f aca="false">CF!G14</f>
        <v>3354322.94110673</v>
      </c>
      <c r="H39" s="15" t="n">
        <f aca="false">CF!H14</f>
        <v>17016194.752329</v>
      </c>
      <c r="I39" s="15" t="n">
        <f aca="false">CF!I14</f>
        <v>51534311.9488904</v>
      </c>
      <c r="J39" s="15" t="n">
        <f aca="false">CF!J14</f>
        <v>91606771.8608811</v>
      </c>
      <c r="K39" s="15" t="n">
        <f aca="false">CF!K14</f>
        <v>103098386.378094</v>
      </c>
      <c r="L39" s="15" t="n">
        <f aca="false">CF!L14</f>
        <v>116770614.203326</v>
      </c>
      <c r="M39" s="15" t="n">
        <f aca="false">CF!M14</f>
        <v>134758399.047528</v>
      </c>
      <c r="N39" s="15" t="n">
        <f aca="false">CF!N14</f>
        <v>147576891.595761</v>
      </c>
    </row>
    <row r="40" customFormat="false" ht="12.75" hidden="false" customHeight="false" outlineLevel="0" collapsed="false">
      <c r="A40" s="1" t="s">
        <v>39</v>
      </c>
      <c r="B40" s="2" t="s">
        <v>23</v>
      </c>
      <c r="D40" s="45" t="n">
        <f aca="false">+C39+C40</f>
        <v>0</v>
      </c>
      <c r="E40" s="45" t="n">
        <f aca="false">+D39+D40</f>
        <v>-2943544.80754014</v>
      </c>
      <c r="F40" s="45" t="n">
        <f aca="false">+E39+E40</f>
        <v>-6883173.17485123</v>
      </c>
      <c r="G40" s="45" t="n">
        <f aca="false">+F39+F40</f>
        <v>-7544708.75976766</v>
      </c>
      <c r="H40" s="45" t="n">
        <f aca="false">+G39+G40</f>
        <v>-4190385.81866093</v>
      </c>
      <c r="I40" s="45" t="n">
        <f aca="false">+H39+H40</f>
        <v>12825808.933668</v>
      </c>
      <c r="J40" s="45" t="n">
        <f aca="false">+I39+I40</f>
        <v>64360120.8825585</v>
      </c>
      <c r="K40" s="45" t="n">
        <f aca="false">+J39+J40</f>
        <v>155966892.74344</v>
      </c>
      <c r="L40" s="45" t="n">
        <f aca="false">+K39+K40</f>
        <v>259065279.121534</v>
      </c>
      <c r="M40" s="45" t="n">
        <f aca="false">+L39+L40</f>
        <v>375835893.324859</v>
      </c>
      <c r="N40" s="45" t="n">
        <f aca="false">+M39+M40</f>
        <v>510594292.372388</v>
      </c>
    </row>
    <row r="41" customFormat="false" ht="12.75" hidden="false" customHeight="false" outlineLevel="0" collapsed="false">
      <c r="A41" s="42" t="s">
        <v>40</v>
      </c>
      <c r="B41" s="43" t="s">
        <v>23</v>
      </c>
      <c r="C41" s="31"/>
      <c r="D41" s="32" t="n">
        <f aca="false">SUM(D38:D40)</f>
        <v>-2943544.80754014</v>
      </c>
      <c r="E41" s="32" t="n">
        <f aca="false">SUM(E38:E40)</f>
        <v>-6883173.17485123</v>
      </c>
      <c r="F41" s="32" t="n">
        <f aca="false">SUM(F38:F40)</f>
        <v>-7544708.75976766</v>
      </c>
      <c r="G41" s="32" t="n">
        <f aca="false">SUM(G38:G40)</f>
        <v>-4190385.81866093</v>
      </c>
      <c r="H41" s="32" t="n">
        <f aca="false">SUM(H38:H40)</f>
        <v>12825808.933668</v>
      </c>
      <c r="I41" s="32" t="n">
        <f aca="false">SUM(I38:I40)</f>
        <v>64360120.8825585</v>
      </c>
      <c r="J41" s="32" t="n">
        <f aca="false">SUM(J38:J40)</f>
        <v>155966892.74344</v>
      </c>
      <c r="K41" s="32" t="n">
        <f aca="false">SUM(K38:K40)</f>
        <v>259065279.121534</v>
      </c>
      <c r="L41" s="32" t="n">
        <f aca="false">SUM(L38:L40)</f>
        <v>375835893.324859</v>
      </c>
      <c r="M41" s="32" t="n">
        <f aca="false">SUM(M38:M40)</f>
        <v>510594292.372388</v>
      </c>
      <c r="N41" s="32" t="n">
        <f aca="false">SUM(N38:N40)</f>
        <v>658171183.968149</v>
      </c>
    </row>
    <row r="42" customFormat="false" ht="13.5" hidden="false" customHeight="false" outlineLevel="0" collapsed="false">
      <c r="A42" s="46" t="s">
        <v>41</v>
      </c>
      <c r="B42" s="5" t="s">
        <v>23</v>
      </c>
      <c r="C42" s="39"/>
      <c r="D42" s="47" t="n">
        <f aca="false">+D41+D37</f>
        <v>20805621.9347554</v>
      </c>
      <c r="E42" s="47" t="n">
        <f aca="false">+E41+E37</f>
        <v>44924941.6039388</v>
      </c>
      <c r="F42" s="47" t="n">
        <f aca="false">+F41+F37</f>
        <v>72871309.5303589</v>
      </c>
      <c r="G42" s="47" t="n">
        <f aca="false">+G41+G37</f>
        <v>123070659.593102</v>
      </c>
      <c r="H42" s="47" t="n">
        <f aca="false">+H41+H37</f>
        <v>203416290.559771</v>
      </c>
      <c r="I42" s="47" t="n">
        <f aca="false">+I41+I37</f>
        <v>247603896.527826</v>
      </c>
      <c r="J42" s="47" t="n">
        <f aca="false">+J41+J37</f>
        <v>201084458.258776</v>
      </c>
      <c r="K42" s="47" t="n">
        <f aca="false">+K41+K37</f>
        <v>284657980.661542</v>
      </c>
      <c r="L42" s="47" t="n">
        <f aca="false">+L41+L37</f>
        <v>398724631.54803</v>
      </c>
      <c r="M42" s="47" t="n">
        <f aca="false">+M41+M37</f>
        <v>534240440.837941</v>
      </c>
      <c r="N42" s="47" t="n">
        <f aca="false">+N41+N37</f>
        <v>682654776.688737</v>
      </c>
    </row>
    <row r="43" customFormat="false" ht="12.75" hidden="false" customHeight="false" outlineLevel="0" collapsed="false">
      <c r="D43" s="15" t="n">
        <f aca="false">+D42-D33</f>
        <v>0</v>
      </c>
      <c r="E43" s="45" t="n">
        <f aca="false">+E33-E42</f>
        <v>0</v>
      </c>
      <c r="F43" s="45" t="n">
        <f aca="false">+F33-F42</f>
        <v>0</v>
      </c>
      <c r="G43" s="45" t="n">
        <f aca="false">+G33-G42</f>
        <v>0</v>
      </c>
      <c r="H43" s="45" t="n">
        <f aca="false">+H33-H42</f>
        <v>0</v>
      </c>
      <c r="I43" s="45" t="n">
        <f aca="false">+I33-I42</f>
        <v>0</v>
      </c>
      <c r="J43" s="45" t="n">
        <f aca="false">+J33-J42</f>
        <v>0</v>
      </c>
      <c r="K43" s="45" t="n">
        <f aca="false">+K33-K42</f>
        <v>0</v>
      </c>
      <c r="L43" s="45" t="n">
        <f aca="false">+L33-L42</f>
        <v>0</v>
      </c>
      <c r="M43" s="45" t="n">
        <f aca="false">+M33-M42</f>
        <v>0</v>
      </c>
      <c r="N43" s="45" t="n">
        <f aca="false">+N33-N42</f>
        <v>0</v>
      </c>
    </row>
  </sheetData>
  <printOptions headings="false" gridLines="false" gridLinesSet="true" horizontalCentered="true" verticalCentered="false"/>
  <pageMargins left="0.25" right="0.25" top="1.27013888888889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&amp;C&amp;"Tw Cen MT Condensed,Bold"XTRANSCO ECONOMIC ANALYSIS
CASH FLOW</oddHeader>
    <oddFooter>&amp;C&amp;"Tw Cen MT Condensed,Regular"&amp;P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2" activeCellId="0" sqref="D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21.99"/>
    <col collapsed="false" customWidth="true" hidden="false" outlineLevel="0" max="2" min="2" style="3" width="6.41"/>
    <col collapsed="false" customWidth="true" hidden="false" outlineLevel="0" max="3" min="3" style="3" width="3.56"/>
    <col collapsed="false" customWidth="true" hidden="false" outlineLevel="0" max="4" min="4" style="3" width="10.99"/>
    <col collapsed="false" customWidth="true" hidden="false" outlineLevel="0" max="6" min="5" style="3" width="10.28"/>
    <col collapsed="false" customWidth="true" hidden="false" outlineLevel="0" max="7" min="7" style="3" width="10.71"/>
    <col collapsed="false" customWidth="true" hidden="false" outlineLevel="0" max="9" min="8" style="3" width="10.85"/>
    <col collapsed="false" customWidth="true" hidden="false" outlineLevel="0" max="11" min="10" style="3" width="11.42"/>
    <col collapsed="false" customWidth="true" hidden="false" outlineLevel="0" max="12" min="12" style="3" width="10.71"/>
    <col collapsed="false" customWidth="true" hidden="false" outlineLevel="0" max="14" min="13" style="3" width="10.56"/>
    <col collapsed="false" customWidth="true" hidden="false" outlineLevel="0" max="15" min="15" style="3" width="9.56"/>
    <col collapsed="false" customWidth="false" hidden="false" outlineLevel="0" max="257" min="16" style="3" width="9.14"/>
  </cols>
  <sheetData>
    <row r="2" customFormat="false" ht="13.5" hidden="false" customHeight="false" outlineLevel="0" collapsed="false">
      <c r="A2" s="48" t="s">
        <v>42</v>
      </c>
      <c r="B2" s="5"/>
      <c r="C2" s="6" t="str">
        <f aca="false">Revenue!C$1</f>
        <v>@</v>
      </c>
      <c r="D2" s="6" t="n">
        <f aca="false">Revenue!D$1</f>
        <v>0</v>
      </c>
      <c r="E2" s="6" t="n">
        <f aca="false">Revenue!E$1</f>
        <v>1</v>
      </c>
      <c r="F2" s="6" t="n">
        <f aca="false">Revenue!F$1</f>
        <v>2</v>
      </c>
      <c r="G2" s="6" t="n">
        <f aca="false">Revenue!G$1</f>
        <v>3</v>
      </c>
      <c r="H2" s="6" t="n">
        <f aca="false">Revenue!H$1</f>
        <v>4</v>
      </c>
      <c r="I2" s="6" t="n">
        <f aca="false">Revenue!I$1</f>
        <v>5</v>
      </c>
      <c r="J2" s="6" t="n">
        <f aca="false">Revenue!J$1</f>
        <v>6</v>
      </c>
      <c r="K2" s="6" t="n">
        <f aca="false">Revenue!K$1</f>
        <v>7</v>
      </c>
      <c r="L2" s="6" t="n">
        <f aca="false">Revenue!L$1</f>
        <v>8</v>
      </c>
      <c r="M2" s="6" t="n">
        <f aca="false">Revenue!M$1</f>
        <v>9</v>
      </c>
      <c r="N2" s="6" t="n">
        <f aca="false">Revenue!N$1</f>
        <v>10</v>
      </c>
    </row>
    <row r="3" customFormat="false" ht="12.75" hidden="false" customHeight="false" outlineLevel="0" collapsed="false">
      <c r="A3" s="27" t="s">
        <v>43</v>
      </c>
      <c r="B3" s="21" t="s">
        <v>23</v>
      </c>
      <c r="C3" s="22"/>
      <c r="D3" s="15" t="n">
        <f aca="false">Revenue!D63</f>
        <v>2897980.3125</v>
      </c>
      <c r="E3" s="15" t="n">
        <f aca="false">Revenue!E63</f>
        <v>30868486.7797755</v>
      </c>
      <c r="F3" s="15" t="n">
        <f aca="false">Revenue!F63</f>
        <v>76585917.9587561</v>
      </c>
      <c r="G3" s="15" t="n">
        <f aca="false">Revenue!G63</f>
        <v>152131285.564277</v>
      </c>
      <c r="H3" s="15" t="n">
        <f aca="false">Revenue!H63</f>
        <v>306843135.468001</v>
      </c>
      <c r="I3" s="15" t="n">
        <f aca="false">Revenue!I63</f>
        <v>504613557.321059</v>
      </c>
      <c r="J3" s="15" t="n">
        <f aca="false">Revenue!J63</f>
        <v>609961806.710258</v>
      </c>
      <c r="K3" s="15" t="n">
        <f aca="false">Revenue!K63</f>
        <v>608088655.821376</v>
      </c>
      <c r="L3" s="15" t="n">
        <f aca="false">Revenue!L63</f>
        <v>620915303.720511</v>
      </c>
      <c r="M3" s="15" t="n">
        <f aca="false">Revenue!M63</f>
        <v>634173301.25518</v>
      </c>
      <c r="N3" s="15" t="n">
        <f aca="false">Revenue!N63</f>
        <v>646126365.489298</v>
      </c>
    </row>
    <row r="4" customFormat="false" ht="15" hidden="false" customHeight="false" outlineLevel="0" collapsed="false">
      <c r="A4" s="27" t="s">
        <v>44</v>
      </c>
      <c r="B4" s="21" t="s">
        <v>23</v>
      </c>
      <c r="C4" s="22"/>
      <c r="D4" s="49" t="n">
        <f aca="false">-Costs!D57</f>
        <v>-741796.453125</v>
      </c>
      <c r="E4" s="49" t="n">
        <f aca="false">-Costs!E57</f>
        <v>-6869492.16448475</v>
      </c>
      <c r="F4" s="49" t="n">
        <f aca="false">-Costs!F57</f>
        <v>-17844161.0290781</v>
      </c>
      <c r="G4" s="49" t="n">
        <f aca="false">-Costs!G57</f>
        <v>-35189617.6857489</v>
      </c>
      <c r="H4" s="49" t="n">
        <f aca="false">-Costs!H57</f>
        <v>-70713229.0340552</v>
      </c>
      <c r="I4" s="49" t="n">
        <f aca="false">-Costs!I57</f>
        <v>-118117621.884447</v>
      </c>
      <c r="J4" s="49" t="n">
        <f aca="false">-Costs!J57</f>
        <v>-147665614.802614</v>
      </c>
      <c r="K4" s="49" t="n">
        <f aca="false">-Costs!K57</f>
        <v>-146814701.590295</v>
      </c>
      <c r="L4" s="49" t="n">
        <f aca="false">-Costs!L57</f>
        <v>-150357874.250082</v>
      </c>
      <c r="M4" s="49" t="n">
        <f aca="false">-Costs!M57</f>
        <v>-154337953.238206</v>
      </c>
      <c r="N4" s="49" t="n">
        <f aca="false">-Costs!N57</f>
        <v>-158426584.380532</v>
      </c>
    </row>
    <row r="5" customFormat="false" ht="12.75" hidden="false" customHeight="false" outlineLevel="0" collapsed="false">
      <c r="A5" s="27" t="s">
        <v>45</v>
      </c>
      <c r="B5" s="21" t="s">
        <v>23</v>
      </c>
      <c r="C5" s="22"/>
      <c r="D5" s="15" t="n">
        <f aca="false">+D3+D4</f>
        <v>2156183.859375</v>
      </c>
      <c r="E5" s="15" t="n">
        <f aca="false">+E3+E4</f>
        <v>23998994.6152908</v>
      </c>
      <c r="F5" s="15" t="n">
        <f aca="false">+F3+F4</f>
        <v>58741756.929678</v>
      </c>
      <c r="G5" s="15" t="n">
        <f aca="false">+G3+G4</f>
        <v>116941667.878528</v>
      </c>
      <c r="H5" s="15" t="n">
        <f aca="false">+H3+H4</f>
        <v>236129906.433946</v>
      </c>
      <c r="I5" s="15" t="n">
        <f aca="false">+I3+I4</f>
        <v>386495935.436612</v>
      </c>
      <c r="J5" s="15" t="n">
        <f aca="false">+J3+J4</f>
        <v>462296191.907643</v>
      </c>
      <c r="K5" s="15" t="n">
        <f aca="false">+K3+K4</f>
        <v>461273954.231082</v>
      </c>
      <c r="L5" s="15" t="n">
        <f aca="false">+L3+L4</f>
        <v>470557429.470429</v>
      </c>
      <c r="M5" s="15" t="n">
        <f aca="false">+M3+M4</f>
        <v>479835348.016974</v>
      </c>
      <c r="N5" s="15" t="n">
        <f aca="false">+N3+N4</f>
        <v>487699781.108766</v>
      </c>
    </row>
    <row r="6" customFormat="false" ht="15" hidden="false" customHeight="false" outlineLevel="0" collapsed="false">
      <c r="A6" s="27" t="s">
        <v>46</v>
      </c>
      <c r="B6" s="21" t="s">
        <v>23</v>
      </c>
      <c r="C6" s="22"/>
      <c r="D6" s="49" t="n">
        <f aca="false">-Costs!D58</f>
        <v>-598382.694</v>
      </c>
      <c r="E6" s="49" t="n">
        <f aca="false">-Costs!E58</f>
        <v>-6465698.59704977</v>
      </c>
      <c r="F6" s="49" t="n">
        <f aca="false">-Costs!F58</f>
        <v>-16886165.7913408</v>
      </c>
      <c r="G6" s="49" t="n">
        <f aca="false">-Costs!G58</f>
        <v>-33323206.5353664</v>
      </c>
      <c r="H6" s="49" t="n">
        <f aca="false">-Costs!H58</f>
        <v>-67067723.5402027</v>
      </c>
      <c r="I6" s="49" t="n">
        <f aca="false">-Costs!I58</f>
        <v>-112495530.146315</v>
      </c>
      <c r="J6" s="49" t="n">
        <f aca="false">-Costs!J58</f>
        <v>-141606725.730114</v>
      </c>
      <c r="K6" s="49" t="n">
        <f aca="false">-Costs!K58</f>
        <v>-141507201.415514</v>
      </c>
      <c r="L6" s="49" t="n">
        <f aca="false">-Costs!L58</f>
        <v>-146051802.375656</v>
      </c>
      <c r="M6" s="49" t="n">
        <f aca="false">-Costs!M58</f>
        <v>-151581859.100158</v>
      </c>
      <c r="N6" s="49" t="n">
        <f aca="false">-Costs!N58</f>
        <v>-158056838.256739</v>
      </c>
    </row>
    <row r="7" customFormat="false" ht="12.75" hidden="false" customHeight="false" outlineLevel="0" collapsed="false">
      <c r="A7" s="27" t="s">
        <v>47</v>
      </c>
      <c r="B7" s="21" t="s">
        <v>23</v>
      </c>
      <c r="C7" s="22"/>
      <c r="D7" s="15" t="n">
        <f aca="false">+D5+D6</f>
        <v>1557801.165375</v>
      </c>
      <c r="E7" s="15" t="n">
        <f aca="false">+E5+E6</f>
        <v>17533296.018241</v>
      </c>
      <c r="F7" s="15" t="n">
        <f aca="false">+F5+F6</f>
        <v>41855591.1383371</v>
      </c>
      <c r="G7" s="15" t="n">
        <f aca="false">+G5+G6</f>
        <v>83618461.3431618</v>
      </c>
      <c r="H7" s="15" t="n">
        <f aca="false">+H5+H6</f>
        <v>169062182.893743</v>
      </c>
      <c r="I7" s="15" t="n">
        <f aca="false">+I5+I6</f>
        <v>274000405.290297</v>
      </c>
      <c r="J7" s="15" t="n">
        <f aca="false">+J5+J6</f>
        <v>320689466.177529</v>
      </c>
      <c r="K7" s="15" t="n">
        <f aca="false">+K5+K6</f>
        <v>319766752.815567</v>
      </c>
      <c r="L7" s="15" t="n">
        <f aca="false">+L5+L6</f>
        <v>324505627.094773</v>
      </c>
      <c r="M7" s="15" t="n">
        <f aca="false">+M5+M6</f>
        <v>328253488.916816</v>
      </c>
      <c r="N7" s="15" t="n">
        <f aca="false">+N5+N6</f>
        <v>329642942.852027</v>
      </c>
    </row>
    <row r="8" customFormat="false" ht="15" hidden="false" customHeight="false" outlineLevel="0" collapsed="false">
      <c r="A8" s="27" t="s">
        <v>48</v>
      </c>
      <c r="B8" s="21" t="s">
        <v>23</v>
      </c>
      <c r="C8" s="22"/>
      <c r="D8" s="49" t="n">
        <f aca="false">-Costs!D59</f>
        <v>-912893.992145517</v>
      </c>
      <c r="E8" s="49" t="n">
        <f aca="false">-Costs!E59</f>
        <v>-9191148.89777912</v>
      </c>
      <c r="F8" s="49" t="n">
        <f aca="false">-Costs!F59</f>
        <v>-17235673.6378463</v>
      </c>
      <c r="G8" s="49" t="n">
        <f aca="false">-Costs!G59</f>
        <v>-34927817.784013</v>
      </c>
      <c r="H8" s="49" t="n">
        <f aca="false">-Costs!H59</f>
        <v>-70891304.6350668</v>
      </c>
      <c r="I8" s="49" t="n">
        <f aca="false">-Costs!I59</f>
        <v>-103988135.418742</v>
      </c>
      <c r="J8" s="49" t="n">
        <f aca="false">-Costs!J59</f>
        <v>-96790283.181885</v>
      </c>
      <c r="K8" s="49" t="n">
        <f aca="false">-Costs!K59</f>
        <v>-99663991.6773416</v>
      </c>
      <c r="L8" s="49" t="n">
        <f aca="false">-Costs!L59</f>
        <v>-102623911.427662</v>
      </c>
      <c r="M8" s="49" t="n">
        <f aca="false">-Costs!M59</f>
        <v>-105672628.770492</v>
      </c>
      <c r="N8" s="49" t="n">
        <f aca="false">-Costs!N59</f>
        <v>-108812807.633606</v>
      </c>
    </row>
    <row r="9" customFormat="false" ht="12.75" hidden="false" customHeight="false" outlineLevel="0" collapsed="false">
      <c r="A9" s="27" t="s">
        <v>49</v>
      </c>
      <c r="B9" s="21" t="s">
        <v>23</v>
      </c>
      <c r="C9" s="22"/>
      <c r="D9" s="15" t="n">
        <f aca="false">+D7+D8</f>
        <v>644907.173229483</v>
      </c>
      <c r="E9" s="15" t="n">
        <f aca="false">+E7+E8</f>
        <v>8342147.12046189</v>
      </c>
      <c r="F9" s="15" t="n">
        <f aca="false">+F7+F8</f>
        <v>24619917.5004908</v>
      </c>
      <c r="G9" s="15" t="n">
        <f aca="false">+G7+G8</f>
        <v>48690643.5591488</v>
      </c>
      <c r="H9" s="15" t="n">
        <f aca="false">+H7+H8</f>
        <v>98170878.2586762</v>
      </c>
      <c r="I9" s="15" t="n">
        <f aca="false">+I7+I8</f>
        <v>170012269.871555</v>
      </c>
      <c r="J9" s="15" t="n">
        <f aca="false">+J7+J8</f>
        <v>223899182.995644</v>
      </c>
      <c r="K9" s="15" t="n">
        <f aca="false">+K7+K8</f>
        <v>220102761.138226</v>
      </c>
      <c r="L9" s="15" t="n">
        <f aca="false">+L7+L8</f>
        <v>221881715.667111</v>
      </c>
      <c r="M9" s="15" t="n">
        <f aca="false">+M7+M8</f>
        <v>222580860.146324</v>
      </c>
      <c r="N9" s="15" t="n">
        <f aca="false">+N7+N8</f>
        <v>220830135.218421</v>
      </c>
    </row>
    <row r="10" customFormat="false" ht="15" hidden="false" customHeight="false" outlineLevel="0" collapsed="false">
      <c r="A10" s="27" t="s">
        <v>2</v>
      </c>
      <c r="B10" s="21" t="s">
        <v>23</v>
      </c>
      <c r="C10" s="22"/>
      <c r="D10" s="49" t="n">
        <f aca="false">-Costs!D60</f>
        <v>-5104823.5491903</v>
      </c>
      <c r="E10" s="49" t="n">
        <f aca="false">-Costs!E60</f>
        <v>-11477658.7192736</v>
      </c>
      <c r="F10" s="49" t="n">
        <f aca="false">-Costs!F60</f>
        <v>-19914342.6497684</v>
      </c>
      <c r="G10" s="49" t="n">
        <f aca="false">-Costs!G60</f>
        <v>-35016163.8888466</v>
      </c>
      <c r="H10" s="49" t="n">
        <f aca="false">-Costs!H60</f>
        <v>-58893683.6997895</v>
      </c>
      <c r="I10" s="49" t="n">
        <f aca="false">-Costs!I60</f>
        <v>-72184489.8915728</v>
      </c>
      <c r="J10" s="49" t="n">
        <f aca="false">-Costs!J60</f>
        <v>-67855327.2924185</v>
      </c>
      <c r="K10" s="49" t="n">
        <f aca="false">-Costs!K60</f>
        <v>-61523626.1099804</v>
      </c>
      <c r="L10" s="49" t="n">
        <f aca="false">-Costs!L60</f>
        <v>-48589937.1014008</v>
      </c>
      <c r="M10" s="49" t="n">
        <f aca="false">-Costs!M60</f>
        <v>-26945593.4878713</v>
      </c>
      <c r="N10" s="49" t="n">
        <f aca="false">-Costs!N60</f>
        <v>-10262250.2109194</v>
      </c>
    </row>
    <row r="11" customFormat="false" ht="12.75" hidden="false" customHeight="false" outlineLevel="0" collapsed="false">
      <c r="A11" s="27" t="s">
        <v>1</v>
      </c>
      <c r="B11" s="21" t="s">
        <v>23</v>
      </c>
      <c r="C11" s="22"/>
      <c r="D11" s="15" t="n">
        <f aca="false">+D9+D10</f>
        <v>-4459916.37596082</v>
      </c>
      <c r="E11" s="15" t="n">
        <f aca="false">+E9+E10</f>
        <v>-3135511.59881169</v>
      </c>
      <c r="F11" s="15" t="n">
        <f aca="false">+F9+F10</f>
        <v>4705574.85072241</v>
      </c>
      <c r="G11" s="15" t="n">
        <f aca="false">+G9+G10</f>
        <v>13674479.6703022</v>
      </c>
      <c r="H11" s="15" t="n">
        <f aca="false">+H9+H10</f>
        <v>39277194.5588867</v>
      </c>
      <c r="I11" s="15" t="n">
        <f aca="false">+I9+I10</f>
        <v>97827779.9799826</v>
      </c>
      <c r="J11" s="15" t="n">
        <f aca="false">+J9+J10</f>
        <v>156043855.703226</v>
      </c>
      <c r="K11" s="15" t="n">
        <f aca="false">+K9+K10</f>
        <v>158579135.028245</v>
      </c>
      <c r="L11" s="15" t="n">
        <f aca="false">+L9+L10</f>
        <v>173291778.565711</v>
      </c>
      <c r="M11" s="15" t="n">
        <f aca="false">+M9+M10</f>
        <v>195635266.658453</v>
      </c>
      <c r="N11" s="15" t="n">
        <f aca="false">+N9+N10</f>
        <v>210567885.007501</v>
      </c>
    </row>
    <row r="12" customFormat="false" ht="12.75" hidden="false" customHeight="false" outlineLevel="0" collapsed="false">
      <c r="A12" s="27" t="s">
        <v>50</v>
      </c>
      <c r="B12" s="21" t="s">
        <v>23</v>
      </c>
      <c r="D12" s="45" t="n">
        <f aca="false">+BS!D11</f>
        <v>0.0009</v>
      </c>
      <c r="E12" s="45" t="n">
        <f aca="false">+BS!E11</f>
        <v>-2833622.2910536</v>
      </c>
      <c r="F12" s="45" t="n">
        <f aca="false">+BS!F11</f>
        <v>-5707901.49453519</v>
      </c>
      <c r="G12" s="45" t="n">
        <f aca="false">+BS!G11</f>
        <v>-8592172.18377687</v>
      </c>
      <c r="H12" s="45" t="n">
        <f aca="false">+BS!H11</f>
        <v>-13495081.2977822</v>
      </c>
      <c r="I12" s="45" t="n">
        <f aca="false">+BS!I11</f>
        <v>-19745489.1483304</v>
      </c>
      <c r="J12" s="45" t="n">
        <f aca="false">+BS!J11</f>
        <v>-17245716.5200728</v>
      </c>
      <c r="K12" s="45" t="n">
        <f aca="false">+BS!K11</f>
        <v>-2369458.69779965</v>
      </c>
      <c r="L12" s="45" t="n">
        <f aca="false">+BS!L11</f>
        <v>3633394.46963137</v>
      </c>
      <c r="M12" s="45" t="n">
        <f aca="false">+BS!M11</f>
        <v>8544125.83780209</v>
      </c>
      <c r="N12" s="45" t="n">
        <f aca="false">+BS!N11</f>
        <v>13033465.8951665</v>
      </c>
    </row>
    <row r="13" customFormat="false" ht="15" hidden="false" customHeight="false" outlineLevel="0" collapsed="false">
      <c r="A13" s="27" t="s">
        <v>4</v>
      </c>
      <c r="B13" s="21" t="s">
        <v>23</v>
      </c>
      <c r="C13" s="50" t="n">
        <v>0.34</v>
      </c>
      <c r="D13" s="49" t="n">
        <f aca="false">-(D11+D12)*$C$13</f>
        <v>1516371.56752068</v>
      </c>
      <c r="E13" s="49" t="n">
        <f aca="false">-(E11+E12)*$C$13</f>
        <v>2029505.5225542</v>
      </c>
      <c r="F13" s="49" t="n">
        <f aca="false">-(F11+F12)*$C$13</f>
        <v>340791.058896344</v>
      </c>
      <c r="G13" s="49" t="n">
        <f aca="false">-(G11+G12)*$C$13</f>
        <v>-1727984.54541862</v>
      </c>
      <c r="H13" s="49" t="n">
        <f aca="false">-(H11+H12)*$C$13</f>
        <v>-8765918.50877553</v>
      </c>
      <c r="I13" s="49" t="n">
        <f aca="false">-(I11+I12)*$C$13</f>
        <v>-26547978.8827617</v>
      </c>
      <c r="J13" s="49" t="n">
        <f aca="false">-(J11+J12)*$C$13</f>
        <v>-47191367.3222721</v>
      </c>
      <c r="K13" s="49" t="n">
        <f aca="false">-(K11+K12)*$C$13</f>
        <v>-53111289.9523515</v>
      </c>
      <c r="L13" s="49" t="n">
        <f aca="false">-(L11+L12)*$C$13</f>
        <v>-60154558.8320163</v>
      </c>
      <c r="M13" s="49" t="n">
        <f aca="false">-(M11+M12)*$C$13</f>
        <v>-69420993.4487267</v>
      </c>
      <c r="N13" s="49" t="n">
        <f aca="false">-(N11+N12)*$C$13</f>
        <v>-76024459.306907</v>
      </c>
    </row>
    <row r="14" customFormat="false" ht="12.75" hidden="false" customHeight="false" outlineLevel="0" collapsed="false">
      <c r="A14" s="27" t="s">
        <v>51</v>
      </c>
      <c r="B14" s="21" t="s">
        <v>23</v>
      </c>
      <c r="C14" s="50"/>
      <c r="D14" s="15" t="n">
        <f aca="false">SUM(D11:D13)</f>
        <v>-2943544.80754014</v>
      </c>
      <c r="E14" s="15" t="n">
        <f aca="false">SUM(E11:E13)</f>
        <v>-3939628.36731109</v>
      </c>
      <c r="F14" s="15" t="n">
        <f aca="false">SUM(F11:F13)</f>
        <v>-661535.584916432</v>
      </c>
      <c r="G14" s="15" t="n">
        <f aca="false">SUM(G11:G13)</f>
        <v>3354322.94110673</v>
      </c>
      <c r="H14" s="15" t="n">
        <f aca="false">SUM(H11:H13)</f>
        <v>17016194.752329</v>
      </c>
      <c r="I14" s="15" t="n">
        <f aca="false">SUM(I11:I13)</f>
        <v>51534311.9488904</v>
      </c>
      <c r="J14" s="15" t="n">
        <f aca="false">SUM(J11:J13)</f>
        <v>91606771.8608811</v>
      </c>
      <c r="K14" s="15" t="n">
        <f aca="false">SUM(K11:K13)</f>
        <v>103098386.378094</v>
      </c>
      <c r="L14" s="15" t="n">
        <f aca="false">SUM(L11:L13)</f>
        <v>116770614.203326</v>
      </c>
      <c r="M14" s="15" t="n">
        <f aca="false">SUM(M11:M13)</f>
        <v>134758399.047528</v>
      </c>
      <c r="N14" s="15" t="n">
        <f aca="false">SUM(N11:N13)</f>
        <v>147576891.595761</v>
      </c>
    </row>
    <row r="15" customFormat="false" ht="12.75" hidden="false" customHeight="false" outlineLevel="0" collapsed="false">
      <c r="A15" s="27" t="s">
        <v>50</v>
      </c>
      <c r="B15" s="21" t="s">
        <v>23</v>
      </c>
      <c r="D15" s="45" t="n">
        <f aca="false">-D12</f>
        <v>-0.0009</v>
      </c>
      <c r="E15" s="45" t="n">
        <f aca="false">-E12</f>
        <v>2833622.2910536</v>
      </c>
      <c r="F15" s="45" t="n">
        <f aca="false">-F12</f>
        <v>5707901.49453519</v>
      </c>
      <c r="G15" s="45" t="n">
        <f aca="false">-G12</f>
        <v>8592172.18377687</v>
      </c>
      <c r="H15" s="45" t="n">
        <f aca="false">-H12</f>
        <v>13495081.2977822</v>
      </c>
      <c r="I15" s="45" t="n">
        <f aca="false">-I12</f>
        <v>19745489.1483304</v>
      </c>
      <c r="J15" s="45" t="n">
        <f aca="false">-J12</f>
        <v>17245716.5200728</v>
      </c>
      <c r="K15" s="45" t="n">
        <f aca="false">-K12</f>
        <v>2369458.69779965</v>
      </c>
      <c r="L15" s="45" t="n">
        <f aca="false">-L12</f>
        <v>-3633394.46963137</v>
      </c>
      <c r="M15" s="45" t="n">
        <f aca="false">-M12</f>
        <v>-8544125.83780209</v>
      </c>
      <c r="N15" s="45" t="n">
        <f aca="false">-N12</f>
        <v>-13033465.8951665</v>
      </c>
    </row>
    <row r="16" customFormat="false" ht="12.75" hidden="false" customHeight="false" outlineLevel="0" collapsed="false">
      <c r="A16" s="27" t="s">
        <v>52</v>
      </c>
      <c r="B16" s="21" t="s">
        <v>23</v>
      </c>
      <c r="D16" s="45" t="n">
        <f aca="false">BS!D34-BS!D24-BS!D26-BS!D27-BS!D28</f>
        <v>-250680.08713702</v>
      </c>
      <c r="E16" s="45" t="n">
        <f aca="false">-BS!E24-BS!E26-BS!E27-BS!E28+BS!D28+BS!D27+BS!D26+BS!D24+BS!E34-BS!D34</f>
        <v>-2459803.48805461</v>
      </c>
      <c r="F16" s="45" t="n">
        <f aca="false">-BS!F24-BS!F26-BS!F27-BS!F28+BS!E28+BS!E27+BS!E26+BS!E24+BS!F34-BS!E34</f>
        <v>-3979255.69377329</v>
      </c>
      <c r="G16" s="45" t="n">
        <f aca="false">-BS!G24-BS!G26-BS!G27-BS!G28+BS!F28+BS!F27+BS!F26+BS!F24+BS!G34-BS!F34</f>
        <v>-6603227.27384864</v>
      </c>
      <c r="H16" s="45" t="n">
        <f aca="false">-BS!H24-BS!H26-BS!H27-BS!H28+BS!G28+BS!G27+BS!G26+BS!G24+BS!H34-BS!G34</f>
        <v>-13511920.5993108</v>
      </c>
      <c r="I16" s="45" t="n">
        <f aca="false">-BS!I24-BS!I26-BS!I27-BS!I28+BS!H28+BS!H27+BS!H26+BS!H24+BS!I34-BS!H34</f>
        <v>-17159622.4173297</v>
      </c>
      <c r="J16" s="45" t="n">
        <f aca="false">-BS!J24-BS!J26-BS!J27-BS!J28+BS!I28+BS!I27+BS!I26+BS!I24+BS!J34-BS!I34</f>
        <v>-8900808.96453577</v>
      </c>
      <c r="K16" s="45" t="n">
        <f aca="false">-BS!K24-BS!K26-BS!K27-BS!K28+BS!J28+BS!J27+BS!J26+BS!J24+BS!K34-BS!J34</f>
        <v>247047.387533933</v>
      </c>
      <c r="L16" s="45" t="n">
        <f aca="false">-BS!L24-BS!L26-BS!L27-BS!L28+BS!K28+BS!K27+BS!K26+BS!K24+BS!L34-BS!K34</f>
        <v>-942975.54600459</v>
      </c>
      <c r="M16" s="45" t="n">
        <f aca="false">-BS!M24-BS!M26-BS!M27-BS!M28+BS!L28+BS!L27+BS!L26+BS!L24+BS!M34-BS!L34</f>
        <v>-893442.9695201</v>
      </c>
      <c r="N16" s="45" t="n">
        <f aca="false">-BS!N24-BS!N26-BS!N27-BS!N28+BS!M28+BS!M27+BS!M26+BS!M24+BS!N34-BS!M34</f>
        <v>-653461.83551269</v>
      </c>
    </row>
    <row r="17" customFormat="false" ht="12.75" hidden="false" customHeight="false" outlineLevel="0" collapsed="false">
      <c r="A17" s="27" t="s">
        <v>53</v>
      </c>
      <c r="B17" s="21" t="s">
        <v>23</v>
      </c>
      <c r="C17" s="22"/>
      <c r="D17" s="15" t="n">
        <f aca="false">-Costs!D52</f>
        <v>-21006574.7820663</v>
      </c>
      <c r="E17" s="15" t="n">
        <f aca="false">-Costs!E52</f>
        <v>-31864175.8504164</v>
      </c>
      <c r="F17" s="15" t="n">
        <f aca="false">-Costs!F52</f>
        <v>-42183419.6524743</v>
      </c>
      <c r="G17" s="15" t="n">
        <f aca="false">-Costs!G52</f>
        <v>-75509106.1953906</v>
      </c>
      <c r="H17" s="15" t="n">
        <f aca="false">-Costs!H52</f>
        <v>-119387599.054715</v>
      </c>
      <c r="I17" s="15" t="n">
        <f aca="false">-Costs!I52</f>
        <v>-91978148.7048681</v>
      </c>
      <c r="J17" s="15" t="n">
        <f aca="false">-Costs!J52</f>
        <v>-10218362.8546446</v>
      </c>
      <c r="K17" s="15" t="n">
        <f aca="false">-Costs!K52</f>
        <v>-10524913.740284</v>
      </c>
      <c r="L17" s="15" t="n">
        <f aca="false">-Costs!L52</f>
        <v>-10840661.1524924</v>
      </c>
      <c r="M17" s="15" t="n">
        <f aca="false">-Costs!M52</f>
        <v>-11165880.9870672</v>
      </c>
      <c r="N17" s="15" t="n">
        <f aca="false">-Costs!N52</f>
        <v>-8561432.32010865</v>
      </c>
    </row>
    <row r="18" customFormat="false" ht="12.75" hidden="false" customHeight="false" outlineLevel="0" collapsed="false">
      <c r="A18" s="27" t="s">
        <v>54</v>
      </c>
      <c r="B18" s="21"/>
      <c r="C18" s="22"/>
      <c r="D18" s="15" t="n">
        <f aca="false">-Costs!D53</f>
        <v>-4517542.96388522</v>
      </c>
      <c r="E18" s="15" t="n">
        <f aca="false">-Costs!E53</f>
        <v>-0</v>
      </c>
      <c r="F18" s="15" t="n">
        <f aca="false">-Costs!F53</f>
        <v>-0</v>
      </c>
      <c r="G18" s="15" t="n">
        <f aca="false">-Costs!G53</f>
        <v>-0</v>
      </c>
      <c r="H18" s="15" t="n">
        <f aca="false">-Costs!H53</f>
        <v>-0</v>
      </c>
      <c r="I18" s="15" t="n">
        <f aca="false">-Costs!I53</f>
        <v>-0</v>
      </c>
      <c r="J18" s="15" t="n">
        <f aca="false">-Costs!J53</f>
        <v>-0</v>
      </c>
      <c r="K18" s="15" t="n">
        <f aca="false">-Costs!K53</f>
        <v>-0</v>
      </c>
      <c r="L18" s="15" t="n">
        <f aca="false">-Costs!L53</f>
        <v>-0</v>
      </c>
      <c r="M18" s="15" t="n">
        <f aca="false">-Costs!M53</f>
        <v>-0</v>
      </c>
      <c r="N18" s="15" t="n">
        <f aca="false">-Costs!N53</f>
        <v>-0</v>
      </c>
    </row>
    <row r="19" customFormat="false" ht="15" hidden="false" customHeight="false" outlineLevel="0" collapsed="false">
      <c r="A19" s="27" t="s">
        <v>2</v>
      </c>
      <c r="B19" s="21" t="s">
        <v>23</v>
      </c>
      <c r="C19" s="22"/>
      <c r="D19" s="49" t="n">
        <f aca="false">-D10</f>
        <v>5104823.5491903</v>
      </c>
      <c r="E19" s="49" t="n">
        <f aca="false">-E10</f>
        <v>11477658.7192736</v>
      </c>
      <c r="F19" s="49" t="n">
        <f aca="false">-F10</f>
        <v>19914342.6497684</v>
      </c>
      <c r="G19" s="49" t="n">
        <f aca="false">-G10</f>
        <v>35016163.8888466</v>
      </c>
      <c r="H19" s="49" t="n">
        <f aca="false">-H10</f>
        <v>58893683.6997895</v>
      </c>
      <c r="I19" s="49" t="n">
        <f aca="false">-I10</f>
        <v>72184489.8915728</v>
      </c>
      <c r="J19" s="49" t="n">
        <f aca="false">-J10</f>
        <v>67855327.2924185</v>
      </c>
      <c r="K19" s="49" t="n">
        <f aca="false">-K10</f>
        <v>61523626.1099804</v>
      </c>
      <c r="L19" s="49" t="n">
        <f aca="false">-L10</f>
        <v>48589937.1014008</v>
      </c>
      <c r="M19" s="49" t="n">
        <f aca="false">-M10</f>
        <v>26945593.4878713</v>
      </c>
      <c r="N19" s="49" t="n">
        <f aca="false">-N10</f>
        <v>10262250.2109194</v>
      </c>
    </row>
    <row r="20" customFormat="false" ht="12.75" hidden="false" customHeight="false" outlineLevel="0" collapsed="false">
      <c r="A20" s="27" t="s">
        <v>55</v>
      </c>
      <c r="B20" s="21" t="s">
        <v>23</v>
      </c>
      <c r="C20" s="22"/>
      <c r="D20" s="15" t="n">
        <f aca="false">SUM(D14:D19)</f>
        <v>-23613519.0923384</v>
      </c>
      <c r="E20" s="15" t="n">
        <f aca="false">SUM(E14:E19)</f>
        <v>-23952326.6954549</v>
      </c>
      <c r="F20" s="15" t="n">
        <f aca="false">SUM(F14:F19)</f>
        <v>-21201966.7868604</v>
      </c>
      <c r="G20" s="15" t="n">
        <f aca="false">SUM(G14:G19)</f>
        <v>-35149674.4555091</v>
      </c>
      <c r="H20" s="15" t="n">
        <f aca="false">SUM(H14:H19)</f>
        <v>-43494559.904125</v>
      </c>
      <c r="I20" s="15" t="n">
        <f aca="false">SUM(I14:I19)</f>
        <v>34326519.8665959</v>
      </c>
      <c r="J20" s="15" t="n">
        <f aca="false">SUM(J14:J19)</f>
        <v>157588643.854192</v>
      </c>
      <c r="K20" s="15" t="n">
        <f aca="false">SUM(K14:K19)</f>
        <v>156713604.833124</v>
      </c>
      <c r="L20" s="15" t="n">
        <f aca="false">SUM(L14:L19)</f>
        <v>149943520.136598</v>
      </c>
      <c r="M20" s="15" t="n">
        <f aca="false">SUM(M14:M19)</f>
        <v>141100542.74101</v>
      </c>
      <c r="N20" s="15" t="n">
        <f aca="false">SUM(N14:N19)</f>
        <v>135590781.755892</v>
      </c>
    </row>
    <row r="21" customFormat="false" ht="12.75" hidden="false" customHeight="false" outlineLevel="0" collapsed="false">
      <c r="A21" s="51" t="s">
        <v>56</v>
      </c>
      <c r="B21" s="52" t="n">
        <v>0.15</v>
      </c>
      <c r="C21" s="53" t="n">
        <v>0.03</v>
      </c>
      <c r="D21" s="54" t="n">
        <f aca="false">NPV($B$21,$D$20:D20)+MAX(PV($B$21,D2,,-D20/($B$21-$C$21)),SUM(Costs!$D$52:Costs!D52)-SUM(Costs!$D$55:D55))</f>
        <v>-4631743.63002694</v>
      </c>
      <c r="E21" s="54" t="n">
        <f aca="false">NPV($B$21,$D$20:E20)+MAX(PV($B$21,E2,,-E20/($B$21-$C$21)),SUM(Costs!$D$52:Costs!E52)-SUM(Costs!$D$55:E55))</f>
        <v>-2356626.64667613</v>
      </c>
      <c r="F21" s="54" t="n">
        <f aca="false">NPV($B$21,$D$20:F20)+MAX(PV($B$21,F2,,-F20/($B$21-$C$21)),SUM(Costs!$D$52:Costs!F52)-SUM(Costs!$D$55:F55))</f>
        <v>5971813.03418513</v>
      </c>
      <c r="G21" s="54" t="n">
        <f aca="false">NPV($B$21,$D$20:G20)+MAX(PV($B$21,G2,,-G20/($B$21-$C$21)),SUM(Costs!$D$52:Costs!G52)-SUM(Costs!$D$55:G55))</f>
        <v>26367814.8892533</v>
      </c>
      <c r="H21" s="54" t="n">
        <f aca="false">NPV($B$21,$D$20:H20)+MAX(PV($B$21,H2,,-H20/($B$21-$C$21)),SUM(Costs!$D$52:Costs!H52)-SUM(Costs!$D$55:H55))</f>
        <v>65237246.9478099</v>
      </c>
      <c r="I21" s="54" t="n">
        <f aca="false">NPV($B$21,$D$20:I20)+MAX(PV($B$21,I2,,-I20/($B$21-$C$21)),SUM(Costs!$D$52:Costs!I52)-SUM(Costs!$D$55:I55))</f>
        <v>99871207.5710408</v>
      </c>
      <c r="J21" s="54" t="n">
        <f aca="false">NPV($B$21,$D$20:J20)+MAX(PV($B$21,J2,,-J20/($B$21-$C$21)),SUM(Costs!$D$52:Costs!J52)-SUM(Costs!$D$55:J55))</f>
        <v>547526083.529302</v>
      </c>
      <c r="K21" s="54" t="n">
        <f aca="false">NPV($B$21,$D$20:K20)+MAX(PV($B$21,K2,,-K20/($B$21-$C$21)),SUM(Costs!$D$52:Costs!K52)-SUM(Costs!$D$55:K55))</f>
        <v>521960448.736716</v>
      </c>
      <c r="L21" s="54" t="n">
        <f aca="false">NPV($B$21,$D$20:L20)+MAX(PV($B$21,L2,,-L20/($B$21-$C$21)),SUM(Costs!$D$52:Costs!L52)-SUM(Costs!$D$55:L55))</f>
        <v>482103372.04679</v>
      </c>
      <c r="M21" s="54" t="n">
        <f aca="false">NPV($B$21,$D$20:M20)+MAX(PV($B$21,M2,,-M20/($B$21-$C$21)),SUM(Costs!$D$52:Costs!M52)-SUM(Costs!$D$55:M55))</f>
        <v>442754417.490702</v>
      </c>
      <c r="N21" s="54" t="n">
        <f aca="false">NPV($B$21,$D$20:N20)+MAX(PV($B$21,N2,,-N20/($B$21-$C$21)),SUM(Costs!$D$52:Costs!N52)-SUM(Costs!$D$55:N55))</f>
        <v>416951961.436973</v>
      </c>
    </row>
    <row r="22" customFormat="false" ht="13.5" hidden="false" customHeight="false" outlineLevel="0" collapsed="false">
      <c r="A22" s="55" t="s">
        <v>57</v>
      </c>
      <c r="B22" s="56"/>
      <c r="C22" s="57"/>
      <c r="D22" s="58" t="e">
        <f aca="false">IRR($D$20:D20)</f>
        <v>#N/A</v>
      </c>
      <c r="E22" s="58" t="e">
        <f aca="false">IRR($D$20:E20)</f>
        <v>#N/A</v>
      </c>
      <c r="F22" s="58" t="e">
        <f aca="false">IRR($D$20:F20)</f>
        <v>#N/A</v>
      </c>
      <c r="G22" s="58" t="e">
        <f aca="false">IRR($D$20:G20)</f>
        <v>#N/A</v>
      </c>
      <c r="H22" s="58" t="e">
        <f aca="false">IRR($D$20:H20)</f>
        <v>#N/A</v>
      </c>
      <c r="I22" s="58" t="e">
        <f aca="false">IRR($D$20:I20)</f>
        <v>#N/A</v>
      </c>
      <c r="J22" s="58" t="n">
        <f aca="false">IRR($D$20:J20)</f>
        <v>0.0771713684984214</v>
      </c>
      <c r="K22" s="58" t="n">
        <f aca="false">IRR($D$20:K20)</f>
        <v>0.228520011249214</v>
      </c>
      <c r="L22" s="58" t="n">
        <f aca="false">IRR($D$20:L20)</f>
        <v>0.298237661519256</v>
      </c>
      <c r="M22" s="58" t="n">
        <f aca="false">IRR($D$20:M20)</f>
        <v>0.335281115734619</v>
      </c>
      <c r="N22" s="58" t="n">
        <f aca="false">IRR($D$20:N20)</f>
        <v>0.357024303938663</v>
      </c>
    </row>
    <row r="23" customFormat="false" ht="12.75" hidden="false" customHeight="false" outlineLevel="0" collapsed="false">
      <c r="A23" s="27"/>
      <c r="B23" s="8"/>
      <c r="C23" s="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60"/>
      <c r="IF23" s="60"/>
      <c r="IG23" s="60"/>
      <c r="IH23" s="60"/>
      <c r="II23" s="60"/>
      <c r="IJ23" s="60"/>
      <c r="IK23" s="60"/>
      <c r="IL23" s="60"/>
      <c r="IM23" s="60"/>
      <c r="IN23" s="60"/>
      <c r="IO23" s="60"/>
      <c r="IP23" s="60"/>
      <c r="IQ23" s="60"/>
      <c r="IR23" s="60"/>
      <c r="IS23" s="60"/>
      <c r="IT23" s="60"/>
      <c r="IU23" s="60"/>
      <c r="IV23" s="60"/>
      <c r="IW23" s="60"/>
    </row>
    <row r="24" customFormat="false" ht="12.75" hidden="false" customHeight="false" outlineLevel="0" collapsed="false">
      <c r="A24" s="27"/>
      <c r="B24" s="8"/>
      <c r="C24" s="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60"/>
      <c r="IF24" s="60"/>
      <c r="IG24" s="60"/>
      <c r="IH24" s="60"/>
      <c r="II24" s="60"/>
      <c r="IJ24" s="60"/>
      <c r="IK24" s="60"/>
      <c r="IL24" s="60"/>
      <c r="IM24" s="60"/>
      <c r="IN24" s="60"/>
      <c r="IO24" s="60"/>
      <c r="IP24" s="60"/>
      <c r="IQ24" s="60"/>
      <c r="IR24" s="60"/>
      <c r="IS24" s="60"/>
      <c r="IT24" s="60"/>
      <c r="IU24" s="60"/>
      <c r="IV24" s="60"/>
      <c r="IW24" s="60"/>
    </row>
    <row r="25" customFormat="false" ht="12.75" hidden="false" customHeight="false" outlineLevel="0" collapsed="false">
      <c r="A25" s="27"/>
      <c r="B25" s="8"/>
      <c r="C25" s="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60"/>
      <c r="IF25" s="60"/>
      <c r="IG25" s="60"/>
      <c r="IH25" s="60"/>
      <c r="II25" s="60"/>
      <c r="IJ25" s="60"/>
      <c r="IK25" s="60"/>
      <c r="IL25" s="60"/>
      <c r="IM25" s="60"/>
      <c r="IN25" s="60"/>
      <c r="IO25" s="60"/>
      <c r="IP25" s="60"/>
      <c r="IQ25" s="60"/>
      <c r="IR25" s="60"/>
      <c r="IS25" s="60"/>
      <c r="IT25" s="60"/>
      <c r="IU25" s="60"/>
      <c r="IV25" s="60"/>
      <c r="IW25" s="60"/>
    </row>
    <row r="26" customFormat="false" ht="12.75" hidden="false" customHeight="false" outlineLevel="0" collapsed="false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60"/>
      <c r="IF26" s="60"/>
      <c r="IG26" s="60"/>
      <c r="IH26" s="60"/>
      <c r="II26" s="60"/>
      <c r="IJ26" s="60"/>
      <c r="IK26" s="60"/>
      <c r="IL26" s="60"/>
      <c r="IM26" s="60"/>
      <c r="IN26" s="60"/>
      <c r="IO26" s="60"/>
      <c r="IP26" s="60"/>
      <c r="IQ26" s="60"/>
      <c r="IR26" s="60"/>
      <c r="IS26" s="60"/>
      <c r="IT26" s="60"/>
      <c r="IU26" s="60"/>
      <c r="IV26" s="60"/>
      <c r="IW26" s="60"/>
    </row>
    <row r="27" customFormat="false" ht="12.75" hidden="false" customHeight="false" outlineLevel="0" collapsed="false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60"/>
      <c r="IF27" s="60"/>
      <c r="IG27" s="60"/>
      <c r="IH27" s="60"/>
      <c r="II27" s="60"/>
      <c r="IJ27" s="60"/>
      <c r="IK27" s="60"/>
      <c r="IL27" s="60"/>
      <c r="IM27" s="60"/>
      <c r="IN27" s="60"/>
      <c r="IO27" s="60"/>
      <c r="IP27" s="60"/>
      <c r="IQ27" s="60"/>
      <c r="IR27" s="60"/>
      <c r="IS27" s="60"/>
      <c r="IT27" s="60"/>
      <c r="IU27" s="60"/>
      <c r="IV27" s="60"/>
      <c r="IW27" s="60"/>
    </row>
    <row r="28" customFormat="false" ht="12.75" hidden="false" customHeight="false" outlineLevel="0" collapsed="false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60"/>
      <c r="IF28" s="60"/>
      <c r="IG28" s="60"/>
      <c r="IH28" s="60"/>
      <c r="II28" s="60"/>
      <c r="IJ28" s="60"/>
      <c r="IK28" s="60"/>
      <c r="IL28" s="60"/>
      <c r="IM28" s="60"/>
      <c r="IN28" s="60"/>
      <c r="IO28" s="60"/>
      <c r="IP28" s="60"/>
      <c r="IQ28" s="60"/>
      <c r="IR28" s="60"/>
      <c r="IS28" s="60"/>
      <c r="IT28" s="60"/>
      <c r="IU28" s="60"/>
      <c r="IV28" s="60"/>
      <c r="IW28" s="60"/>
    </row>
    <row r="29" customFormat="false" ht="12.75" hidden="false" customHeight="false" outlineLevel="0" collapsed="false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60"/>
      <c r="IF29" s="60"/>
      <c r="IG29" s="60"/>
      <c r="IH29" s="60"/>
      <c r="II29" s="60"/>
      <c r="IJ29" s="60"/>
      <c r="IK29" s="60"/>
      <c r="IL29" s="60"/>
      <c r="IM29" s="60"/>
      <c r="IN29" s="60"/>
      <c r="IO29" s="60"/>
      <c r="IP29" s="60"/>
      <c r="IQ29" s="60"/>
      <c r="IR29" s="60"/>
      <c r="IS29" s="60"/>
      <c r="IT29" s="60"/>
      <c r="IU29" s="60"/>
      <c r="IV29" s="60"/>
      <c r="IW29" s="60"/>
    </row>
    <row r="30" customFormat="false" ht="12.75" hidden="false" customHeight="false" outlineLevel="0" collapsed="false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61"/>
      <c r="DL30" s="61"/>
      <c r="DM30" s="61"/>
      <c r="DN30" s="61"/>
      <c r="DO30" s="61"/>
      <c r="DP30" s="61"/>
      <c r="DQ30" s="61"/>
      <c r="DR30" s="61"/>
      <c r="DS30" s="61"/>
      <c r="DT30" s="61"/>
      <c r="DU30" s="61"/>
      <c r="DV30" s="61"/>
      <c r="DW30" s="61"/>
      <c r="DX30" s="61"/>
      <c r="DY30" s="61"/>
      <c r="DZ30" s="61"/>
      <c r="EA30" s="61"/>
      <c r="EB30" s="61"/>
      <c r="EC30" s="61"/>
      <c r="ED30" s="61"/>
      <c r="EE30" s="61"/>
      <c r="EF30" s="61"/>
      <c r="EG30" s="61"/>
      <c r="EH30" s="61"/>
      <c r="EI30" s="61"/>
      <c r="EJ30" s="61"/>
      <c r="EK30" s="61"/>
      <c r="EL30" s="61"/>
      <c r="EM30" s="61"/>
      <c r="EN30" s="61"/>
      <c r="EO30" s="61"/>
      <c r="EP30" s="61"/>
      <c r="EQ30" s="61"/>
      <c r="ER30" s="61"/>
      <c r="ES30" s="61"/>
      <c r="ET30" s="61"/>
      <c r="EU30" s="61"/>
      <c r="EV30" s="61"/>
      <c r="EW30" s="61"/>
      <c r="EX30" s="61"/>
      <c r="EY30" s="61"/>
      <c r="EZ30" s="61"/>
      <c r="FA30" s="61"/>
      <c r="FB30" s="61"/>
      <c r="FC30" s="61"/>
      <c r="FD30" s="61"/>
      <c r="FE30" s="61"/>
      <c r="FF30" s="61"/>
      <c r="FG30" s="61"/>
      <c r="FH30" s="61"/>
      <c r="FI30" s="61"/>
      <c r="FJ30" s="61"/>
      <c r="FK30" s="61"/>
      <c r="FL30" s="61"/>
      <c r="FM30" s="61"/>
      <c r="FN30" s="61"/>
      <c r="FO30" s="61"/>
      <c r="FP30" s="61"/>
      <c r="FQ30" s="61"/>
      <c r="FR30" s="61"/>
      <c r="FS30" s="61"/>
      <c r="FT30" s="61"/>
      <c r="FU30" s="61"/>
      <c r="FV30" s="61"/>
      <c r="FW30" s="61"/>
      <c r="FX30" s="61"/>
      <c r="FY30" s="61"/>
      <c r="FZ30" s="61"/>
      <c r="GA30" s="61"/>
      <c r="GB30" s="61"/>
      <c r="GC30" s="61"/>
      <c r="GD30" s="61"/>
      <c r="GE30" s="61"/>
      <c r="GF30" s="61"/>
      <c r="GG30" s="61"/>
      <c r="GH30" s="61"/>
      <c r="GI30" s="61"/>
      <c r="GJ30" s="61"/>
      <c r="GK30" s="61"/>
      <c r="GL30" s="61"/>
      <c r="GM30" s="61"/>
      <c r="GN30" s="61"/>
      <c r="GO30" s="61"/>
      <c r="GP30" s="61"/>
      <c r="GQ30" s="61"/>
      <c r="GR30" s="61"/>
      <c r="GS30" s="61"/>
      <c r="GT30" s="61"/>
      <c r="GU30" s="61"/>
      <c r="GV30" s="61"/>
      <c r="GW30" s="61"/>
      <c r="GX30" s="61"/>
      <c r="GY30" s="61"/>
      <c r="GZ30" s="61"/>
      <c r="HA30" s="61"/>
      <c r="HB30" s="61"/>
      <c r="HC30" s="61"/>
      <c r="HD30" s="61"/>
      <c r="HE30" s="61"/>
      <c r="HF30" s="61"/>
      <c r="HG30" s="61"/>
      <c r="HH30" s="61"/>
      <c r="HI30" s="61"/>
      <c r="HJ30" s="61"/>
      <c r="HK30" s="61"/>
      <c r="HL30" s="61"/>
      <c r="HM30" s="61"/>
      <c r="HN30" s="61"/>
      <c r="HO30" s="61"/>
      <c r="HP30" s="61"/>
      <c r="HQ30" s="61"/>
      <c r="HR30" s="61"/>
      <c r="HS30" s="61"/>
      <c r="HT30" s="61"/>
      <c r="HU30" s="61"/>
      <c r="HV30" s="61"/>
      <c r="HW30" s="61"/>
      <c r="HX30" s="61"/>
      <c r="HY30" s="61"/>
      <c r="HZ30" s="61"/>
      <c r="IA30" s="61"/>
      <c r="IB30" s="61"/>
      <c r="IC30" s="61"/>
      <c r="ID30" s="61"/>
      <c r="IE30" s="61"/>
      <c r="IF30" s="61"/>
      <c r="IG30" s="61"/>
      <c r="IH30" s="61"/>
      <c r="II30" s="61"/>
      <c r="IJ30" s="61"/>
      <c r="IK30" s="61"/>
      <c r="IL30" s="61"/>
      <c r="IM30" s="61"/>
      <c r="IN30" s="61"/>
      <c r="IO30" s="61"/>
      <c r="IP30" s="61"/>
      <c r="IQ30" s="61"/>
      <c r="IR30" s="61"/>
      <c r="IS30" s="61"/>
      <c r="IT30" s="61"/>
      <c r="IU30" s="61"/>
      <c r="IV30" s="61"/>
      <c r="IW30" s="61"/>
    </row>
    <row r="31" customFormat="false" ht="12.75" hidden="false" customHeight="false" outlineLevel="0" collapsed="false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1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</row>
    <row r="32" customFormat="false" ht="12.75" hidden="false" customHeight="false" outlineLevel="0" collapsed="false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1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</row>
    <row r="33" customFormat="false" ht="12.75" hidden="false" customHeight="false" outlineLevel="0" collapsed="false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2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60"/>
      <c r="IF33" s="60"/>
      <c r="IG33" s="60"/>
      <c r="IH33" s="60"/>
      <c r="II33" s="60"/>
      <c r="IJ33" s="60"/>
      <c r="IK33" s="60"/>
      <c r="IL33" s="60"/>
      <c r="IM33" s="60"/>
      <c r="IN33" s="60"/>
      <c r="IO33" s="60"/>
      <c r="IP33" s="60"/>
      <c r="IQ33" s="60"/>
      <c r="IR33" s="60"/>
      <c r="IS33" s="60"/>
      <c r="IT33" s="60"/>
      <c r="IU33" s="60"/>
      <c r="IV33" s="60"/>
      <c r="IW33" s="60"/>
    </row>
    <row r="34" customFormat="false" ht="12.75" hidden="false" customHeight="false" outlineLevel="0" collapsed="false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3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/>
      <c r="CH34" s="61"/>
      <c r="CI34" s="61"/>
      <c r="CJ34" s="61"/>
      <c r="CK34" s="61"/>
      <c r="CL34" s="61"/>
      <c r="CM34" s="61"/>
      <c r="CN34" s="61"/>
      <c r="CO34" s="61"/>
      <c r="CP34" s="61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1"/>
      <c r="DR34" s="61"/>
      <c r="DS34" s="61"/>
      <c r="DT34" s="61"/>
      <c r="DU34" s="61"/>
      <c r="DV34" s="61"/>
      <c r="DW34" s="61"/>
      <c r="DX34" s="61"/>
      <c r="DY34" s="61"/>
      <c r="DZ34" s="61"/>
      <c r="EA34" s="61"/>
      <c r="EB34" s="61"/>
      <c r="EC34" s="61"/>
      <c r="ED34" s="61"/>
      <c r="EE34" s="61"/>
      <c r="EF34" s="61"/>
      <c r="EG34" s="61"/>
      <c r="EH34" s="61"/>
      <c r="EI34" s="61"/>
      <c r="EJ34" s="61"/>
      <c r="EK34" s="61"/>
      <c r="EL34" s="61"/>
      <c r="EM34" s="61"/>
      <c r="EN34" s="61"/>
      <c r="EO34" s="61"/>
      <c r="EP34" s="61"/>
      <c r="EQ34" s="61"/>
      <c r="ER34" s="61"/>
      <c r="ES34" s="61"/>
      <c r="ET34" s="61"/>
      <c r="EU34" s="61"/>
      <c r="EV34" s="61"/>
      <c r="EW34" s="61"/>
      <c r="EX34" s="61"/>
      <c r="EY34" s="61"/>
      <c r="EZ34" s="61"/>
      <c r="FA34" s="61"/>
      <c r="FB34" s="61"/>
      <c r="FC34" s="61"/>
      <c r="FD34" s="61"/>
      <c r="FE34" s="61"/>
      <c r="FF34" s="61"/>
      <c r="FG34" s="61"/>
      <c r="FH34" s="61"/>
      <c r="FI34" s="61"/>
      <c r="FJ34" s="61"/>
      <c r="FK34" s="61"/>
      <c r="FL34" s="61"/>
      <c r="FM34" s="61"/>
      <c r="FN34" s="61"/>
      <c r="FO34" s="61"/>
      <c r="FP34" s="61"/>
      <c r="FQ34" s="61"/>
      <c r="FR34" s="61"/>
      <c r="FS34" s="61"/>
      <c r="FT34" s="61"/>
      <c r="FU34" s="61"/>
      <c r="FV34" s="61"/>
      <c r="FW34" s="61"/>
      <c r="FX34" s="61"/>
      <c r="FY34" s="61"/>
      <c r="FZ34" s="61"/>
      <c r="GA34" s="61"/>
      <c r="GB34" s="61"/>
      <c r="GC34" s="61"/>
      <c r="GD34" s="61"/>
      <c r="GE34" s="61"/>
      <c r="GF34" s="61"/>
      <c r="GG34" s="61"/>
      <c r="GH34" s="61"/>
      <c r="GI34" s="61"/>
      <c r="GJ34" s="61"/>
      <c r="GK34" s="61"/>
      <c r="GL34" s="61"/>
      <c r="GM34" s="61"/>
      <c r="GN34" s="61"/>
      <c r="GO34" s="61"/>
      <c r="GP34" s="61"/>
      <c r="GQ34" s="61"/>
      <c r="GR34" s="61"/>
      <c r="GS34" s="61"/>
      <c r="GT34" s="61"/>
      <c r="GU34" s="61"/>
      <c r="GV34" s="61"/>
      <c r="GW34" s="61"/>
      <c r="GX34" s="61"/>
      <c r="GY34" s="61"/>
      <c r="GZ34" s="61"/>
      <c r="HA34" s="61"/>
      <c r="HB34" s="61"/>
      <c r="HC34" s="61"/>
      <c r="HD34" s="61"/>
      <c r="HE34" s="61"/>
      <c r="HF34" s="61"/>
      <c r="HG34" s="61"/>
      <c r="HH34" s="61"/>
      <c r="HI34" s="61"/>
      <c r="HJ34" s="61"/>
      <c r="HK34" s="61"/>
      <c r="HL34" s="61"/>
      <c r="HM34" s="61"/>
      <c r="HN34" s="61"/>
      <c r="HO34" s="61"/>
      <c r="HP34" s="61"/>
      <c r="HQ34" s="61"/>
      <c r="HR34" s="61"/>
      <c r="HS34" s="61"/>
      <c r="HT34" s="61"/>
      <c r="HU34" s="61"/>
      <c r="HV34" s="61"/>
      <c r="HW34" s="61"/>
      <c r="HX34" s="61"/>
      <c r="HY34" s="61"/>
      <c r="HZ34" s="61"/>
      <c r="IA34" s="61"/>
      <c r="IB34" s="61"/>
      <c r="IC34" s="61"/>
      <c r="ID34" s="61"/>
      <c r="IE34" s="61"/>
      <c r="IF34" s="61"/>
      <c r="IG34" s="61"/>
      <c r="IH34" s="61"/>
      <c r="II34" s="61"/>
      <c r="IJ34" s="61"/>
      <c r="IK34" s="61"/>
      <c r="IL34" s="61"/>
      <c r="IM34" s="61"/>
      <c r="IN34" s="61"/>
      <c r="IO34" s="61"/>
      <c r="IP34" s="61"/>
      <c r="IQ34" s="61"/>
      <c r="IR34" s="61"/>
      <c r="IS34" s="61"/>
      <c r="IT34" s="61"/>
      <c r="IU34" s="61"/>
      <c r="IV34" s="61"/>
      <c r="IW34" s="61"/>
    </row>
    <row r="35" customFormat="false" ht="12.75" hidden="false" customHeight="false" outlineLevel="0" collapsed="false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60"/>
      <c r="IF35" s="60"/>
      <c r="IG35" s="60"/>
      <c r="IH35" s="60"/>
      <c r="II35" s="60"/>
      <c r="IJ35" s="60"/>
      <c r="IK35" s="60"/>
      <c r="IL35" s="60"/>
      <c r="IM35" s="60"/>
      <c r="IN35" s="60"/>
      <c r="IO35" s="60"/>
      <c r="IP35" s="60"/>
      <c r="IQ35" s="60"/>
      <c r="IR35" s="60"/>
      <c r="IS35" s="60"/>
      <c r="IT35" s="60"/>
      <c r="IU35" s="60"/>
      <c r="IV35" s="60"/>
      <c r="IW35" s="60"/>
    </row>
    <row r="36" customFormat="false" ht="12.75" hidden="false" customHeight="false" outlineLevel="0" collapsed="false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60"/>
      <c r="IF36" s="60"/>
      <c r="IG36" s="60"/>
      <c r="IH36" s="60"/>
      <c r="II36" s="60"/>
      <c r="IJ36" s="60"/>
      <c r="IK36" s="60"/>
      <c r="IL36" s="60"/>
      <c r="IM36" s="60"/>
      <c r="IN36" s="60"/>
      <c r="IO36" s="60"/>
      <c r="IP36" s="60"/>
      <c r="IQ36" s="60"/>
      <c r="IR36" s="60"/>
      <c r="IS36" s="60"/>
      <c r="IT36" s="60"/>
      <c r="IU36" s="60"/>
      <c r="IV36" s="60"/>
      <c r="IW36" s="60"/>
    </row>
    <row r="37" customFormat="false" ht="12.75" hidden="false" customHeight="false" outlineLevel="0" collapsed="false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60"/>
      <c r="IF37" s="60"/>
      <c r="IG37" s="60"/>
      <c r="IH37" s="60"/>
      <c r="II37" s="60"/>
      <c r="IJ37" s="60"/>
      <c r="IK37" s="60"/>
      <c r="IL37" s="60"/>
      <c r="IM37" s="60"/>
      <c r="IN37" s="60"/>
      <c r="IO37" s="60"/>
      <c r="IP37" s="60"/>
      <c r="IQ37" s="60"/>
      <c r="IR37" s="60"/>
      <c r="IS37" s="60"/>
      <c r="IT37" s="60"/>
      <c r="IU37" s="60"/>
      <c r="IV37" s="60"/>
      <c r="IW37" s="60"/>
    </row>
    <row r="38" customFormat="false" ht="12.75" hidden="false" customHeight="false" outlineLevel="0" collapsed="false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60"/>
      <c r="HJ38" s="60"/>
      <c r="HK38" s="60"/>
      <c r="HL38" s="60"/>
      <c r="HM38" s="60"/>
      <c r="HN38" s="60"/>
      <c r="HO38" s="60"/>
      <c r="HP38" s="60"/>
      <c r="HQ38" s="60"/>
      <c r="HR38" s="60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60"/>
      <c r="IF38" s="60"/>
      <c r="IG38" s="60"/>
      <c r="IH38" s="60"/>
      <c r="II38" s="60"/>
      <c r="IJ38" s="60"/>
      <c r="IK38" s="60"/>
      <c r="IL38" s="60"/>
      <c r="IM38" s="60"/>
      <c r="IN38" s="60"/>
      <c r="IO38" s="60"/>
      <c r="IP38" s="60"/>
      <c r="IQ38" s="60"/>
      <c r="IR38" s="60"/>
      <c r="IS38" s="60"/>
      <c r="IT38" s="60"/>
      <c r="IU38" s="60"/>
      <c r="IV38" s="60"/>
      <c r="IW38" s="60"/>
    </row>
    <row r="39" customFormat="false" ht="12.75" hidden="false" customHeight="false" outlineLevel="0" collapsed="false">
      <c r="A39" s="27"/>
      <c r="B39" s="8"/>
      <c r="C39" s="50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</row>
    <row r="40" customFormat="false" ht="12.75" hidden="false" customHeight="false" outlineLevel="0" collapsed="false">
      <c r="A40" s="27"/>
      <c r="B40" s="8"/>
      <c r="C40" s="50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</row>
    <row r="41" customFormat="false" ht="12.75" hidden="false" customHeight="false" outlineLevel="0" collapsed="false">
      <c r="A41" s="27"/>
      <c r="B41" s="8"/>
      <c r="C41" s="50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</row>
    <row r="42" customFormat="false" ht="12.75" hidden="false" customHeight="false" outlineLevel="0" collapsed="false">
      <c r="A42" s="27"/>
      <c r="B42" s="8"/>
      <c r="C42" s="50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</row>
    <row r="43" customFormat="false" ht="12.75" hidden="false" customHeight="false" outlineLevel="0" collapsed="false">
      <c r="A43" s="27"/>
      <c r="B43" s="8"/>
      <c r="C43" s="50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</row>
    <row r="44" customFormat="false" ht="12.75" hidden="false" customHeight="false" outlineLevel="0" collapsed="false">
      <c r="A44" s="27"/>
      <c r="B44" s="8"/>
      <c r="C44" s="50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</row>
    <row r="45" customFormat="false" ht="12.75" hidden="false" customHeight="false" outlineLevel="0" collapsed="false">
      <c r="A45" s="27"/>
      <c r="B45" s="8"/>
      <c r="C45" s="50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</row>
    <row r="46" customFormat="false" ht="12.75" hidden="false" customHeight="false" outlineLevel="0" collapsed="false">
      <c r="A46" s="27"/>
      <c r="B46" s="8"/>
      <c r="C46" s="50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</row>
    <row r="47" customFormat="false" ht="12.75" hidden="false" customHeight="false" outlineLevel="0" collapsed="false">
      <c r="A47" s="27"/>
      <c r="B47" s="8"/>
      <c r="C47" s="50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</row>
    <row r="48" customFormat="false" ht="12.75" hidden="false" customHeight="false" outlineLevel="0" collapsed="false">
      <c r="A48" s="27"/>
      <c r="B48" s="8"/>
      <c r="C48" s="50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</row>
    <row r="49" customFormat="false" ht="12.75" hidden="false" customHeight="false" outlineLevel="0" collapsed="false">
      <c r="A49" s="27"/>
      <c r="B49" s="8"/>
      <c r="C49" s="50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</row>
    <row r="50" customFormat="false" ht="12.75" hidden="false" customHeight="false" outlineLevel="0" collapsed="false">
      <c r="A50" s="27"/>
      <c r="B50" s="8"/>
      <c r="C50" s="50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customFormat="false" ht="12.75" hidden="false" customHeight="false" outlineLevel="0" collapsed="false">
      <c r="A51" s="27"/>
      <c r="B51" s="8"/>
      <c r="C51" s="50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</row>
    <row r="52" customFormat="false" ht="12.75" hidden="false" customHeight="false" outlineLevel="0" collapsed="false">
      <c r="A52" s="27"/>
      <c r="B52" s="8"/>
      <c r="C52" s="50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</row>
    <row r="53" customFormat="false" ht="12.75" hidden="false" customHeight="false" outlineLevel="0" collapsed="false">
      <c r="A53" s="27"/>
      <c r="B53" s="8"/>
      <c r="C53" s="50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</row>
    <row r="54" customFormat="false" ht="13.5" hidden="false" customHeight="false" outlineLevel="0" collapsed="false">
      <c r="A54" s="48" t="str">
        <f aca="false">A2</f>
        <v>PERIOD</v>
      </c>
      <c r="B54" s="5"/>
      <c r="C54" s="6" t="str">
        <f aca="false">Revenue!C$1</f>
        <v>@</v>
      </c>
      <c r="D54" s="6" t="n">
        <f aca="false">Revenue!D$1</f>
        <v>0</v>
      </c>
      <c r="E54" s="6" t="n">
        <f aca="false">Revenue!E$1</f>
        <v>1</v>
      </c>
      <c r="F54" s="6" t="n">
        <f aca="false">Revenue!F$1</f>
        <v>2</v>
      </c>
      <c r="G54" s="6" t="n">
        <f aca="false">Revenue!G$1</f>
        <v>3</v>
      </c>
      <c r="H54" s="6" t="n">
        <f aca="false">Revenue!H$1</f>
        <v>4</v>
      </c>
      <c r="I54" s="6" t="n">
        <f aca="false">Revenue!I$1</f>
        <v>5</v>
      </c>
      <c r="J54" s="6" t="n">
        <f aca="false">Revenue!J$1</f>
        <v>6</v>
      </c>
      <c r="K54" s="6" t="n">
        <f aca="false">Revenue!K$1</f>
        <v>7</v>
      </c>
      <c r="L54" s="6" t="n">
        <f aca="false">Revenue!L$1</f>
        <v>8</v>
      </c>
      <c r="M54" s="6" t="n">
        <f aca="false">Revenue!M$1</f>
        <v>9</v>
      </c>
      <c r="N54" s="6" t="n">
        <f aca="false">Revenue!N$1</f>
        <v>10</v>
      </c>
    </row>
    <row r="55" customFormat="false" ht="12.75" hidden="false" customHeight="false" outlineLevel="0" collapsed="false">
      <c r="A55" s="27" t="s">
        <v>43</v>
      </c>
      <c r="B55" s="21" t="s">
        <v>58</v>
      </c>
      <c r="C55" s="22"/>
      <c r="D55" s="59" t="n">
        <f aca="false">D3/D$3</f>
        <v>1</v>
      </c>
      <c r="E55" s="59" t="n">
        <f aca="false">E3/E$3</f>
        <v>1</v>
      </c>
      <c r="F55" s="59" t="n">
        <f aca="false">F3/F$3</f>
        <v>1</v>
      </c>
      <c r="G55" s="59" t="n">
        <f aca="false">G3/G$3</f>
        <v>1</v>
      </c>
      <c r="H55" s="59" t="n">
        <f aca="false">H3/H$3</f>
        <v>1</v>
      </c>
      <c r="I55" s="59" t="n">
        <f aca="false">I3/I$3</f>
        <v>1</v>
      </c>
      <c r="J55" s="59" t="n">
        <f aca="false">J3/J$3</f>
        <v>1</v>
      </c>
      <c r="K55" s="59" t="n">
        <f aca="false">K3/K$3</f>
        <v>1</v>
      </c>
      <c r="L55" s="59" t="n">
        <f aca="false">L3/L$3</f>
        <v>1</v>
      </c>
      <c r="M55" s="59" t="n">
        <f aca="false">M3/M$3</f>
        <v>1</v>
      </c>
      <c r="N55" s="59" t="n">
        <f aca="false">N3/N$3</f>
        <v>1</v>
      </c>
    </row>
    <row r="56" customFormat="false" ht="15" hidden="false" customHeight="false" outlineLevel="0" collapsed="false">
      <c r="A56" s="27" t="s">
        <v>44</v>
      </c>
      <c r="B56" s="21" t="s">
        <v>58</v>
      </c>
      <c r="C56" s="22"/>
      <c r="D56" s="64" t="n">
        <f aca="false">D4/D$3</f>
        <v>-0.255970149253731</v>
      </c>
      <c r="E56" s="64" t="n">
        <f aca="false">E4/E$3</f>
        <v>-0.222540619288974</v>
      </c>
      <c r="F56" s="64" t="n">
        <f aca="false">F4/F$3</f>
        <v>-0.232995327400629</v>
      </c>
      <c r="G56" s="64" t="n">
        <f aca="false">G4/G$3</f>
        <v>-0.231310854668884</v>
      </c>
      <c r="H56" s="64" t="n">
        <f aca="false">H4/H$3</f>
        <v>-0.230454003561796</v>
      </c>
      <c r="I56" s="64" t="n">
        <f aca="false">I4/I$3</f>
        <v>-0.234075403188771</v>
      </c>
      <c r="J56" s="64" t="n">
        <f aca="false">J4/J$3</f>
        <v>-0.242089936088011</v>
      </c>
      <c r="K56" s="64" t="n">
        <f aca="false">K4/K$3</f>
        <v>-0.241436343508143</v>
      </c>
      <c r="L56" s="64" t="n">
        <f aca="false">L4/L$3</f>
        <v>-0.242155207560743</v>
      </c>
      <c r="M56" s="64" t="n">
        <f aca="false">M4/M$3</f>
        <v>-0.243368733645415</v>
      </c>
      <c r="N56" s="64" t="n">
        <f aca="false">N4/N$3</f>
        <v>-0.245194427657443</v>
      </c>
    </row>
    <row r="57" customFormat="false" ht="12.75" hidden="false" customHeight="false" outlineLevel="0" collapsed="false">
      <c r="A57" s="27" t="s">
        <v>45</v>
      </c>
      <c r="B57" s="21" t="s">
        <v>58</v>
      </c>
      <c r="C57" s="22"/>
      <c r="D57" s="59" t="n">
        <f aca="false">D5/D$3</f>
        <v>0.744029850746269</v>
      </c>
      <c r="E57" s="59" t="n">
        <f aca="false">E5/E$3</f>
        <v>0.777459380711026</v>
      </c>
      <c r="F57" s="59" t="n">
        <f aca="false">F5/F$3</f>
        <v>0.767004672599371</v>
      </c>
      <c r="G57" s="59" t="n">
        <f aca="false">G5/G$3</f>
        <v>0.768689145331116</v>
      </c>
      <c r="H57" s="59" t="n">
        <f aca="false">H5/H$3</f>
        <v>0.769545996438204</v>
      </c>
      <c r="I57" s="59" t="n">
        <f aca="false">I5/I$3</f>
        <v>0.765924596811229</v>
      </c>
      <c r="J57" s="59" t="n">
        <f aca="false">J5/J$3</f>
        <v>0.757910063911989</v>
      </c>
      <c r="K57" s="59" t="n">
        <f aca="false">K5/K$3</f>
        <v>0.758563656491857</v>
      </c>
      <c r="L57" s="59" t="n">
        <f aca="false">L5/L$3</f>
        <v>0.757844792439257</v>
      </c>
      <c r="M57" s="59" t="n">
        <f aca="false">M5/M$3</f>
        <v>0.756631266354585</v>
      </c>
      <c r="N57" s="59" t="n">
        <f aca="false">N5/N$3</f>
        <v>0.754805572342557</v>
      </c>
    </row>
    <row r="58" customFormat="false" ht="15" hidden="false" customHeight="false" outlineLevel="0" collapsed="false">
      <c r="A58" s="27" t="s">
        <v>46</v>
      </c>
      <c r="B58" s="21" t="s">
        <v>58</v>
      </c>
      <c r="C58" s="22"/>
      <c r="D58" s="64" t="n">
        <f aca="false">D6/D$3</f>
        <v>-0.206482663605052</v>
      </c>
      <c r="E58" s="64" t="n">
        <f aca="false">E6/E$3</f>
        <v>-0.209459525605446</v>
      </c>
      <c r="F58" s="64" t="n">
        <f aca="false">F6/F$3</f>
        <v>-0.22048656256147</v>
      </c>
      <c r="G58" s="64" t="n">
        <f aca="false">G6/G$3</f>
        <v>-0.219042430436092</v>
      </c>
      <c r="H58" s="64" t="n">
        <f aca="false">H6/H$3</f>
        <v>-0.218573322287006</v>
      </c>
      <c r="I58" s="64" t="n">
        <f aca="false">I6/I$3</f>
        <v>-0.222934022509308</v>
      </c>
      <c r="J58" s="64" t="n">
        <f aca="false">J6/J$3</f>
        <v>-0.232156709112411</v>
      </c>
      <c r="K58" s="64" t="n">
        <f aca="false">K6/K$3</f>
        <v>-0.232708175133399</v>
      </c>
      <c r="L58" s="64" t="n">
        <f aca="false">L6/L$3</f>
        <v>-0.23522016851657</v>
      </c>
      <c r="M58" s="64" t="n">
        <f aca="false">M6/M$3</f>
        <v>-0.23902276995916</v>
      </c>
      <c r="N58" s="64" t="n">
        <f aca="false">N6/N$3</f>
        <v>-0.244622177175893</v>
      </c>
    </row>
    <row r="59" customFormat="false" ht="12.75" hidden="false" customHeight="false" outlineLevel="0" collapsed="false">
      <c r="A59" s="27" t="s">
        <v>47</v>
      </c>
      <c r="B59" s="21" t="s">
        <v>58</v>
      </c>
      <c r="C59" s="22"/>
      <c r="D59" s="59" t="n">
        <f aca="false">D7/D$3</f>
        <v>0.537547187141217</v>
      </c>
      <c r="E59" s="59" t="n">
        <f aca="false">E7/E$3</f>
        <v>0.56799985510558</v>
      </c>
      <c r="F59" s="59" t="n">
        <f aca="false">F7/F$3</f>
        <v>0.546518110037901</v>
      </c>
      <c r="G59" s="59" t="n">
        <f aca="false">G7/G$3</f>
        <v>0.549646714895025</v>
      </c>
      <c r="H59" s="59" t="n">
        <f aca="false">H7/H$3</f>
        <v>0.550972674151199</v>
      </c>
      <c r="I59" s="59" t="n">
        <f aca="false">I7/I$3</f>
        <v>0.542990574301921</v>
      </c>
      <c r="J59" s="59" t="n">
        <f aca="false">J7/J$3</f>
        <v>0.525753354799578</v>
      </c>
      <c r="K59" s="59" t="n">
        <f aca="false">K7/K$3</f>
        <v>0.525855481358458</v>
      </c>
      <c r="L59" s="59" t="n">
        <f aca="false">L7/L$3</f>
        <v>0.522624623922687</v>
      </c>
      <c r="M59" s="59" t="n">
        <f aca="false">M7/M$3</f>
        <v>0.517608496395424</v>
      </c>
      <c r="N59" s="59" t="n">
        <f aca="false">N7/N$3</f>
        <v>0.510183395166665</v>
      </c>
    </row>
    <row r="60" customFormat="false" ht="15" hidden="false" customHeight="false" outlineLevel="0" collapsed="false">
      <c r="A60" s="27" t="s">
        <v>48</v>
      </c>
      <c r="B60" s="21" t="s">
        <v>58</v>
      </c>
      <c r="C60" s="22"/>
      <c r="D60" s="64" t="n">
        <f aca="false">D8/D$3</f>
        <v>-0.31501041887962</v>
      </c>
      <c r="E60" s="64" t="n">
        <f aca="false">E8/E$3</f>
        <v>-0.297751845218438</v>
      </c>
      <c r="F60" s="64" t="n">
        <f aca="false">F8/F$3</f>
        <v>-0.225050167148591</v>
      </c>
      <c r="G60" s="64" t="n">
        <f aca="false">G8/G$3</f>
        <v>-0.229589973255407</v>
      </c>
      <c r="H60" s="64" t="n">
        <f aca="false">H8/H$3</f>
        <v>-0.23103435091335</v>
      </c>
      <c r="I60" s="64" t="n">
        <f aca="false">I8/I$3</f>
        <v>-0.206074795078444</v>
      </c>
      <c r="J60" s="64" t="n">
        <f aca="false">J8/J$3</f>
        <v>-0.158682530802887</v>
      </c>
      <c r="K60" s="64" t="n">
        <f aca="false">K8/K$3</f>
        <v>-0.163897140200256</v>
      </c>
      <c r="L60" s="64" t="n">
        <f aca="false">L8/L$3</f>
        <v>-0.165278437836435</v>
      </c>
      <c r="M60" s="64" t="n">
        <f aca="false">M8/M$3</f>
        <v>-0.166630522857617</v>
      </c>
      <c r="N60" s="64" t="n">
        <f aca="false">N8/N$3</f>
        <v>-0.168407936040816</v>
      </c>
    </row>
    <row r="61" customFormat="false" ht="12.75" hidden="false" customHeight="false" outlineLevel="0" collapsed="false">
      <c r="A61" s="27" t="s">
        <v>49</v>
      </c>
      <c r="B61" s="21" t="s">
        <v>58</v>
      </c>
      <c r="C61" s="22"/>
      <c r="D61" s="59" t="n">
        <f aca="false">D9/D$3</f>
        <v>0.222536768261597</v>
      </c>
      <c r="E61" s="59" t="n">
        <f aca="false">E9/E$3</f>
        <v>0.270248009887142</v>
      </c>
      <c r="F61" s="59" t="n">
        <f aca="false">F9/F$3</f>
        <v>0.321467942889311</v>
      </c>
      <c r="G61" s="59" t="n">
        <f aca="false">G9/G$3</f>
        <v>0.320056741639618</v>
      </c>
      <c r="H61" s="59" t="n">
        <f aca="false">H9/H$3</f>
        <v>0.319938323237848</v>
      </c>
      <c r="I61" s="59" t="n">
        <f aca="false">I9/I$3</f>
        <v>0.336915779223477</v>
      </c>
      <c r="J61" s="59" t="n">
        <f aca="false">J9/J$3</f>
        <v>0.367070823996691</v>
      </c>
      <c r="K61" s="59" t="n">
        <f aca="false">K9/K$3</f>
        <v>0.361958341158201</v>
      </c>
      <c r="L61" s="59" t="n">
        <f aca="false">L9/L$3</f>
        <v>0.357346186086252</v>
      </c>
      <c r="M61" s="59" t="n">
        <f aca="false">M9/M$3</f>
        <v>0.350977973537807</v>
      </c>
      <c r="N61" s="59" t="n">
        <f aca="false">N9/N$3</f>
        <v>0.341775459125849</v>
      </c>
    </row>
    <row r="63" customFormat="false" ht="13.5" hidden="false" customHeight="false" outlineLevel="0" collapsed="false">
      <c r="A63" s="48" t="str">
        <f aca="false">A54</f>
        <v>PERIOD</v>
      </c>
      <c r="B63" s="5"/>
      <c r="C63" s="6" t="str">
        <f aca="false">Revenue!C$1</f>
        <v>@</v>
      </c>
      <c r="D63" s="6" t="n">
        <f aca="false">Revenue!D$1</f>
        <v>0</v>
      </c>
      <c r="E63" s="6" t="n">
        <f aca="false">Revenue!E$1</f>
        <v>1</v>
      </c>
      <c r="F63" s="6" t="n">
        <f aca="false">Revenue!F$1</f>
        <v>2</v>
      </c>
      <c r="G63" s="6" t="n">
        <f aca="false">Revenue!G$1</f>
        <v>3</v>
      </c>
      <c r="H63" s="6" t="n">
        <f aca="false">Revenue!H$1</f>
        <v>4</v>
      </c>
      <c r="I63" s="6" t="n">
        <f aca="false">Revenue!I$1</f>
        <v>5</v>
      </c>
      <c r="J63" s="6" t="n">
        <f aca="false">Revenue!J$1</f>
        <v>6</v>
      </c>
      <c r="K63" s="6" t="n">
        <f aca="false">Revenue!K$1</f>
        <v>7</v>
      </c>
      <c r="L63" s="6" t="n">
        <f aca="false">Revenue!L$1</f>
        <v>8</v>
      </c>
      <c r="M63" s="6" t="n">
        <f aca="false">Revenue!M$1</f>
        <v>9</v>
      </c>
      <c r="N63" s="6" t="n">
        <f aca="false">Revenue!N$1</f>
        <v>10</v>
      </c>
    </row>
    <row r="64" customFormat="false" ht="12.75" hidden="false" customHeight="false" outlineLevel="0" collapsed="false">
      <c r="A64" s="27" t="s">
        <v>43</v>
      </c>
      <c r="B64" s="21" t="s">
        <v>59</v>
      </c>
      <c r="C64" s="22"/>
      <c r="D64" s="1" t="n">
        <f aca="false">D3/Costs!D$47</f>
        <v>4571.9334275959</v>
      </c>
      <c r="E64" s="1" t="n">
        <f aca="false">E3/Costs!E$47</f>
        <v>4728.05568382612</v>
      </c>
      <c r="F64" s="1" t="n">
        <f aca="false">F3/Costs!F$47</f>
        <v>5694.41276636287</v>
      </c>
      <c r="G64" s="1" t="n">
        <f aca="false">G3/Costs!G$47</f>
        <v>5490.99865071055</v>
      </c>
      <c r="H64" s="1" t="n">
        <f aca="false">H3/Costs!H$47</f>
        <v>5376.28141564734</v>
      </c>
      <c r="I64" s="1" t="n">
        <f aca="false">I3/Costs!I$47</f>
        <v>5722.63454333215</v>
      </c>
      <c r="J64" s="1" t="n">
        <f aca="false">J3/Costs!J$47</f>
        <v>6715.87362182653</v>
      </c>
      <c r="K64" s="1" t="n">
        <f aca="false">K3/Costs!K$47</f>
        <v>6500.24236347592</v>
      </c>
      <c r="L64" s="1" t="n">
        <f aca="false">L3/Costs!L$47</f>
        <v>6444.03347161116</v>
      </c>
      <c r="M64" s="1" t="n">
        <f aca="false">M3/Costs!M$47</f>
        <v>6389.9307717805</v>
      </c>
      <c r="N64" s="1" t="n">
        <f aca="false">N3/Costs!N$47</f>
        <v>6320.74743504129</v>
      </c>
    </row>
    <row r="65" customFormat="false" ht="15" hidden="false" customHeight="false" outlineLevel="0" collapsed="false">
      <c r="A65" s="27" t="s">
        <v>44</v>
      </c>
      <c r="B65" s="21" t="s">
        <v>59</v>
      </c>
      <c r="C65" s="22"/>
      <c r="D65" s="65" t="n">
        <f aca="false">D4/Costs!D$47</f>
        <v>-1170.27848183985</v>
      </c>
      <c r="E65" s="65" t="n">
        <f aca="false">E4/Costs!E$47</f>
        <v>-1052.18443991142</v>
      </c>
      <c r="F65" s="65" t="n">
        <f aca="false">F4/Costs!F$47</f>
        <v>-1326.77156685304</v>
      </c>
      <c r="G65" s="65" t="n">
        <f aca="false">G4/Costs!G$47</f>
        <v>-1270.12759088154</v>
      </c>
      <c r="H65" s="65" t="n">
        <f aca="false">H4/Costs!H$47</f>
        <v>-1238.98557651081</v>
      </c>
      <c r="I65" s="65" t="n">
        <f aca="false">I4/Costs!I$47</f>
        <v>-1339.52798803246</v>
      </c>
      <c r="J65" s="65" t="n">
        <f aca="false">J4/Costs!J$47</f>
        <v>-1625.84541588315</v>
      </c>
      <c r="K65" s="65" t="n">
        <f aca="false">K4/Costs!K$47</f>
        <v>-1569.39474815435</v>
      </c>
      <c r="L65" s="65" t="n">
        <f aca="false">L4/Costs!L$47</f>
        <v>-1560.45626284638</v>
      </c>
      <c r="M65" s="65" t="n">
        <f aca="false">M4/Costs!M$47</f>
        <v>-1555.10936001009</v>
      </c>
      <c r="N65" s="65" t="n">
        <f aca="false">N4/Costs!N$47</f>
        <v>-1549.8120497022</v>
      </c>
    </row>
    <row r="66" customFormat="false" ht="12.75" hidden="false" customHeight="false" outlineLevel="0" collapsed="false">
      <c r="A66" s="27" t="s">
        <v>45</v>
      </c>
      <c r="B66" s="21" t="s">
        <v>59</v>
      </c>
      <c r="C66" s="22"/>
      <c r="D66" s="1" t="n">
        <f aca="false">D5/Costs!D$47</f>
        <v>3401.65494575605</v>
      </c>
      <c r="E66" s="1" t="n">
        <f aca="false">E5/Costs!E$47</f>
        <v>3675.8712439147</v>
      </c>
      <c r="F66" s="1" t="n">
        <f aca="false">F5/Costs!F$47</f>
        <v>4367.64119950983</v>
      </c>
      <c r="G66" s="1" t="n">
        <f aca="false">G5/Costs!G$47</f>
        <v>4220.87105982901</v>
      </c>
      <c r="H66" s="1" t="n">
        <f aca="false">H5/Costs!H$47</f>
        <v>4137.29583913653</v>
      </c>
      <c r="I66" s="1" t="n">
        <f aca="false">I5/Costs!I$47</f>
        <v>4383.10655529969</v>
      </c>
      <c r="J66" s="1" t="n">
        <f aca="false">J5/Costs!J$47</f>
        <v>5090.02820594339</v>
      </c>
      <c r="K66" s="1" t="n">
        <f aca="false">K5/Costs!K$47</f>
        <v>4930.84761532156</v>
      </c>
      <c r="L66" s="1" t="n">
        <f aca="false">L5/Costs!L$47</f>
        <v>4883.57720876478</v>
      </c>
      <c r="M66" s="1" t="n">
        <f aca="false">M5/Costs!M$47</f>
        <v>4834.82141177041</v>
      </c>
      <c r="N66" s="1" t="n">
        <f aca="false">N5/Costs!N$47</f>
        <v>4770.93538533909</v>
      </c>
    </row>
    <row r="67" customFormat="false" ht="15" hidden="false" customHeight="false" outlineLevel="0" collapsed="false">
      <c r="A67" s="27" t="s">
        <v>46</v>
      </c>
      <c r="B67" s="21" t="s">
        <v>59</v>
      </c>
      <c r="C67" s="22"/>
      <c r="D67" s="65" t="n">
        <f aca="false">D6/Costs!D$47</f>
        <v>-944.024991954975</v>
      </c>
      <c r="E67" s="65" t="n">
        <f aca="false">E6/Costs!E$47</f>
        <v>-990.336300570353</v>
      </c>
      <c r="F67" s="65" t="n">
        <f aca="false">F6/Costs!F$47</f>
        <v>-1255.5414966615</v>
      </c>
      <c r="G67" s="65" t="n">
        <f aca="false">G6/Costs!G$47</f>
        <v>-1202.76168997294</v>
      </c>
      <c r="H67" s="65" t="n">
        <f aca="false">H6/Costs!H$47</f>
        <v>-1175.11169056792</v>
      </c>
      <c r="I67" s="65" t="n">
        <f aca="false">I6/Costs!I$47</f>
        <v>-1275.76993809575</v>
      </c>
      <c r="J67" s="65" t="n">
        <f aca="false">J6/Costs!J$47</f>
        <v>-1559.1351188581</v>
      </c>
      <c r="K67" s="65" t="n">
        <f aca="false">K6/Costs!K$47</f>
        <v>-1512.6595383293</v>
      </c>
      <c r="L67" s="65" t="n">
        <f aca="false">L6/Costs!L$47</f>
        <v>-1515.76663911879</v>
      </c>
      <c r="M67" s="65" t="n">
        <f aca="false">M6/Costs!M$47</f>
        <v>-1527.33895291825</v>
      </c>
      <c r="N67" s="65" t="n">
        <f aca="false">N6/Costs!N$47</f>
        <v>-1546.19499893874</v>
      </c>
    </row>
    <row r="68" customFormat="false" ht="12.75" hidden="false" customHeight="false" outlineLevel="0" collapsed="false">
      <c r="A68" s="27" t="s">
        <v>47</v>
      </c>
      <c r="B68" s="21" t="s">
        <v>59</v>
      </c>
      <c r="C68" s="22"/>
      <c r="D68" s="1" t="n">
        <f aca="false">D7/Costs!D$47</f>
        <v>2457.62995380108</v>
      </c>
      <c r="E68" s="1" t="n">
        <f aca="false">E7/Costs!E$47</f>
        <v>2685.53494334435</v>
      </c>
      <c r="F68" s="1" t="n">
        <f aca="false">F7/Costs!F$47</f>
        <v>3112.09970284833</v>
      </c>
      <c r="G68" s="1" t="n">
        <f aca="false">G7/Costs!G$47</f>
        <v>3018.10936985607</v>
      </c>
      <c r="H68" s="1" t="n">
        <f aca="false">H7/Costs!H$47</f>
        <v>2962.18414856861</v>
      </c>
      <c r="I68" s="1" t="n">
        <f aca="false">I7/Costs!I$47</f>
        <v>3107.33661720394</v>
      </c>
      <c r="J68" s="1" t="n">
        <f aca="false">J7/Costs!J$47</f>
        <v>3530.89308708529</v>
      </c>
      <c r="K68" s="1" t="n">
        <f aca="false">K7/Costs!K$47</f>
        <v>3418.18807699227</v>
      </c>
      <c r="L68" s="1" t="n">
        <f aca="false">L7/Costs!L$47</f>
        <v>3367.81056964599</v>
      </c>
      <c r="M68" s="1" t="n">
        <f aca="false">M7/Costs!M$47</f>
        <v>3307.48245885215</v>
      </c>
      <c r="N68" s="1" t="n">
        <f aca="false">N7/Costs!N$47</f>
        <v>3224.74038640035</v>
      </c>
    </row>
    <row r="69" customFormat="false" ht="15" hidden="false" customHeight="false" outlineLevel="0" collapsed="false">
      <c r="A69" s="27" t="s">
        <v>48</v>
      </c>
      <c r="B69" s="21" t="s">
        <v>59</v>
      </c>
      <c r="C69" s="22"/>
      <c r="D69" s="65" t="n">
        <f aca="false">D8/Costs!D$47</f>
        <v>-1440.20666411672</v>
      </c>
      <c r="E69" s="65" t="n">
        <f aca="false">E8/Costs!E$47</f>
        <v>-1407.78730415475</v>
      </c>
      <c r="F69" s="65" t="n">
        <f aca="false">F8/Costs!F$47</f>
        <v>-1281.52854488303</v>
      </c>
      <c r="G69" s="65" t="n">
        <f aca="false">G8/Costs!G$47</f>
        <v>-1260.67823336211</v>
      </c>
      <c r="H69" s="65" t="n">
        <f aca="false">H8/Costs!H$47</f>
        <v>-1242.10568719159</v>
      </c>
      <c r="I69" s="65" t="n">
        <f aca="false">I8/Costs!I$47</f>
        <v>-1179.290740826</v>
      </c>
      <c r="J69" s="65" t="n">
        <f aca="false">J8/Costs!J$47</f>
        <v>-1065.69182286378</v>
      </c>
      <c r="K69" s="65" t="n">
        <f aca="false">K8/Costs!K$47</f>
        <v>-1065.37113398226</v>
      </c>
      <c r="L69" s="65" t="n">
        <f aca="false">L8/Costs!L$47</f>
        <v>-1065.05978555359</v>
      </c>
      <c r="M69" s="65" t="n">
        <f aca="false">M8/Costs!M$47</f>
        <v>-1064.75750552576</v>
      </c>
      <c r="N69" s="65" t="n">
        <f aca="false">N8/Costs!N$47</f>
        <v>-1064.46402977058</v>
      </c>
    </row>
    <row r="70" customFormat="false" ht="12.75" hidden="false" customHeight="false" outlineLevel="0" collapsed="false">
      <c r="A70" s="27" t="s">
        <v>49</v>
      </c>
      <c r="B70" s="21" t="s">
        <v>59</v>
      </c>
      <c r="C70" s="22"/>
      <c r="D70" s="1" t="n">
        <f aca="false">D9/Costs!D$47</f>
        <v>1017.42328968436</v>
      </c>
      <c r="E70" s="1" t="n">
        <f aca="false">E9/Costs!E$47</f>
        <v>1277.7476391896</v>
      </c>
      <c r="F70" s="1" t="n">
        <f aca="false">F9/Costs!F$47</f>
        <v>1830.5711579653</v>
      </c>
      <c r="G70" s="1" t="n">
        <f aca="false">G9/Costs!G$47</f>
        <v>1757.43113649396</v>
      </c>
      <c r="H70" s="1" t="n">
        <f aca="false">H9/Costs!H$47</f>
        <v>1720.07846137701</v>
      </c>
      <c r="I70" s="1" t="n">
        <f aca="false">I9/Costs!I$47</f>
        <v>1928.04587637794</v>
      </c>
      <c r="J70" s="1" t="n">
        <f aca="false">J9/Costs!J$47</f>
        <v>2465.20126422151</v>
      </c>
      <c r="K70" s="1" t="n">
        <f aca="false">K9/Costs!K$47</f>
        <v>2352.81694301001</v>
      </c>
      <c r="L70" s="1" t="n">
        <f aca="false">L9/Costs!L$47</f>
        <v>2302.7507840924</v>
      </c>
      <c r="M70" s="1" t="n">
        <f aca="false">M9/Costs!M$47</f>
        <v>2242.72495332639</v>
      </c>
      <c r="N70" s="1" t="n">
        <f aca="false">N9/Costs!N$47</f>
        <v>2160.27635662977</v>
      </c>
    </row>
    <row r="72" customFormat="false" ht="13.5" hidden="false" customHeight="false" outlineLevel="0" collapsed="false">
      <c r="A72" s="48" t="str">
        <f aca="false">Revenue!A$1</f>
        <v>PERIOD</v>
      </c>
      <c r="B72" s="5"/>
      <c r="C72" s="6" t="str">
        <f aca="false">Revenue!C$1</f>
        <v>@</v>
      </c>
      <c r="D72" s="6" t="n">
        <f aca="false">Revenue!D$1</f>
        <v>0</v>
      </c>
      <c r="E72" s="6" t="n">
        <f aca="false">Revenue!E$1</f>
        <v>1</v>
      </c>
      <c r="F72" s="6" t="n">
        <f aca="false">Revenue!F$1</f>
        <v>2</v>
      </c>
      <c r="G72" s="6" t="n">
        <f aca="false">Revenue!G$1</f>
        <v>3</v>
      </c>
      <c r="H72" s="6" t="n">
        <f aca="false">Revenue!H$1</f>
        <v>4</v>
      </c>
      <c r="I72" s="6" t="n">
        <f aca="false">Revenue!I$1</f>
        <v>5</v>
      </c>
      <c r="J72" s="6" t="n">
        <f aca="false">Revenue!J$1</f>
        <v>6</v>
      </c>
      <c r="K72" s="6" t="n">
        <f aca="false">Revenue!K$1</f>
        <v>7</v>
      </c>
      <c r="L72" s="6" t="n">
        <f aca="false">Revenue!L$1</f>
        <v>8</v>
      </c>
      <c r="M72" s="6" t="n">
        <f aca="false">Revenue!M$1</f>
        <v>9</v>
      </c>
      <c r="N72" s="6" t="n">
        <f aca="false">Revenue!N$1</f>
        <v>10</v>
      </c>
    </row>
    <row r="73" customFormat="false" ht="12.75" hidden="false" customHeight="false" outlineLevel="0" collapsed="false">
      <c r="A73" s="27" t="s">
        <v>43</v>
      </c>
      <c r="B73" s="21" t="s">
        <v>60</v>
      </c>
      <c r="C73" s="22"/>
      <c r="D73" s="1" t="n">
        <f aca="false">D3/Revenue!D$12</f>
        <v>2229.215625</v>
      </c>
      <c r="E73" s="1" t="n">
        <f aca="false">E3/Revenue!E$12</f>
        <v>2305.33881850452</v>
      </c>
      <c r="F73" s="1" t="n">
        <f aca="false">F3/Revenue!F$12</f>
        <v>2776.52203712218</v>
      </c>
      <c r="G73" s="1" t="n">
        <f aca="false">G3/Revenue!G$12</f>
        <v>2677.33994443888</v>
      </c>
      <c r="H73" s="1" t="n">
        <f aca="false">H3/Revenue!H$12</f>
        <v>2621.40530389575</v>
      </c>
      <c r="I73" s="1" t="n">
        <f aca="false">I3/Revenue!I$12</f>
        <v>2790.28261066979</v>
      </c>
      <c r="J73" s="1" t="n">
        <f aca="false">J3/Revenue!J$12</f>
        <v>3274.57314293692</v>
      </c>
      <c r="K73" s="1" t="n">
        <f aca="false">K3/Revenue!K$12</f>
        <v>3169.43412943943</v>
      </c>
      <c r="L73" s="1" t="n">
        <f aca="false">L3/Revenue!L$12</f>
        <v>3142.02740053727</v>
      </c>
      <c r="M73" s="1" t="n">
        <f aca="false">M3/Revenue!M$12</f>
        <v>3115.64762363824</v>
      </c>
      <c r="N73" s="1" t="n">
        <f aca="false">N3/Revenue!N$12</f>
        <v>3081.91472317259</v>
      </c>
    </row>
    <row r="74" customFormat="false" ht="15" hidden="false" customHeight="false" outlineLevel="0" collapsed="false">
      <c r="A74" s="27" t="s">
        <v>44</v>
      </c>
      <c r="B74" s="21" t="s">
        <v>60</v>
      </c>
      <c r="C74" s="22"/>
      <c r="D74" s="65" t="n">
        <f aca="false">D4/Revenue!D$12</f>
        <v>-570.61265625</v>
      </c>
      <c r="E74" s="65" t="n">
        <f aca="false">E4/Revenue!E$12</f>
        <v>-513.031528340908</v>
      </c>
      <c r="F74" s="65" t="n">
        <f aca="false">F4/Revenue!F$12</f>
        <v>-646.916661074345</v>
      </c>
      <c r="G74" s="65" t="n">
        <f aca="false">G4/Revenue!G$12</f>
        <v>-619.297790787299</v>
      </c>
      <c r="H74" s="65" t="n">
        <f aca="false">H4/Revenue!H$12</f>
        <v>-604.113347240901</v>
      </c>
      <c r="I74" s="65" t="n">
        <f aca="false">I4/Revenue!I$12</f>
        <v>-653.136527103148</v>
      </c>
      <c r="J74" s="65" t="n">
        <f aca="false">J4/Revenue!J$12</f>
        <v>-792.741202889117</v>
      </c>
      <c r="K74" s="65" t="n">
        <f aca="false">K4/Revenue!K$12</f>
        <v>-765.21658720177</v>
      </c>
      <c r="L74" s="65" t="n">
        <f aca="false">L4/Revenue!L$12</f>
        <v>-760.858297338644</v>
      </c>
      <c r="M74" s="65" t="n">
        <f aca="false">M4/Revenue!M$12</f>
        <v>-758.251216650186</v>
      </c>
      <c r="N74" s="65" t="n">
        <f aca="false">N4/Revenue!N$12</f>
        <v>-755.668316637348</v>
      </c>
    </row>
    <row r="75" customFormat="false" ht="12.75" hidden="false" customHeight="false" outlineLevel="0" collapsed="false">
      <c r="A75" s="27" t="s">
        <v>45</v>
      </c>
      <c r="B75" s="21" t="s">
        <v>60</v>
      </c>
      <c r="C75" s="22"/>
      <c r="D75" s="1" t="n">
        <f aca="false">D5/Revenue!D$12</f>
        <v>1658.60296875</v>
      </c>
      <c r="E75" s="1" t="n">
        <f aca="false">E5/Revenue!E$12</f>
        <v>1792.30729016361</v>
      </c>
      <c r="F75" s="1" t="n">
        <f aca="false">F5/Revenue!F$12</f>
        <v>2129.60537604784</v>
      </c>
      <c r="G75" s="1" t="n">
        <f aca="false">G5/Revenue!G$12</f>
        <v>2058.04215365158</v>
      </c>
      <c r="H75" s="1" t="n">
        <f aca="false">H5/Revenue!H$12</f>
        <v>2017.29195665485</v>
      </c>
      <c r="I75" s="1" t="n">
        <f aca="false">I5/Revenue!I$12</f>
        <v>2137.14608356664</v>
      </c>
      <c r="J75" s="1" t="n">
        <f aca="false">J5/Revenue!J$12</f>
        <v>2481.8319400478</v>
      </c>
      <c r="K75" s="1" t="n">
        <f aca="false">K5/Revenue!K$12</f>
        <v>2404.21754223766</v>
      </c>
      <c r="L75" s="1" t="n">
        <f aca="false">L5/Revenue!L$12</f>
        <v>2381.16910319862</v>
      </c>
      <c r="M75" s="1" t="n">
        <f aca="false">M5/Revenue!M$12</f>
        <v>2357.39640698805</v>
      </c>
      <c r="N75" s="1" t="n">
        <f aca="false">N5/Revenue!N$12</f>
        <v>2326.24640653524</v>
      </c>
    </row>
    <row r="76" customFormat="false" ht="15" hidden="false" customHeight="false" outlineLevel="0" collapsed="false">
      <c r="A76" s="27" t="s">
        <v>46</v>
      </c>
      <c r="B76" s="21" t="s">
        <v>60</v>
      </c>
      <c r="C76" s="22"/>
      <c r="D76" s="65" t="n">
        <f aca="false">D6/Revenue!D$12</f>
        <v>-460.29438</v>
      </c>
      <c r="E76" s="65" t="n">
        <f aca="false">E6/Revenue!E$12</f>
        <v>-482.875175283777</v>
      </c>
      <c r="F76" s="65" t="n">
        <f aca="false">F6/Revenue!F$12</f>
        <v>-612.18579984124</v>
      </c>
      <c r="G76" s="65" t="n">
        <f aca="false">G6/Revenue!G$12</f>
        <v>-586.451048533524</v>
      </c>
      <c r="H76" s="65" t="n">
        <f aca="false">H6/Revenue!H$12</f>
        <v>-572.969266333272</v>
      </c>
      <c r="I76" s="65" t="n">
        <f aca="false">I6/Revenue!I$12</f>
        <v>-622.04892633439</v>
      </c>
      <c r="J76" s="65" t="n">
        <f aca="false">J6/Revenue!J$12</f>
        <v>-760.214124612119</v>
      </c>
      <c r="K76" s="65" t="n">
        <f aca="false">K6/Revenue!K$12</f>
        <v>-737.553232467364</v>
      </c>
      <c r="L76" s="65" t="n">
        <f aca="false">L6/Revenue!L$12</f>
        <v>-739.068214638056</v>
      </c>
      <c r="M76" s="65" t="n">
        <f aca="false">M6/Revenue!M$12</f>
        <v>-744.710725218688</v>
      </c>
      <c r="N76" s="65" t="n">
        <f aca="false">N6/Revenue!N$12</f>
        <v>-753.904689452917</v>
      </c>
    </row>
    <row r="77" customFormat="false" ht="12.75" hidden="false" customHeight="false" outlineLevel="0" collapsed="false">
      <c r="A77" s="27" t="s">
        <v>47</v>
      </c>
      <c r="B77" s="21" t="s">
        <v>60</v>
      </c>
      <c r="C77" s="22"/>
      <c r="D77" s="1" t="n">
        <f aca="false">D7/Revenue!D$12</f>
        <v>1198.30858875</v>
      </c>
      <c r="E77" s="1" t="n">
        <f aca="false">E7/Revenue!E$12</f>
        <v>1309.43211487984</v>
      </c>
      <c r="F77" s="1" t="n">
        <f aca="false">F7/Revenue!F$12</f>
        <v>1517.4195762066</v>
      </c>
      <c r="G77" s="1" t="n">
        <f aca="false">G7/Revenue!G$12</f>
        <v>1471.59110511806</v>
      </c>
      <c r="H77" s="1" t="n">
        <f aca="false">H7/Revenue!H$12</f>
        <v>1444.32269032158</v>
      </c>
      <c r="I77" s="1" t="n">
        <f aca="false">I7/Revenue!I$12</f>
        <v>1515.09715723225</v>
      </c>
      <c r="J77" s="1" t="n">
        <f aca="false">J7/Revenue!J$12</f>
        <v>1721.61781543568</v>
      </c>
      <c r="K77" s="1" t="n">
        <f aca="false">K7/Revenue!K$12</f>
        <v>1666.6643097703</v>
      </c>
      <c r="L77" s="1" t="n">
        <f aca="false">L7/Revenue!L$12</f>
        <v>1642.10088856057</v>
      </c>
      <c r="M77" s="1" t="n">
        <f aca="false">M7/Revenue!M$12</f>
        <v>1612.68568176937</v>
      </c>
      <c r="N77" s="1" t="n">
        <f aca="false">N7/Revenue!N$12</f>
        <v>1572.34171708232</v>
      </c>
    </row>
    <row r="78" customFormat="false" ht="15" hidden="false" customHeight="false" outlineLevel="0" collapsed="false">
      <c r="A78" s="27" t="s">
        <v>48</v>
      </c>
      <c r="B78" s="21" t="s">
        <v>60</v>
      </c>
      <c r="C78" s="22"/>
      <c r="D78" s="65" t="n">
        <f aca="false">D8/Revenue!D$12</f>
        <v>-702.226147804244</v>
      </c>
      <c r="E78" s="65" t="n">
        <f aca="false">E8/Revenue!E$12</f>
        <v>-686.418887063414</v>
      </c>
      <c r="F78" s="65" t="n">
        <f aca="false">F8/Revenue!F$12</f>
        <v>-624.856748546093</v>
      </c>
      <c r="G78" s="65" t="n">
        <f aca="false">G8/Revenue!G$12</f>
        <v>-614.690406239355</v>
      </c>
      <c r="H78" s="65" t="n">
        <f aca="false">H8/Revenue!H$12</f>
        <v>-605.634672866368</v>
      </c>
      <c r="I78" s="65" t="n">
        <f aca="false">I8/Revenue!I$12</f>
        <v>-575.006917204722</v>
      </c>
      <c r="J78" s="65" t="n">
        <f aca="false">J8/Revenue!J$12</f>
        <v>-519.617553620393</v>
      </c>
      <c r="K78" s="65" t="n">
        <f aca="false">K8/Revenue!K$12</f>
        <v>-519.461189868212</v>
      </c>
      <c r="L78" s="65" t="n">
        <f aca="false">L8/Revenue!L$12</f>
        <v>-519.309380400075</v>
      </c>
      <c r="M78" s="65" t="n">
        <f aca="false">M8/Revenue!M$12</f>
        <v>-519.161992566932</v>
      </c>
      <c r="N78" s="65" t="n">
        <f aca="false">N8/Revenue!N$12</f>
        <v>-519.018897583298</v>
      </c>
    </row>
    <row r="79" customFormat="false" ht="12.75" hidden="false" customHeight="false" outlineLevel="0" collapsed="false">
      <c r="A79" s="27" t="s">
        <v>49</v>
      </c>
      <c r="B79" s="21" t="s">
        <v>60</v>
      </c>
      <c r="C79" s="22"/>
      <c r="D79" s="1" t="n">
        <f aca="false">D9/Revenue!D$12</f>
        <v>496.082440945756</v>
      </c>
      <c r="E79" s="1" t="n">
        <f aca="false">E9/Revenue!E$12</f>
        <v>623.013227816422</v>
      </c>
      <c r="F79" s="1" t="n">
        <f aca="false">F9/Revenue!F$12</f>
        <v>892.562827660507</v>
      </c>
      <c r="G79" s="1" t="n">
        <f aca="false">G9/Revenue!G$12</f>
        <v>856.900698878704</v>
      </c>
      <c r="H79" s="1" t="n">
        <f aca="false">H9/Revenue!H$12</f>
        <v>838.688017455208</v>
      </c>
      <c r="I79" s="1" t="n">
        <f aca="false">I9/Revenue!I$12</f>
        <v>940.090240027531</v>
      </c>
      <c r="J79" s="1" t="n">
        <f aca="false">J9/Revenue!J$12</f>
        <v>1202.00026181529</v>
      </c>
      <c r="K79" s="1" t="n">
        <f aca="false">K9/Revenue!K$12</f>
        <v>1147.20311990208</v>
      </c>
      <c r="L79" s="1" t="n">
        <f aca="false">L9/Revenue!L$12</f>
        <v>1122.79150816049</v>
      </c>
      <c r="M79" s="1" t="n">
        <f aca="false">M9/Revenue!M$12</f>
        <v>1093.52368920243</v>
      </c>
      <c r="N79" s="1" t="n">
        <f aca="false">N9/Revenue!N$12</f>
        <v>1053.32281949902</v>
      </c>
    </row>
  </sheetData>
  <printOptions headings="false" gridLines="false" gridLinesSet="true" horizontalCentered="true" verticalCentered="false"/>
  <pageMargins left="0.25" right="0.25" top="1.27013888888889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&amp;C&amp;"Tw Cen MT Condensed,Bold"XTRANSCO ECONOMIC ANALYSIS
CASH FLOW</oddHeader>
    <oddFooter>&amp;C&amp;"Tw Cen MT Condensed,Regular"&amp;P</oddFooter>
  </headerFooter>
  <rowBreaks count="1" manualBreakCount="1">
    <brk id="62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4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D34" activeCellId="0" sqref="D3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35.28"/>
    <col collapsed="false" customWidth="true" hidden="false" outlineLevel="0" max="2" min="2" style="3" width="11.13"/>
    <col collapsed="false" customWidth="true" hidden="false" outlineLevel="0" max="3" min="3" style="3" width="3.56"/>
    <col collapsed="false" customWidth="true" hidden="false" outlineLevel="0" max="4" min="4" style="3" width="7.7"/>
    <col collapsed="false" customWidth="true" hidden="false" outlineLevel="0" max="5" min="5" style="3" width="8.41"/>
    <col collapsed="false" customWidth="false" hidden="false" outlineLevel="0" max="9" min="6" style="3" width="9.14"/>
    <col collapsed="false" customWidth="true" hidden="true" outlineLevel="0" max="13" min="10" style="3" width="10.28"/>
    <col collapsed="false" customWidth="true" hidden="false" outlineLevel="0" max="14" min="14" style="3" width="10.28"/>
    <col collapsed="false" customWidth="true" hidden="false" outlineLevel="0" max="15" min="15" style="1" width="42.14"/>
    <col collapsed="false" customWidth="false" hidden="false" outlineLevel="0" max="22" min="16" style="3" width="9.14"/>
    <col collapsed="false" customWidth="true" hidden="false" outlineLevel="0" max="23" min="23" style="3" width="12.7"/>
    <col collapsed="false" customWidth="true" hidden="false" outlineLevel="0" max="24" min="24" style="3" width="20.99"/>
    <col collapsed="false" customWidth="true" hidden="false" outlineLevel="0" max="25" min="25" style="3" width="20.13"/>
    <col collapsed="false" customWidth="false" hidden="false" outlineLevel="0" max="257" min="26" style="3" width="9.14"/>
  </cols>
  <sheetData>
    <row r="1" customFormat="false" ht="13.5" hidden="false" customHeight="false" outlineLevel="0" collapsed="false">
      <c r="A1" s="4" t="str">
        <f aca="false">CF!A2</f>
        <v>PERIOD</v>
      </c>
      <c r="B1" s="66"/>
      <c r="C1" s="5" t="s">
        <v>61</v>
      </c>
      <c r="D1" s="39" t="n">
        <v>0</v>
      </c>
      <c r="E1" s="39" t="n">
        <v>1</v>
      </c>
      <c r="F1" s="39" t="n">
        <v>2</v>
      </c>
      <c r="G1" s="39" t="n">
        <v>3</v>
      </c>
      <c r="H1" s="39" t="n">
        <v>4</v>
      </c>
      <c r="I1" s="39" t="n">
        <v>5</v>
      </c>
      <c r="J1" s="39" t="n">
        <v>6</v>
      </c>
      <c r="K1" s="39" t="n">
        <v>7</v>
      </c>
      <c r="L1" s="39" t="n">
        <v>8</v>
      </c>
      <c r="M1" s="39" t="n">
        <v>9</v>
      </c>
      <c r="N1" s="39" t="n">
        <v>10</v>
      </c>
    </row>
    <row r="2" customFormat="false" ht="15" hidden="false" customHeight="false" outlineLevel="0" collapsed="false">
      <c r="A2" s="67" t="s">
        <v>62</v>
      </c>
      <c r="B2" s="67"/>
    </row>
    <row r="3" customFormat="false" ht="12.75" hidden="false" customHeight="false" outlineLevel="0" collapsed="false">
      <c r="A3" s="27" t="s">
        <v>63</v>
      </c>
      <c r="B3" s="21" t="s">
        <v>64</v>
      </c>
      <c r="C3" s="68" t="n">
        <v>0.05</v>
      </c>
      <c r="D3" s="19" t="n">
        <v>500000</v>
      </c>
      <c r="E3" s="15" t="n">
        <f aca="false">D3*(1-$C$3)</f>
        <v>475000</v>
      </c>
      <c r="F3" s="15" t="n">
        <f aca="false">E3*(1-$C$3)</f>
        <v>451250</v>
      </c>
      <c r="G3" s="15" t="n">
        <f aca="false">F3*(1-$C$3)</f>
        <v>428687.5</v>
      </c>
      <c r="H3" s="15" t="n">
        <f aca="false">G3*(1-$C$3)</f>
        <v>407253.125</v>
      </c>
      <c r="I3" s="15" t="n">
        <f aca="false">H3*(1-$C$3)</f>
        <v>386890.46875</v>
      </c>
      <c r="J3" s="15" t="n">
        <f aca="false">I3*(1-$C$3)</f>
        <v>367545.9453125</v>
      </c>
      <c r="K3" s="15" t="n">
        <f aca="false">J3*(1-$C$3)</f>
        <v>349168.648046875</v>
      </c>
      <c r="L3" s="15" t="n">
        <f aca="false">K3*(1-$C$3)</f>
        <v>331710.215644531</v>
      </c>
      <c r="M3" s="15" t="n">
        <f aca="false">L3*(1-$C$3)</f>
        <v>315124.704862305</v>
      </c>
      <c r="N3" s="15" t="n">
        <f aca="false">M3*(1-$C$3)</f>
        <v>299368.469619189</v>
      </c>
      <c r="O3" s="1" t="s">
        <v>65</v>
      </c>
    </row>
    <row r="4" customFormat="false" ht="12.75" hidden="false" customHeight="false" outlineLevel="0" collapsed="false">
      <c r="A4" s="27" t="s">
        <v>66</v>
      </c>
      <c r="B4" s="21" t="s">
        <v>67</v>
      </c>
      <c r="C4" s="68" t="n">
        <v>0.03</v>
      </c>
      <c r="D4" s="19" t="n">
        <v>4200000</v>
      </c>
      <c r="E4" s="15" t="n">
        <f aca="false">D4*(1+$C$4)</f>
        <v>4326000</v>
      </c>
      <c r="F4" s="15" t="n">
        <f aca="false">E4*(1+$C$4)</f>
        <v>4455780</v>
      </c>
      <c r="G4" s="15" t="n">
        <f aca="false">F4*(1+$C$4)</f>
        <v>4589453.4</v>
      </c>
      <c r="H4" s="15" t="n">
        <f aca="false">G4*(1+$C$4)</f>
        <v>4727137.002</v>
      </c>
      <c r="I4" s="15" t="n">
        <f aca="false">H4*(1+$C$4)</f>
        <v>4868951.11206</v>
      </c>
      <c r="J4" s="15" t="n">
        <f aca="false">I4*(1+$C$4)</f>
        <v>5015019.6454218</v>
      </c>
      <c r="K4" s="15" t="n">
        <f aca="false">J4*(1+$C$4)</f>
        <v>5165470.23478445</v>
      </c>
      <c r="L4" s="15" t="n">
        <f aca="false">K4*(1+$C$4)</f>
        <v>5320434.34182799</v>
      </c>
      <c r="M4" s="15" t="n">
        <f aca="false">L4*(1+$C$4)</f>
        <v>5480047.37208283</v>
      </c>
      <c r="N4" s="15" t="n">
        <f aca="false">M4*(1+$C$4)</f>
        <v>5644448.79324531</v>
      </c>
      <c r="O4" s="1" t="s">
        <v>68</v>
      </c>
    </row>
    <row r="5" customFormat="false" ht="12.75" hidden="false" customHeight="false" outlineLevel="0" collapsed="false">
      <c r="A5" s="27" t="s">
        <v>69</v>
      </c>
      <c r="B5" s="21" t="s">
        <v>67</v>
      </c>
      <c r="C5" s="59" t="n">
        <f aca="false">+D5/D4</f>
        <v>0.551271904761905</v>
      </c>
      <c r="D5" s="19" t="n">
        <v>2315342</v>
      </c>
      <c r="E5" s="15" t="n">
        <f aca="false">+E4*$C$5</f>
        <v>2384802.26</v>
      </c>
      <c r="F5" s="15" t="n">
        <f aca="false">+F4*$C$5</f>
        <v>2456346.3278</v>
      </c>
      <c r="G5" s="15" t="n">
        <f aca="false">+G4*$C$5</f>
        <v>2530036.717634</v>
      </c>
      <c r="H5" s="15" t="n">
        <f aca="false">+H4*$C$5</f>
        <v>2605937.81916302</v>
      </c>
      <c r="I5" s="15" t="n">
        <f aca="false">+I4*$C$5</f>
        <v>2684115.95373791</v>
      </c>
      <c r="J5" s="15" t="n">
        <f aca="false">+J4*$C$5</f>
        <v>2764639.43235005</v>
      </c>
      <c r="K5" s="15" t="n">
        <f aca="false">+K4*$C$5</f>
        <v>2847578.61532055</v>
      </c>
      <c r="L5" s="15" t="n">
        <f aca="false">+L4*$C$5</f>
        <v>2933005.97378017</v>
      </c>
      <c r="M5" s="15" t="n">
        <f aca="false">+M4*$C$5</f>
        <v>3020996.15299357</v>
      </c>
      <c r="N5" s="15" t="n">
        <f aca="false">+N4*$C$5</f>
        <v>3111626.03758338</v>
      </c>
      <c r="O5" s="1" t="s">
        <v>70</v>
      </c>
    </row>
    <row r="6" customFormat="false" ht="12.75" hidden="false" customHeight="false" outlineLevel="0" collapsed="false">
      <c r="A6" s="27" t="s">
        <v>71</v>
      </c>
      <c r="B6" s="21" t="s">
        <v>67</v>
      </c>
      <c r="C6" s="59" t="n">
        <f aca="false">+D6/D5</f>
        <v>0.56147212809166</v>
      </c>
      <c r="D6" s="19" t="n">
        <v>1300000</v>
      </c>
      <c r="E6" s="15" t="n">
        <f aca="false">E5*$C$6</f>
        <v>1339000</v>
      </c>
      <c r="F6" s="15" t="n">
        <f aca="false">F5*$C$6</f>
        <v>1379170</v>
      </c>
      <c r="G6" s="15" t="n">
        <f aca="false">G5*$C$6</f>
        <v>1420545.1</v>
      </c>
      <c r="H6" s="15" t="n">
        <f aca="false">H5*$C$6</f>
        <v>1463161.453</v>
      </c>
      <c r="I6" s="15" t="n">
        <f aca="false">I5*$C$6</f>
        <v>1507056.29659</v>
      </c>
      <c r="J6" s="15" t="n">
        <f aca="false">J5*$C$6</f>
        <v>1552267.9854877</v>
      </c>
      <c r="K6" s="15" t="n">
        <f aca="false">K5*$C$6</f>
        <v>1598836.02505233</v>
      </c>
      <c r="L6" s="15" t="n">
        <f aca="false">L5*$C$6</f>
        <v>1646801.1058039</v>
      </c>
      <c r="M6" s="15" t="n">
        <f aca="false">M5*$C$6</f>
        <v>1696205.13897802</v>
      </c>
      <c r="N6" s="15" t="n">
        <f aca="false">N5*$C$6</f>
        <v>1747091.29314736</v>
      </c>
      <c r="O6" s="1" t="s">
        <v>70</v>
      </c>
    </row>
    <row r="7" customFormat="false" ht="15" hidden="false" customHeight="false" outlineLevel="0" collapsed="false">
      <c r="A7" s="67" t="s">
        <v>72</v>
      </c>
      <c r="B7" s="67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W7" s="3" t="s">
        <v>73</v>
      </c>
      <c r="Y7" s="3" t="s">
        <v>74</v>
      </c>
    </row>
    <row r="8" customFormat="false" ht="12.75" hidden="false" customHeight="false" outlineLevel="0" collapsed="false">
      <c r="A8" s="27" t="s">
        <v>75</v>
      </c>
      <c r="B8" s="21" t="s">
        <v>67</v>
      </c>
      <c r="C8" s="50"/>
      <c r="D8" s="69" t="n">
        <v>0.001</v>
      </c>
      <c r="E8" s="69" t="n">
        <v>0.01</v>
      </c>
      <c r="F8" s="69" t="n">
        <v>0.02</v>
      </c>
      <c r="G8" s="69" t="n">
        <v>0.04</v>
      </c>
      <c r="H8" s="69" t="n">
        <v>0.08</v>
      </c>
      <c r="I8" s="69" t="n">
        <v>0.12</v>
      </c>
      <c r="J8" s="70" t="n">
        <f aca="false">I8</f>
        <v>0.12</v>
      </c>
      <c r="K8" s="70" t="n">
        <f aca="false">J8</f>
        <v>0.12</v>
      </c>
      <c r="L8" s="70" t="n">
        <f aca="false">K8</f>
        <v>0.12</v>
      </c>
      <c r="M8" s="70" t="n">
        <f aca="false">L8</f>
        <v>0.12</v>
      </c>
      <c r="N8" s="70" t="n">
        <f aca="false">M8</f>
        <v>0.12</v>
      </c>
      <c r="O8" s="1" t="s">
        <v>76</v>
      </c>
    </row>
    <row r="9" customFormat="false" ht="12.75" hidden="false" customHeight="false" outlineLevel="0" collapsed="false">
      <c r="A9" s="27" t="s">
        <v>77</v>
      </c>
      <c r="B9" s="21" t="s">
        <v>67</v>
      </c>
      <c r="C9" s="50"/>
      <c r="D9" s="70" t="n">
        <f aca="false">+D8*D6/D5</f>
        <v>0.00056147212809166</v>
      </c>
      <c r="E9" s="70" t="n">
        <f aca="false">+E8*E6/E5</f>
        <v>0.0056147212809166</v>
      </c>
      <c r="F9" s="70" t="n">
        <f aca="false">+F8*F6/F5</f>
        <v>0.0112294425618332</v>
      </c>
      <c r="G9" s="70" t="n">
        <f aca="false">+G8*G6/G5</f>
        <v>0.0224588851236664</v>
      </c>
      <c r="H9" s="70" t="n">
        <f aca="false">+H8*H6/H5</f>
        <v>0.0449177702473328</v>
      </c>
      <c r="I9" s="70" t="n">
        <f aca="false">+I8*I6/I5</f>
        <v>0.0673766553709992</v>
      </c>
      <c r="J9" s="70" t="n">
        <f aca="false">+J8*J6/J5</f>
        <v>0.0673766553709992</v>
      </c>
      <c r="K9" s="70" t="n">
        <f aca="false">+K8*K6/K5</f>
        <v>0.0673766553709992</v>
      </c>
      <c r="L9" s="70" t="n">
        <f aca="false">+L8*L6/L5</f>
        <v>0.0673766553709992</v>
      </c>
      <c r="M9" s="70" t="n">
        <f aca="false">+M8*M6/M5</f>
        <v>0.0673766553709992</v>
      </c>
      <c r="N9" s="70" t="n">
        <f aca="false">+N8*N6/N5</f>
        <v>0.0673766553709992</v>
      </c>
      <c r="O9" s="1" t="s">
        <v>76</v>
      </c>
    </row>
    <row r="10" customFormat="false" ht="12.75" hidden="false" customHeight="false" outlineLevel="0" collapsed="false">
      <c r="A10" s="27" t="s">
        <v>78</v>
      </c>
      <c r="B10" s="21" t="s">
        <v>67</v>
      </c>
      <c r="C10" s="59"/>
      <c r="D10" s="70" t="n">
        <f aca="false">+D9*D5/D4</f>
        <v>0.00030952380952381</v>
      </c>
      <c r="E10" s="70" t="n">
        <f aca="false">+E9*E5/E4</f>
        <v>0.0030952380952381</v>
      </c>
      <c r="F10" s="70" t="n">
        <f aca="false">+F9*F5/F4</f>
        <v>0.00619047619047619</v>
      </c>
      <c r="G10" s="70" t="n">
        <f aca="false">+G9*G5/G4</f>
        <v>0.0123809523809524</v>
      </c>
      <c r="H10" s="70" t="n">
        <f aca="false">+H9*H5/H4</f>
        <v>0.0247619047619048</v>
      </c>
      <c r="I10" s="70" t="n">
        <f aca="false">+I9*I5/I4</f>
        <v>0.0371428571428571</v>
      </c>
      <c r="J10" s="70" t="n">
        <f aca="false">+J9*J5/J4</f>
        <v>0.0371428571428571</v>
      </c>
      <c r="K10" s="70" t="n">
        <f aca="false">+K9*K5/K4</f>
        <v>0.0371428571428572</v>
      </c>
      <c r="L10" s="70" t="n">
        <f aca="false">+L9*L5/L4</f>
        <v>0.0371428571428571</v>
      </c>
      <c r="M10" s="70" t="n">
        <f aca="false">+M9*M5/M4</f>
        <v>0.0371428571428572</v>
      </c>
      <c r="N10" s="70" t="n">
        <f aca="false">+N9*N5/N4</f>
        <v>0.0371428571428571</v>
      </c>
      <c r="O10" s="1" t="s">
        <v>76</v>
      </c>
    </row>
    <row r="11" customFormat="false" ht="15" hidden="false" customHeight="false" outlineLevel="0" collapsed="false">
      <c r="A11" s="67" t="s">
        <v>79</v>
      </c>
      <c r="B11" s="67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W11" s="3" t="s">
        <v>73</v>
      </c>
      <c r="Y11" s="3" t="s">
        <v>74</v>
      </c>
    </row>
    <row r="12" customFormat="false" ht="12.75" hidden="false" customHeight="false" outlineLevel="0" collapsed="false">
      <c r="A12" s="27" t="s">
        <v>80</v>
      </c>
      <c r="B12" s="21" t="s">
        <v>67</v>
      </c>
      <c r="C12" s="22"/>
      <c r="D12" s="71" t="n">
        <f aca="false">+D8*D6</f>
        <v>1300</v>
      </c>
      <c r="E12" s="71" t="n">
        <f aca="false">+E8*E6</f>
        <v>13390</v>
      </c>
      <c r="F12" s="71" t="n">
        <f aca="false">+F8*F6</f>
        <v>27583.4</v>
      </c>
      <c r="G12" s="71" t="n">
        <f aca="false">+G8*G6</f>
        <v>56821.804</v>
      </c>
      <c r="H12" s="71" t="n">
        <f aca="false">+H8*H6</f>
        <v>117052.91624</v>
      </c>
      <c r="I12" s="71" t="n">
        <f aca="false">+I8*I6</f>
        <v>180846.7555908</v>
      </c>
      <c r="J12" s="71" t="n">
        <f aca="false">+J8*J6</f>
        <v>186272.158258524</v>
      </c>
      <c r="K12" s="71" t="n">
        <f aca="false">+K8*K6</f>
        <v>191860.32300628</v>
      </c>
      <c r="L12" s="71" t="n">
        <f aca="false">+L8*L6</f>
        <v>197616.132696468</v>
      </c>
      <c r="M12" s="71" t="n">
        <f aca="false">+M8*M6</f>
        <v>203544.616677362</v>
      </c>
      <c r="N12" s="71" t="n">
        <f aca="false">+N8*N6</f>
        <v>209650.955177683</v>
      </c>
    </row>
    <row r="13" customFormat="false" ht="12.75" hidden="false" customHeight="false" outlineLevel="0" collapsed="false">
      <c r="A13" s="7" t="s">
        <v>81</v>
      </c>
      <c r="B13" s="21" t="s">
        <v>82</v>
      </c>
      <c r="C13" s="22"/>
      <c r="D13" s="71"/>
      <c r="E13" s="59" t="n">
        <f aca="false">+E12/D12-1</f>
        <v>9.3</v>
      </c>
      <c r="F13" s="59" t="n">
        <f aca="false">+F12/E12-1</f>
        <v>1.06</v>
      </c>
      <c r="G13" s="59" t="n">
        <f aca="false">+G12/F12-1</f>
        <v>1.06</v>
      </c>
      <c r="H13" s="59" t="n">
        <f aca="false">+H12/G12-1</f>
        <v>1.06</v>
      </c>
      <c r="I13" s="59" t="n">
        <f aca="false">+I12/H12-1</f>
        <v>0.545</v>
      </c>
      <c r="J13" s="59" t="n">
        <f aca="false">+J12/I12-1</f>
        <v>0.03</v>
      </c>
      <c r="K13" s="59" t="n">
        <f aca="false">+K12/J12-1</f>
        <v>0.03</v>
      </c>
      <c r="L13" s="59" t="n">
        <f aca="false">+L12/K12-1</f>
        <v>0.0299999999999998</v>
      </c>
      <c r="M13" s="59" t="n">
        <f aca="false">+M12/L12-1</f>
        <v>0.03</v>
      </c>
      <c r="N13" s="59" t="n">
        <f aca="false">+N12/M12-1</f>
        <v>0.03</v>
      </c>
    </row>
    <row r="14" customFormat="false" ht="12.75" hidden="false" customHeight="false" outlineLevel="0" collapsed="false">
      <c r="A14" s="27" t="s">
        <v>83</v>
      </c>
      <c r="B14" s="21" t="s">
        <v>67</v>
      </c>
      <c r="C14" s="72" t="n">
        <v>0.2</v>
      </c>
      <c r="D14" s="19" t="n">
        <v>5000</v>
      </c>
      <c r="E14" s="15" t="n">
        <f aca="false">+D14*(1-$C$14)</f>
        <v>4000</v>
      </c>
      <c r="F14" s="15" t="n">
        <f aca="false">+E14*(1-$C$14)</f>
        <v>3200</v>
      </c>
      <c r="G14" s="15" t="n">
        <f aca="false">+F14*(1-$C$14)</f>
        <v>2560</v>
      </c>
      <c r="H14" s="15" t="n">
        <f aca="false">+G14*(1-$C$14)</f>
        <v>2048</v>
      </c>
      <c r="I14" s="15" t="n">
        <f aca="false">+H14*(1-$C$14)</f>
        <v>1638.4</v>
      </c>
      <c r="J14" s="15" t="n">
        <f aca="false">+I14*(1-$C$14)</f>
        <v>1310.72</v>
      </c>
      <c r="K14" s="15" t="n">
        <f aca="false">+J14*(1-$C$14)</f>
        <v>1048.576</v>
      </c>
      <c r="L14" s="15" t="n">
        <f aca="false">+K14*(1-$C$14)</f>
        <v>838.8608</v>
      </c>
      <c r="M14" s="15" t="n">
        <f aca="false">+L14*(1-$C$14)</f>
        <v>671.08864</v>
      </c>
      <c r="N14" s="15" t="n">
        <f aca="false">+M14*(1-$C$14)</f>
        <v>536.870912</v>
      </c>
      <c r="O14" s="1" t="s">
        <v>84</v>
      </c>
    </row>
    <row r="15" customFormat="false" ht="12.75" hidden="false" customHeight="false" outlineLevel="0" collapsed="false">
      <c r="A15" s="27" t="s">
        <v>85</v>
      </c>
      <c r="B15" s="21" t="s">
        <v>64</v>
      </c>
      <c r="C15" s="22"/>
      <c r="D15" s="22" t="n">
        <f aca="false">ROUNDUP((D12-C12)/D14,0)</f>
        <v>1</v>
      </c>
      <c r="E15" s="22" t="n">
        <f aca="false">ROUNDUP((E12-D12)/E14,0)</f>
        <v>4</v>
      </c>
      <c r="F15" s="22" t="n">
        <f aca="false">ROUNDUP((F12-E12)/F14,0)</f>
        <v>5</v>
      </c>
      <c r="G15" s="22" t="n">
        <f aca="false">ROUNDUP((G12-F12)/G14,0)</f>
        <v>12</v>
      </c>
      <c r="H15" s="22" t="n">
        <f aca="false">ROUNDUP((H12-G12)/H14,0)</f>
        <v>30</v>
      </c>
      <c r="I15" s="22" t="n">
        <f aca="false">ROUNDUP((I12-H12)/I14,0)</f>
        <v>39</v>
      </c>
      <c r="J15" s="22" t="n">
        <f aca="false">ROUNDUP((J12-I12)/J14,0)</f>
        <v>5</v>
      </c>
      <c r="K15" s="22" t="n">
        <f aca="false">ROUNDUP((K12-J12)/K14,0)</f>
        <v>6</v>
      </c>
      <c r="L15" s="22" t="n">
        <f aca="false">ROUNDUP((L12-K12)/L14,0)</f>
        <v>7</v>
      </c>
      <c r="M15" s="22" t="n">
        <f aca="false">ROUNDUP((M12-L12)/M14,0)</f>
        <v>9</v>
      </c>
      <c r="N15" s="22" t="n">
        <f aca="false">ROUNDUP((N12-M12)/N14,0)</f>
        <v>12</v>
      </c>
      <c r="W15" s="3" t="n">
        <v>1</v>
      </c>
      <c r="X15" s="3" t="s">
        <v>86</v>
      </c>
    </row>
    <row r="16" customFormat="false" ht="12.75" hidden="false" customHeight="false" outlineLevel="0" collapsed="false">
      <c r="A16" s="27" t="s">
        <v>87</v>
      </c>
      <c r="B16" s="21" t="s">
        <v>64</v>
      </c>
      <c r="C16" s="73"/>
      <c r="D16" s="73" t="n">
        <f aca="false">C16+D15</f>
        <v>1</v>
      </c>
      <c r="E16" s="73" t="n">
        <f aca="false">D16+E15</f>
        <v>5</v>
      </c>
      <c r="F16" s="73" t="n">
        <f aca="false">E16+F15</f>
        <v>10</v>
      </c>
      <c r="G16" s="73" t="n">
        <f aca="false">F16+G15</f>
        <v>22</v>
      </c>
      <c r="H16" s="73" t="n">
        <f aca="false">G16+H15</f>
        <v>52</v>
      </c>
      <c r="I16" s="73" t="n">
        <f aca="false">H16+I15</f>
        <v>91</v>
      </c>
      <c r="J16" s="73" t="n">
        <f aca="false">I16+J15</f>
        <v>96</v>
      </c>
      <c r="K16" s="73" t="n">
        <f aca="false">J16+K15</f>
        <v>102</v>
      </c>
      <c r="L16" s="73" t="n">
        <f aca="false">K16+L15</f>
        <v>109</v>
      </c>
      <c r="M16" s="73" t="n">
        <f aca="false">L16+M15</f>
        <v>118</v>
      </c>
      <c r="N16" s="73" t="n">
        <f aca="false">M16+N15</f>
        <v>130</v>
      </c>
      <c r="P16" s="60"/>
      <c r="Q16" s="60"/>
      <c r="R16" s="60"/>
      <c r="S16" s="60"/>
      <c r="T16" s="60"/>
      <c r="U16" s="60"/>
      <c r="V16" s="60"/>
      <c r="W16" s="60" t="n">
        <v>3</v>
      </c>
      <c r="X16" s="60" t="s">
        <v>74</v>
      </c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60"/>
      <c r="IF16" s="60"/>
      <c r="IG16" s="60"/>
      <c r="IH16" s="60"/>
      <c r="II16" s="60"/>
      <c r="IJ16" s="60"/>
      <c r="IK16" s="60"/>
      <c r="IL16" s="60"/>
      <c r="IM16" s="60"/>
      <c r="IN16" s="60"/>
      <c r="IO16" s="60"/>
      <c r="IP16" s="60"/>
      <c r="IQ16" s="60"/>
      <c r="IR16" s="60"/>
      <c r="IS16" s="60"/>
      <c r="IT16" s="60"/>
      <c r="IU16" s="60"/>
      <c r="IV16" s="60"/>
      <c r="IW16" s="60"/>
    </row>
    <row r="17" customFormat="false" ht="12.75" hidden="false" customHeight="false" outlineLevel="0" collapsed="false">
      <c r="A17" s="7" t="s">
        <v>88</v>
      </c>
      <c r="B17" s="21" t="s">
        <v>82</v>
      </c>
      <c r="C17" s="22"/>
      <c r="D17" s="71"/>
      <c r="E17" s="59" t="n">
        <f aca="false">+E16/D16-1</f>
        <v>4</v>
      </c>
      <c r="F17" s="59" t="n">
        <f aca="false">+F16/E16-1</f>
        <v>1</v>
      </c>
      <c r="G17" s="59" t="n">
        <f aca="false">+G16/F16-1</f>
        <v>1.2</v>
      </c>
      <c r="H17" s="59" t="n">
        <f aca="false">+H16/G16-1</f>
        <v>1.36363636363636</v>
      </c>
      <c r="I17" s="59" t="n">
        <f aca="false">+I16/H16-1</f>
        <v>0.75</v>
      </c>
      <c r="J17" s="59" t="n">
        <f aca="false">+J16/I16-1</f>
        <v>0.054945054945055</v>
      </c>
      <c r="K17" s="59" t="n">
        <f aca="false">+K16/J16-1</f>
        <v>0.0625</v>
      </c>
      <c r="L17" s="59" t="n">
        <f aca="false">+L16/K16-1</f>
        <v>0.0686274509803921</v>
      </c>
      <c r="M17" s="59" t="n">
        <f aca="false">+M16/L16-1</f>
        <v>0.0825688073394495</v>
      </c>
      <c r="N17" s="59" t="n">
        <f aca="false">+N16/M16-1</f>
        <v>0.101694915254237</v>
      </c>
    </row>
    <row r="18" customFormat="false" ht="12.75" hidden="false" customHeight="false" outlineLevel="0" collapsed="false">
      <c r="A18" s="27" t="s">
        <v>89</v>
      </c>
      <c r="B18" s="21" t="s">
        <v>67</v>
      </c>
      <c r="C18" s="72" t="n">
        <f aca="false">'Basic Calculations'!D17</f>
        <v>0.3</v>
      </c>
      <c r="D18" s="71" t="n">
        <f aca="false">+$C$18*D12</f>
        <v>390</v>
      </c>
      <c r="E18" s="71" t="n">
        <f aca="false">+$C$18*E12</f>
        <v>4017</v>
      </c>
      <c r="F18" s="71" t="n">
        <f aca="false">+$C$18*F12</f>
        <v>8275.02</v>
      </c>
      <c r="G18" s="71" t="n">
        <f aca="false">+$C$18*G12</f>
        <v>17046.5412</v>
      </c>
      <c r="H18" s="71" t="n">
        <f aca="false">+$C$18*H12</f>
        <v>35115.874872</v>
      </c>
      <c r="I18" s="71" t="n">
        <f aca="false">+$C$18*I12</f>
        <v>54254.02667724</v>
      </c>
      <c r="J18" s="71" t="n">
        <f aca="false">+$C$18*J12</f>
        <v>55881.6474775572</v>
      </c>
      <c r="K18" s="71" t="n">
        <f aca="false">+$C$18*K12</f>
        <v>57558.0969018839</v>
      </c>
      <c r="L18" s="71" t="n">
        <f aca="false">+$C$18*L12</f>
        <v>59284.8398089404</v>
      </c>
      <c r="M18" s="71" t="n">
        <f aca="false">+$C$18*M12</f>
        <v>61063.3850032087</v>
      </c>
      <c r="N18" s="71" t="n">
        <f aca="false">+$C$18*N12</f>
        <v>62895.2865533049</v>
      </c>
      <c r="O18" s="1" t="s">
        <v>90</v>
      </c>
    </row>
    <row r="19" customFormat="false" ht="15" hidden="false" customHeight="false" outlineLevel="0" collapsed="false">
      <c r="A19" s="67" t="s">
        <v>91</v>
      </c>
      <c r="B19" s="67"/>
      <c r="E19" s="45" t="n">
        <f aca="false">+D12*D23</f>
        <v>2484300</v>
      </c>
    </row>
    <row r="20" customFormat="false" ht="12.75" hidden="false" customHeight="false" outlineLevel="0" collapsed="false">
      <c r="A20" s="1" t="s">
        <v>92</v>
      </c>
      <c r="B20" s="21" t="s">
        <v>93</v>
      </c>
      <c r="D20" s="74" t="n">
        <f aca="false">+Capacity!D8</f>
        <v>273</v>
      </c>
      <c r="E20" s="15" t="n">
        <f aca="false">+D20</f>
        <v>273</v>
      </c>
      <c r="F20" s="15" t="n">
        <f aca="false">+E20</f>
        <v>273</v>
      </c>
      <c r="G20" s="15" t="n">
        <f aca="false">+F20</f>
        <v>273</v>
      </c>
      <c r="H20" s="15" t="n">
        <f aca="false">+G20</f>
        <v>273</v>
      </c>
      <c r="I20" s="15" t="n">
        <f aca="false">+H20</f>
        <v>273</v>
      </c>
      <c r="J20" s="15" t="n">
        <f aca="false">+I20</f>
        <v>273</v>
      </c>
      <c r="K20" s="15" t="n">
        <f aca="false">+J20</f>
        <v>273</v>
      </c>
      <c r="L20" s="15" t="n">
        <f aca="false">+K20</f>
        <v>273</v>
      </c>
      <c r="M20" s="15" t="n">
        <f aca="false">+L20</f>
        <v>273</v>
      </c>
      <c r="N20" s="15" t="n">
        <f aca="false">+M20</f>
        <v>273</v>
      </c>
      <c r="O20" s="1" t="s">
        <v>94</v>
      </c>
    </row>
    <row r="21" customFormat="false" ht="12.75" hidden="false" customHeight="false" outlineLevel="0" collapsed="false">
      <c r="A21" s="1" t="s">
        <v>95</v>
      </c>
      <c r="B21" s="21" t="s">
        <v>96</v>
      </c>
      <c r="D21" s="74" t="n">
        <f aca="false">'Basic Calculations'!D7</f>
        <v>10.6666666666667</v>
      </c>
      <c r="E21" s="75" t="n">
        <f aca="false">+D21</f>
        <v>10.6666666666667</v>
      </c>
      <c r="F21" s="75" t="n">
        <f aca="false">+E21</f>
        <v>10.6666666666667</v>
      </c>
      <c r="G21" s="75" t="n">
        <f aca="false">+F21</f>
        <v>10.6666666666667</v>
      </c>
      <c r="H21" s="75" t="n">
        <f aca="false">+G21</f>
        <v>10.6666666666667</v>
      </c>
      <c r="I21" s="75" t="n">
        <f aca="false">+H21</f>
        <v>10.6666666666667</v>
      </c>
      <c r="J21" s="75" t="n">
        <f aca="false">+I21</f>
        <v>10.6666666666667</v>
      </c>
      <c r="K21" s="75" t="n">
        <f aca="false">+J21</f>
        <v>10.6666666666667</v>
      </c>
      <c r="L21" s="75" t="n">
        <f aca="false">+K21</f>
        <v>10.6666666666667</v>
      </c>
      <c r="M21" s="75" t="n">
        <f aca="false">+L21</f>
        <v>10.6666666666667</v>
      </c>
      <c r="N21" s="75" t="n">
        <f aca="false">+M21</f>
        <v>10.6666666666667</v>
      </c>
      <c r="O21" s="1" t="s">
        <v>97</v>
      </c>
    </row>
    <row r="22" customFormat="false" ht="12.75" hidden="false" customHeight="false" outlineLevel="0" collapsed="false">
      <c r="A22" s="1" t="s">
        <v>98</v>
      </c>
      <c r="B22" s="21" t="s">
        <v>82</v>
      </c>
      <c r="D22" s="72" t="n">
        <f aca="false">1-'Basic Calculations'!D9/'Basic Calculations'!D7</f>
        <v>0.34375</v>
      </c>
      <c r="E22" s="76" t="n">
        <f aca="false">D22</f>
        <v>0.34375</v>
      </c>
      <c r="F22" s="76" t="n">
        <f aca="false">+E22</f>
        <v>0.34375</v>
      </c>
      <c r="G22" s="76" t="n">
        <f aca="false">+F22</f>
        <v>0.34375</v>
      </c>
      <c r="H22" s="76" t="n">
        <f aca="false">+G22</f>
        <v>0.34375</v>
      </c>
      <c r="I22" s="76" t="n">
        <f aca="false">+H22</f>
        <v>0.34375</v>
      </c>
      <c r="J22" s="76" t="n">
        <f aca="false">+I22</f>
        <v>0.34375</v>
      </c>
      <c r="K22" s="76" t="n">
        <f aca="false">+J22</f>
        <v>0.34375</v>
      </c>
      <c r="L22" s="76" t="n">
        <f aca="false">+K22</f>
        <v>0.34375</v>
      </c>
      <c r="M22" s="76" t="n">
        <f aca="false">+L22</f>
        <v>0.34375</v>
      </c>
      <c r="N22" s="76" t="n">
        <f aca="false">+M22</f>
        <v>0.34375</v>
      </c>
      <c r="O22" s="1" t="s">
        <v>99</v>
      </c>
    </row>
    <row r="23" customFormat="false" ht="12.75" hidden="false" customHeight="false" outlineLevel="0" collapsed="false">
      <c r="A23" s="1" t="s">
        <v>100</v>
      </c>
      <c r="B23" s="21" t="s">
        <v>101</v>
      </c>
      <c r="D23" s="15" t="n">
        <f aca="false">+D20*D21*(1-D22)</f>
        <v>1911</v>
      </c>
      <c r="E23" s="15" t="n">
        <f aca="false">+E20*E21*(1-E22)</f>
        <v>1911</v>
      </c>
      <c r="F23" s="15" t="n">
        <f aca="false">+F20*F21*(1-F22)</f>
        <v>1911</v>
      </c>
      <c r="G23" s="15" t="n">
        <f aca="false">+G20*G21*(1-G22)</f>
        <v>1911</v>
      </c>
      <c r="H23" s="15" t="n">
        <f aca="false">+H20*H21*(1-H22)</f>
        <v>1911</v>
      </c>
      <c r="I23" s="15" t="n">
        <f aca="false">+I20*I21*(1-I22)</f>
        <v>1911</v>
      </c>
      <c r="J23" s="15" t="n">
        <f aca="false">+J20*J21*(1-J22)</f>
        <v>1911</v>
      </c>
      <c r="K23" s="15" t="n">
        <f aca="false">+K20*K21*(1-K22)</f>
        <v>1911</v>
      </c>
      <c r="L23" s="15" t="n">
        <f aca="false">+L20*L21*(1-L22)</f>
        <v>1911</v>
      </c>
      <c r="M23" s="15" t="n">
        <f aca="false">+M20*M21*(1-M22)</f>
        <v>1911</v>
      </c>
      <c r="N23" s="15" t="n">
        <f aca="false">+N20*N21*(1-N22)</f>
        <v>1911</v>
      </c>
    </row>
    <row r="24" customFormat="false" ht="12.75" hidden="false" customHeight="false" outlineLevel="0" collapsed="false">
      <c r="A24" s="1" t="s">
        <v>102</v>
      </c>
      <c r="B24" s="21" t="s">
        <v>101</v>
      </c>
      <c r="D24" s="15" t="n">
        <f aca="false">+D21*D20</f>
        <v>2912</v>
      </c>
      <c r="E24" s="15" t="n">
        <f aca="false">+E21*E20</f>
        <v>2912</v>
      </c>
      <c r="F24" s="15" t="n">
        <f aca="false">+F21*F20</f>
        <v>2912</v>
      </c>
      <c r="G24" s="15" t="n">
        <f aca="false">+G21*G20</f>
        <v>2912</v>
      </c>
      <c r="H24" s="15" t="n">
        <f aca="false">+H21*H20</f>
        <v>2912</v>
      </c>
      <c r="I24" s="15" t="n">
        <f aca="false">+I21*I20</f>
        <v>2912</v>
      </c>
      <c r="J24" s="15" t="n">
        <f aca="false">+J21*J20</f>
        <v>2912</v>
      </c>
      <c r="K24" s="15" t="n">
        <f aca="false">+K21*K20</f>
        <v>2912</v>
      </c>
      <c r="L24" s="15" t="n">
        <f aca="false">+L21*L20</f>
        <v>2912</v>
      </c>
      <c r="M24" s="15" t="n">
        <f aca="false">+M21*M20</f>
        <v>2912</v>
      </c>
      <c r="N24" s="15" t="n">
        <f aca="false">+N21*N20</f>
        <v>2912</v>
      </c>
      <c r="O24" s="1" t="s">
        <v>103</v>
      </c>
    </row>
    <row r="25" customFormat="false" ht="12.75" hidden="false" customHeight="false" outlineLevel="0" collapsed="false">
      <c r="A25" s="1" t="s">
        <v>104</v>
      </c>
      <c r="B25" s="21" t="s">
        <v>105</v>
      </c>
      <c r="D25" s="15" t="n">
        <f aca="false">(C12+(D12-C12)/2)*D23+(C12+(D12-C12)/2)*$C$18*D24</f>
        <v>1809990</v>
      </c>
      <c r="E25" s="15" t="n">
        <f aca="false">(D12+(E12-D12)/2)*E23+(D12+(E12-D12)/2)*$C$18*E24</f>
        <v>20452887</v>
      </c>
      <c r="F25" s="15" t="n">
        <f aca="false">(E12+(F12-E12)/2)*F23+(E12+(F12-E12)/2)*$C$18*F24</f>
        <v>57047264.82</v>
      </c>
      <c r="G25" s="15" t="n">
        <f aca="false">(F12+(G12-F12)/2)*G23+(F12+(G12-F12)/2)*$C$18*G24</f>
        <v>117517365.5292</v>
      </c>
      <c r="H25" s="15" t="n">
        <f aca="false">(G12+(H12-G12)/2)*H23+(G12+(H12-G12)/2)*$C$18*H24</f>
        <v>242085772.990152</v>
      </c>
      <c r="I25" s="15" t="n">
        <f aca="false">(H12+(I12-H12)/2)*I23+(H12+(I12-H12)/2)*$C$18*I24</f>
        <v>414765713.090023</v>
      </c>
      <c r="J25" s="15" t="n">
        <f aca="false">(I12+(J12-I12)/2)*J23+(I12+(J12-I12)/2)*$C$18*J24</f>
        <v>511139663.752414</v>
      </c>
      <c r="K25" s="15" t="n">
        <f aca="false">(J12+(K12-J12)/2)*K23+(J12+(K12-J12)/2)*$C$18*K24</f>
        <v>526473853.664986</v>
      </c>
      <c r="L25" s="15" t="n">
        <f aca="false">(K12+(L12-K12)/2)*L23+(K12+(L12-K12)/2)*$C$18*L24</f>
        <v>542268069.274936</v>
      </c>
      <c r="M25" s="15" t="n">
        <f aca="false">(L12+(M12-L12)/2)*M23+(L12+(M12-L12)/2)*$C$18*M24</f>
        <v>558536111.353184</v>
      </c>
      <c r="N25" s="15" t="n">
        <f aca="false">(M12+(N12-M12)/2)*N23+(M12+(N12-M12)/2)*$C$18*N24</f>
        <v>575292194.69378</v>
      </c>
    </row>
    <row r="26" customFormat="false" ht="12.75" hidden="false" customHeight="false" outlineLevel="0" collapsed="false">
      <c r="A26" s="7" t="s">
        <v>106</v>
      </c>
      <c r="B26" s="21" t="s">
        <v>82</v>
      </c>
      <c r="D26" s="72" t="n">
        <v>1E-025</v>
      </c>
      <c r="E26" s="72" t="n">
        <v>0.04</v>
      </c>
      <c r="F26" s="72" t="n">
        <f aca="false">+E26*1.4</f>
        <v>0.056</v>
      </c>
      <c r="G26" s="72" t="n">
        <f aca="false">+F26*1.4</f>
        <v>0.0784</v>
      </c>
      <c r="H26" s="72" t="n">
        <f aca="false">+G26*1.4</f>
        <v>0.10976</v>
      </c>
      <c r="I26" s="72" t="n">
        <f aca="false">+H26*1.4</f>
        <v>0.153664</v>
      </c>
      <c r="J26" s="72" t="n">
        <f aca="false">+I26*1.4</f>
        <v>0.2151296</v>
      </c>
      <c r="K26" s="72" t="n">
        <f aca="false">+J26*1.4</f>
        <v>0.30118144</v>
      </c>
      <c r="L26" s="72" t="n">
        <f aca="false">+K26*1.4</f>
        <v>0.421654016</v>
      </c>
      <c r="M26" s="72" t="n">
        <f aca="false">+L26*1.4</f>
        <v>0.5903156224</v>
      </c>
      <c r="N26" s="72" t="n">
        <f aca="false">+M26*1.4</f>
        <v>0.82644187136</v>
      </c>
    </row>
    <row r="27" customFormat="false" ht="12.75" hidden="false" customHeight="false" outlineLevel="0" collapsed="false">
      <c r="A27" s="7" t="s">
        <v>107</v>
      </c>
      <c r="B27" s="21" t="s">
        <v>82</v>
      </c>
      <c r="D27" s="59" t="n">
        <f aca="false">1-D26</f>
        <v>1</v>
      </c>
      <c r="E27" s="59" t="n">
        <f aca="false">1-E26</f>
        <v>0.96</v>
      </c>
      <c r="F27" s="59" t="n">
        <f aca="false">1-F26</f>
        <v>0.944</v>
      </c>
      <c r="G27" s="59" t="n">
        <f aca="false">1-G26</f>
        <v>0.9216</v>
      </c>
      <c r="H27" s="59" t="n">
        <f aca="false">1-H26</f>
        <v>0.89024</v>
      </c>
      <c r="I27" s="59" t="n">
        <f aca="false">1-I26</f>
        <v>0.846336</v>
      </c>
      <c r="J27" s="59" t="n">
        <f aca="false">1-J26</f>
        <v>0.7848704</v>
      </c>
      <c r="K27" s="59" t="n">
        <f aca="false">1-K26</f>
        <v>0.69881856</v>
      </c>
      <c r="L27" s="59" t="n">
        <f aca="false">1-L26</f>
        <v>0.578345984</v>
      </c>
      <c r="M27" s="59" t="n">
        <f aca="false">1-M26</f>
        <v>0.4096843776</v>
      </c>
      <c r="N27" s="59" t="n">
        <f aca="false">1-N26</f>
        <v>0.173558128640001</v>
      </c>
    </row>
    <row r="28" customFormat="false" ht="13.5" hidden="false" customHeight="false" outlineLevel="0" collapsed="false">
      <c r="A28" s="48" t="str">
        <f aca="false">CF!A2</f>
        <v>PERIOD</v>
      </c>
      <c r="B28" s="4"/>
      <c r="C28" s="38" t="str">
        <f aca="false">C$1</f>
        <v>@</v>
      </c>
      <c r="D28" s="39" t="n">
        <f aca="false">D$1</f>
        <v>0</v>
      </c>
      <c r="E28" s="39" t="n">
        <f aca="false">E$1</f>
        <v>1</v>
      </c>
      <c r="F28" s="39" t="n">
        <f aca="false">F$1</f>
        <v>2</v>
      </c>
      <c r="G28" s="39" t="n">
        <f aca="false">G$1</f>
        <v>3</v>
      </c>
      <c r="H28" s="39" t="n">
        <f aca="false">H$1</f>
        <v>4</v>
      </c>
      <c r="I28" s="39" t="n">
        <f aca="false">I$1</f>
        <v>5</v>
      </c>
      <c r="J28" s="39" t="n">
        <f aca="false">J$1</f>
        <v>6</v>
      </c>
      <c r="K28" s="39" t="n">
        <f aca="false">K$1</f>
        <v>7</v>
      </c>
      <c r="L28" s="39" t="n">
        <f aca="false">L$1</f>
        <v>8</v>
      </c>
      <c r="M28" s="39" t="n">
        <f aca="false">M$1</f>
        <v>9</v>
      </c>
      <c r="N28" s="39" t="n">
        <f aca="false">N$1</f>
        <v>10</v>
      </c>
    </row>
    <row r="29" customFormat="false" ht="15" hidden="false" customHeight="false" outlineLevel="0" collapsed="false">
      <c r="A29" s="67" t="s">
        <v>108</v>
      </c>
      <c r="B29" s="21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</row>
    <row r="30" customFormat="false" ht="12.75" hidden="false" customHeight="false" outlineLevel="0" collapsed="false">
      <c r="A30" s="1" t="s">
        <v>109</v>
      </c>
      <c r="B30" s="21" t="s">
        <v>110</v>
      </c>
      <c r="D30" s="77" t="n">
        <f aca="false">+'Basic Calculations'!D10</f>
        <v>1.25</v>
      </c>
      <c r="E30" s="1" t="n">
        <f aca="false">+$D$30*E31</f>
        <v>1.1952754530888</v>
      </c>
      <c r="F30" s="1" t="n">
        <f aca="false">+$D$30*F31</f>
        <v>1.11918887902475</v>
      </c>
      <c r="G30" s="1" t="n">
        <f aca="false">+$D$30*G31</f>
        <v>1.07214099343914</v>
      </c>
      <c r="H30" s="1" t="n">
        <f aca="false">+$D$30*H31</f>
        <v>1.04749380183184</v>
      </c>
      <c r="I30" s="1" t="n">
        <f aca="false">+$D$30*I31</f>
        <v>1.02550925123963</v>
      </c>
      <c r="J30" s="1" t="n">
        <f aca="false">+$D$30*J31</f>
        <v>1.04749380183184</v>
      </c>
      <c r="K30" s="1" t="n">
        <f aca="false">+$D$30*K31</f>
        <v>1.01626951475651</v>
      </c>
      <c r="L30" s="1" t="n">
        <f aca="false">+$D$30*L31</f>
        <v>1.01835699824611</v>
      </c>
      <c r="M30" s="1" t="n">
        <f aca="false">+$D$30*M31</f>
        <v>1.02613177467899</v>
      </c>
      <c r="N30" s="1" t="n">
        <f aca="false">+$D$30*N31</f>
        <v>1.03880007461953</v>
      </c>
      <c r="O30" s="1" t="s">
        <v>111</v>
      </c>
    </row>
    <row r="31" customFormat="false" ht="12.75" hidden="false" customHeight="false" outlineLevel="0" collapsed="false">
      <c r="A31" s="1" t="s">
        <v>112</v>
      </c>
      <c r="B31" s="21" t="s">
        <v>113</v>
      </c>
      <c r="D31" s="77" t="n">
        <v>1</v>
      </c>
      <c r="E31" s="77" t="n">
        <v>0.956220362471039</v>
      </c>
      <c r="F31" s="77" t="n">
        <v>0.8953511032198</v>
      </c>
      <c r="G31" s="77" t="n">
        <v>0.857712794751315</v>
      </c>
      <c r="H31" s="77" t="n">
        <v>0.837995041465474</v>
      </c>
      <c r="I31" s="77" t="n">
        <v>0.820407400991707</v>
      </c>
      <c r="J31" s="77" t="n">
        <v>0.837995041465474</v>
      </c>
      <c r="K31" s="77" t="n">
        <v>0.81301561180521</v>
      </c>
      <c r="L31" s="77" t="n">
        <v>0.814685598596886</v>
      </c>
      <c r="M31" s="77" t="n">
        <v>0.820905419743196</v>
      </c>
      <c r="N31" s="77" t="n">
        <v>0.831040059695626</v>
      </c>
      <c r="O31" s="1" t="s">
        <v>114</v>
      </c>
    </row>
    <row r="32" customFormat="false" ht="12.75" hidden="false" customHeight="false" outlineLevel="0" collapsed="false">
      <c r="A32" s="1" t="s">
        <v>115</v>
      </c>
      <c r="B32" s="21" t="s">
        <v>116</v>
      </c>
      <c r="D32" s="77" t="n">
        <f aca="false">+'Basic Calculations'!D11</f>
        <v>0.825</v>
      </c>
      <c r="E32" s="75" t="n">
        <f aca="false">D32</f>
        <v>0.825</v>
      </c>
      <c r="F32" s="75" t="n">
        <f aca="false">E32</f>
        <v>0.825</v>
      </c>
      <c r="G32" s="75" t="n">
        <f aca="false">F32</f>
        <v>0.825</v>
      </c>
      <c r="H32" s="75" t="n">
        <f aca="false">G32</f>
        <v>0.825</v>
      </c>
      <c r="I32" s="75" t="n">
        <f aca="false">H32</f>
        <v>0.825</v>
      </c>
      <c r="J32" s="75" t="n">
        <f aca="false">I32</f>
        <v>0.825</v>
      </c>
      <c r="K32" s="75" t="n">
        <f aca="false">J32</f>
        <v>0.825</v>
      </c>
      <c r="L32" s="75" t="n">
        <f aca="false">K32</f>
        <v>0.825</v>
      </c>
      <c r="M32" s="75" t="n">
        <f aca="false">L32</f>
        <v>0.825</v>
      </c>
      <c r="N32" s="75" t="n">
        <f aca="false">M32</f>
        <v>0.825</v>
      </c>
      <c r="O32" s="1" t="s">
        <v>117</v>
      </c>
    </row>
    <row r="33" customFormat="false" ht="12.75" hidden="false" customHeight="false" outlineLevel="0" collapsed="false">
      <c r="A33" s="1" t="s">
        <v>118</v>
      </c>
      <c r="B33" s="21" t="s">
        <v>116</v>
      </c>
      <c r="D33" s="74" t="n">
        <f aca="false">+'Basic Calculations'!D19</f>
        <v>0.5</v>
      </c>
      <c r="E33" s="75" t="n">
        <f aca="false">D33</f>
        <v>0.5</v>
      </c>
      <c r="F33" s="75" t="n">
        <f aca="false">E33</f>
        <v>0.5</v>
      </c>
      <c r="G33" s="75" t="n">
        <f aca="false">F33</f>
        <v>0.5</v>
      </c>
      <c r="H33" s="75" t="n">
        <f aca="false">G33</f>
        <v>0.5</v>
      </c>
      <c r="I33" s="75" t="n">
        <f aca="false">H33</f>
        <v>0.5</v>
      </c>
      <c r="J33" s="75" t="n">
        <f aca="false">I33</f>
        <v>0.5</v>
      </c>
      <c r="K33" s="75" t="n">
        <f aca="false">J33</f>
        <v>0.5</v>
      </c>
      <c r="L33" s="75" t="n">
        <f aca="false">K33</f>
        <v>0.5</v>
      </c>
      <c r="M33" s="75" t="n">
        <f aca="false">L33</f>
        <v>0.5</v>
      </c>
      <c r="N33" s="75" t="n">
        <f aca="false">M33</f>
        <v>0.5</v>
      </c>
      <c r="O33" s="1" t="s">
        <v>119</v>
      </c>
    </row>
    <row r="34" customFormat="false" ht="12.75" hidden="false" customHeight="false" outlineLevel="0" collapsed="false">
      <c r="A34" s="1" t="s">
        <v>120</v>
      </c>
      <c r="B34" s="21" t="s">
        <v>121</v>
      </c>
      <c r="D34" s="78" t="n">
        <f aca="false">+D30*D32</f>
        <v>1.03125</v>
      </c>
      <c r="E34" s="78" t="n">
        <f aca="false">+E30*E32</f>
        <v>0.986102248798259</v>
      </c>
      <c r="F34" s="78" t="n">
        <f aca="false">+F30*F32</f>
        <v>0.923330825195418</v>
      </c>
      <c r="G34" s="78" t="n">
        <f aca="false">+G30*G32</f>
        <v>0.884516319587294</v>
      </c>
      <c r="H34" s="78" t="n">
        <f aca="false">+H30*H32</f>
        <v>0.86418238651127</v>
      </c>
      <c r="I34" s="78" t="n">
        <f aca="false">+I30*I32</f>
        <v>0.846045132272698</v>
      </c>
      <c r="J34" s="78" t="n">
        <f aca="false">+J30*J32</f>
        <v>0.86418238651127</v>
      </c>
      <c r="K34" s="78" t="n">
        <f aca="false">+K30*K32</f>
        <v>0.838422349674122</v>
      </c>
      <c r="L34" s="78" t="n">
        <f aca="false">+L30*L32</f>
        <v>0.840144523553039</v>
      </c>
      <c r="M34" s="78" t="n">
        <f aca="false">+M30*M32</f>
        <v>0.846558714110171</v>
      </c>
      <c r="N34" s="78" t="n">
        <f aca="false">+N30*N32</f>
        <v>0.857010061561114</v>
      </c>
    </row>
    <row r="35" customFormat="false" ht="12.75" hidden="false" customHeight="false" outlineLevel="0" collapsed="false">
      <c r="A35" s="1" t="s">
        <v>122</v>
      </c>
      <c r="B35" s="21" t="s">
        <v>123</v>
      </c>
      <c r="D35" s="15" t="n">
        <f aca="false">D34*D23</f>
        <v>1970.71875</v>
      </c>
      <c r="E35" s="15" t="n">
        <f aca="false">E34*E23</f>
        <v>1884.44139745347</v>
      </c>
      <c r="F35" s="15" t="n">
        <f aca="false">F34*F23</f>
        <v>1764.48520694844</v>
      </c>
      <c r="G35" s="15" t="n">
        <f aca="false">G34*G23</f>
        <v>1690.31068673132</v>
      </c>
      <c r="H35" s="15" t="n">
        <f aca="false">H34*H23</f>
        <v>1651.45254062304</v>
      </c>
      <c r="I35" s="15" t="n">
        <f aca="false">I34*I23</f>
        <v>1616.79224777313</v>
      </c>
      <c r="J35" s="15" t="n">
        <f aca="false">J34*J23</f>
        <v>1651.45254062304</v>
      </c>
      <c r="K35" s="15" t="n">
        <f aca="false">K34*K23</f>
        <v>1602.22511022725</v>
      </c>
      <c r="L35" s="15" t="n">
        <f aca="false">L34*L23</f>
        <v>1605.51618450986</v>
      </c>
      <c r="M35" s="15" t="n">
        <f aca="false">M34*M23</f>
        <v>1617.77370266454</v>
      </c>
      <c r="N35" s="15" t="n">
        <f aca="false">N34*N23</f>
        <v>1637.74622764329</v>
      </c>
      <c r="O35" s="1" t="s">
        <v>124</v>
      </c>
    </row>
    <row r="36" customFormat="false" ht="12.75" hidden="false" customHeight="false" outlineLevel="0" collapsed="false">
      <c r="A36" s="1" t="s">
        <v>125</v>
      </c>
      <c r="B36" s="21" t="s">
        <v>121</v>
      </c>
      <c r="D36" s="78" t="n">
        <f aca="false">+D33*D30</f>
        <v>0.625</v>
      </c>
      <c r="E36" s="78" t="n">
        <f aca="false">+E33*E30</f>
        <v>0.597637726544399</v>
      </c>
      <c r="F36" s="78" t="n">
        <f aca="false">+F33*F30</f>
        <v>0.559594439512375</v>
      </c>
      <c r="G36" s="78" t="n">
        <f aca="false">+G33*G30</f>
        <v>0.536070496719572</v>
      </c>
      <c r="H36" s="78" t="n">
        <f aca="false">+H33*H30</f>
        <v>0.523746900915921</v>
      </c>
      <c r="I36" s="78" t="n">
        <f aca="false">+I33*I30</f>
        <v>0.512754625619817</v>
      </c>
      <c r="J36" s="78" t="n">
        <f aca="false">+J33*J30</f>
        <v>0.523746900915921</v>
      </c>
      <c r="K36" s="78" t="n">
        <f aca="false">+K33*K30</f>
        <v>0.508134757378256</v>
      </c>
      <c r="L36" s="78" t="n">
        <f aca="false">+L33*L30</f>
        <v>0.509178499123054</v>
      </c>
      <c r="M36" s="78" t="n">
        <f aca="false">+M33*M30</f>
        <v>0.513065887339497</v>
      </c>
      <c r="N36" s="78" t="n">
        <f aca="false">+N33*N30</f>
        <v>0.519400037309766</v>
      </c>
    </row>
    <row r="37" customFormat="false" ht="12.75" hidden="false" customHeight="false" outlineLevel="0" collapsed="false">
      <c r="A37" s="1" t="s">
        <v>126</v>
      </c>
      <c r="B37" s="21" t="s">
        <v>123</v>
      </c>
      <c r="D37" s="15" t="n">
        <f aca="false">+D36*D24</f>
        <v>1820</v>
      </c>
      <c r="E37" s="15" t="n">
        <f aca="false">+E36*E24</f>
        <v>1740.32105969729</v>
      </c>
      <c r="F37" s="15" t="n">
        <f aca="false">+F36*F24</f>
        <v>1629.53900786003</v>
      </c>
      <c r="G37" s="15" t="n">
        <f aca="false">+G36*G24</f>
        <v>1561.03728644739</v>
      </c>
      <c r="H37" s="15" t="n">
        <f aca="false">+H36*H24</f>
        <v>1525.15097546716</v>
      </c>
      <c r="I37" s="15" t="n">
        <f aca="false">+I36*I24</f>
        <v>1493.14146980491</v>
      </c>
      <c r="J37" s="15" t="n">
        <f aca="false">+J36*J24</f>
        <v>1525.15097546716</v>
      </c>
      <c r="K37" s="15" t="n">
        <f aca="false">+K36*K24</f>
        <v>1479.68841348548</v>
      </c>
      <c r="L37" s="15" t="n">
        <f aca="false">+L36*L24</f>
        <v>1482.72778944633</v>
      </c>
      <c r="M37" s="15" t="n">
        <f aca="false">+M36*M24</f>
        <v>1494.04786393262</v>
      </c>
      <c r="N37" s="15" t="n">
        <f aca="false">+N36*N24</f>
        <v>1512.49290864604</v>
      </c>
      <c r="O37" s="1" t="s">
        <v>124</v>
      </c>
    </row>
    <row r="38" customFormat="false" ht="12.75" hidden="false" customHeight="false" outlineLevel="0" collapsed="false">
      <c r="A38" s="1" t="s">
        <v>127</v>
      </c>
      <c r="B38" s="21" t="s">
        <v>121</v>
      </c>
      <c r="D38" s="1" t="n">
        <f aca="false">+D34+D36*$C$18</f>
        <v>1.21875</v>
      </c>
      <c r="E38" s="1" t="n">
        <f aca="false">+E34+E36*$C$18</f>
        <v>1.16539356676158</v>
      </c>
      <c r="F38" s="1" t="n">
        <f aca="false">+F34+F36*$C$18</f>
        <v>1.09120915704913</v>
      </c>
      <c r="G38" s="1" t="n">
        <f aca="false">+G34+G36*$C$18</f>
        <v>1.04533746860317</v>
      </c>
      <c r="H38" s="1" t="n">
        <f aca="false">+H34+H36*$C$18</f>
        <v>1.02130645678605</v>
      </c>
      <c r="I38" s="1" t="n">
        <f aca="false">+I34+I36*$C$18</f>
        <v>0.999871519958643</v>
      </c>
      <c r="J38" s="1" t="n">
        <f aca="false">+J34+J36*$C$18</f>
        <v>1.02130645678605</v>
      </c>
      <c r="K38" s="1" t="n">
        <f aca="false">+K34+K36*$C$18</f>
        <v>0.990862776887599</v>
      </c>
      <c r="L38" s="1" t="n">
        <f aca="false">+L34+L36*$C$18</f>
        <v>0.992898073289955</v>
      </c>
      <c r="M38" s="1" t="n">
        <f aca="false">+M34+M36*$C$18</f>
        <v>1.00047848031202</v>
      </c>
      <c r="N38" s="1" t="n">
        <f aca="false">+N34+N36*$C$18</f>
        <v>1.01283007275404</v>
      </c>
      <c r="O38" s="1" t="s">
        <v>128</v>
      </c>
    </row>
    <row r="39" customFormat="false" ht="15" hidden="false" customHeight="false" outlineLevel="0" collapsed="false">
      <c r="A39" s="67" t="s">
        <v>129</v>
      </c>
      <c r="B39" s="21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customFormat="false" ht="12.75" hidden="false" customHeight="false" outlineLevel="0" collapsed="false">
      <c r="A40" s="1" t="s">
        <v>130</v>
      </c>
      <c r="B40" s="21" t="s">
        <v>82</v>
      </c>
      <c r="D40" s="72" t="n">
        <v>0.1</v>
      </c>
      <c r="E40" s="59" t="n">
        <f aca="false">D40</f>
        <v>0.1</v>
      </c>
      <c r="F40" s="59" t="n">
        <f aca="false">E40</f>
        <v>0.1</v>
      </c>
      <c r="G40" s="59" t="n">
        <f aca="false">F40</f>
        <v>0.1</v>
      </c>
      <c r="H40" s="59" t="n">
        <f aca="false">G40</f>
        <v>0.1</v>
      </c>
      <c r="I40" s="59" t="n">
        <f aca="false">H40</f>
        <v>0.1</v>
      </c>
      <c r="J40" s="59" t="n">
        <f aca="false">I40</f>
        <v>0.1</v>
      </c>
      <c r="K40" s="59" t="n">
        <f aca="false">J40</f>
        <v>0.1</v>
      </c>
      <c r="L40" s="59" t="n">
        <f aca="false">K40</f>
        <v>0.1</v>
      </c>
      <c r="M40" s="59" t="n">
        <f aca="false">L40</f>
        <v>0.1</v>
      </c>
      <c r="N40" s="59" t="n">
        <f aca="false">M40</f>
        <v>0.1</v>
      </c>
      <c r="O40" s="1" t="s">
        <v>131</v>
      </c>
    </row>
    <row r="41" customFormat="false" ht="12.75" hidden="false" customHeight="false" outlineLevel="0" collapsed="false">
      <c r="A41" s="1" t="s">
        <v>132</v>
      </c>
      <c r="B41" s="21" t="s">
        <v>121</v>
      </c>
      <c r="D41" s="1" t="n">
        <f aca="false">+D38*(1-D40)</f>
        <v>1.096875</v>
      </c>
      <c r="E41" s="1" t="n">
        <f aca="false">+E38*(1-E40)</f>
        <v>1.04885421008542</v>
      </c>
      <c r="F41" s="1" t="n">
        <f aca="false">+F38*(1-F40)</f>
        <v>0.982088241344218</v>
      </c>
      <c r="G41" s="1" t="n">
        <f aca="false">+G38*(1-G40)</f>
        <v>0.940803721742849</v>
      </c>
      <c r="H41" s="1" t="n">
        <f aca="false">+H38*(1-H40)</f>
        <v>0.919175811107442</v>
      </c>
      <c r="I41" s="1" t="n">
        <f aca="false">+I38*(1-I40)</f>
        <v>0.899884367962779</v>
      </c>
      <c r="J41" s="1" t="n">
        <f aca="false">+J38*(1-J40)</f>
        <v>0.919175811107442</v>
      </c>
      <c r="K41" s="1" t="n">
        <f aca="false">+K38*(1-K40)</f>
        <v>0.891776499198839</v>
      </c>
      <c r="L41" s="1" t="n">
        <f aca="false">+L38*(1-L40)</f>
        <v>0.89360826596096</v>
      </c>
      <c r="M41" s="1" t="n">
        <f aca="false">+M38*(1-M40)</f>
        <v>0.900430632280818</v>
      </c>
      <c r="N41" s="1" t="n">
        <f aca="false">+N38*(1-N40)</f>
        <v>0.911547065478639</v>
      </c>
    </row>
    <row r="42" customFormat="false" ht="12.75" hidden="false" customHeight="false" outlineLevel="0" collapsed="false">
      <c r="A42" s="1" t="s">
        <v>133</v>
      </c>
      <c r="B42" s="21" t="s">
        <v>121</v>
      </c>
      <c r="D42" s="1" t="n">
        <f aca="false">+D38</f>
        <v>1.21875</v>
      </c>
      <c r="E42" s="1" t="n">
        <f aca="false">+E38</f>
        <v>1.16539356676158</v>
      </c>
      <c r="F42" s="1" t="n">
        <f aca="false">+F38</f>
        <v>1.09120915704913</v>
      </c>
      <c r="G42" s="1" t="n">
        <f aca="false">+G38</f>
        <v>1.04533746860317</v>
      </c>
      <c r="H42" s="1" t="n">
        <f aca="false">+H38</f>
        <v>1.02130645678605</v>
      </c>
      <c r="I42" s="1" t="n">
        <f aca="false">+I38</f>
        <v>0.999871519958643</v>
      </c>
      <c r="J42" s="1" t="n">
        <f aca="false">+J38</f>
        <v>1.02130645678605</v>
      </c>
      <c r="K42" s="1" t="n">
        <f aca="false">+K38</f>
        <v>0.990862776887599</v>
      </c>
      <c r="L42" s="1" t="n">
        <f aca="false">+L38</f>
        <v>0.992898073289955</v>
      </c>
      <c r="M42" s="1" t="n">
        <f aca="false">+M38</f>
        <v>1.00047848031202</v>
      </c>
      <c r="N42" s="1" t="n">
        <f aca="false">+N38</f>
        <v>1.01283007275404</v>
      </c>
    </row>
    <row r="43" customFormat="false" ht="15" hidden="false" customHeight="false" outlineLevel="0" collapsed="false">
      <c r="A43" s="67" t="s">
        <v>134</v>
      </c>
      <c r="B43" s="21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</row>
    <row r="44" customFormat="false" ht="12.75" hidden="false" customHeight="false" outlineLevel="0" collapsed="false">
      <c r="A44" s="1" t="s">
        <v>135</v>
      </c>
      <c r="B44" s="21" t="s">
        <v>121</v>
      </c>
      <c r="D44" s="79" t="n">
        <v>1</v>
      </c>
      <c r="E44" s="1" t="n">
        <f aca="false">D44</f>
        <v>1</v>
      </c>
      <c r="F44" s="1" t="n">
        <f aca="false">E44</f>
        <v>1</v>
      </c>
      <c r="G44" s="1" t="n">
        <f aca="false">F44</f>
        <v>1</v>
      </c>
      <c r="H44" s="1" t="n">
        <f aca="false">G44</f>
        <v>1</v>
      </c>
      <c r="I44" s="1" t="n">
        <f aca="false">H44</f>
        <v>1</v>
      </c>
      <c r="J44" s="1" t="n">
        <f aca="false">I44</f>
        <v>1</v>
      </c>
      <c r="K44" s="1" t="n">
        <f aca="false">J44</f>
        <v>1</v>
      </c>
      <c r="L44" s="1" t="n">
        <f aca="false">K44</f>
        <v>1</v>
      </c>
      <c r="M44" s="1" t="n">
        <f aca="false">L44</f>
        <v>1</v>
      </c>
      <c r="N44" s="1" t="n">
        <f aca="false">M44</f>
        <v>1</v>
      </c>
      <c r="O44" s="1" t="s">
        <v>84</v>
      </c>
    </row>
    <row r="45" customFormat="false" ht="12.75" hidden="false" customHeight="false" outlineLevel="0" collapsed="false">
      <c r="A45" s="1" t="s">
        <v>136</v>
      </c>
      <c r="B45" s="21" t="s">
        <v>82</v>
      </c>
      <c r="D45" s="72" t="n">
        <v>0.5</v>
      </c>
      <c r="E45" s="59" t="n">
        <f aca="false">D45</f>
        <v>0.5</v>
      </c>
      <c r="F45" s="59" t="n">
        <f aca="false">E45</f>
        <v>0.5</v>
      </c>
      <c r="G45" s="59" t="n">
        <f aca="false">F45</f>
        <v>0.5</v>
      </c>
      <c r="H45" s="59" t="n">
        <f aca="false">G45</f>
        <v>0.5</v>
      </c>
      <c r="I45" s="59" t="n">
        <f aca="false">H45</f>
        <v>0.5</v>
      </c>
      <c r="J45" s="59" t="n">
        <f aca="false">I45</f>
        <v>0.5</v>
      </c>
      <c r="K45" s="59" t="n">
        <f aca="false">J45</f>
        <v>0.5</v>
      </c>
      <c r="L45" s="59" t="n">
        <f aca="false">K45</f>
        <v>0.5</v>
      </c>
      <c r="M45" s="59" t="n">
        <f aca="false">L45</f>
        <v>0.5</v>
      </c>
      <c r="N45" s="59" t="n">
        <f aca="false">M45</f>
        <v>0.5</v>
      </c>
      <c r="O45" s="1" t="s">
        <v>84</v>
      </c>
    </row>
    <row r="46" customFormat="false" ht="12.75" hidden="false" customHeight="false" outlineLevel="0" collapsed="false">
      <c r="A46" s="1" t="s">
        <v>137</v>
      </c>
      <c r="B46" s="21" t="s">
        <v>105</v>
      </c>
      <c r="D46" s="79" t="n">
        <v>2</v>
      </c>
      <c r="E46" s="1" t="n">
        <f aca="false">+D46</f>
        <v>2</v>
      </c>
      <c r="F46" s="1" t="n">
        <f aca="false">+E46</f>
        <v>2</v>
      </c>
      <c r="G46" s="1" t="n">
        <f aca="false">+F46</f>
        <v>2</v>
      </c>
      <c r="H46" s="1" t="n">
        <f aca="false">+G46</f>
        <v>2</v>
      </c>
      <c r="I46" s="1" t="n">
        <f aca="false">+H46</f>
        <v>2</v>
      </c>
      <c r="J46" s="1" t="n">
        <f aca="false">+I46</f>
        <v>2</v>
      </c>
      <c r="K46" s="1" t="n">
        <f aca="false">+J46</f>
        <v>2</v>
      </c>
      <c r="L46" s="1" t="n">
        <f aca="false">+K46</f>
        <v>2</v>
      </c>
      <c r="M46" s="1" t="n">
        <f aca="false">+L46</f>
        <v>2</v>
      </c>
      <c r="N46" s="1" t="n">
        <f aca="false">+M46</f>
        <v>2</v>
      </c>
      <c r="O46" s="1" t="s">
        <v>84</v>
      </c>
    </row>
    <row r="47" customFormat="false" ht="12.75" hidden="false" customHeight="false" outlineLevel="0" collapsed="false">
      <c r="A47" s="1" t="s">
        <v>138</v>
      </c>
      <c r="B47" s="21" t="s">
        <v>23</v>
      </c>
      <c r="D47" s="15" t="n">
        <f aca="false">D46*D45*D44*D20*D12</f>
        <v>354900</v>
      </c>
      <c r="E47" s="15" t="n">
        <f aca="false">E46*E45*E44*E20*E12</f>
        <v>3655470</v>
      </c>
      <c r="F47" s="15" t="n">
        <f aca="false">F46*F45*F44*F20*F12</f>
        <v>7530268.2</v>
      </c>
      <c r="G47" s="15" t="n">
        <f aca="false">G46*G45*G44*G20*G12</f>
        <v>15512352.492</v>
      </c>
      <c r="H47" s="15" t="n">
        <f aca="false">H46*H45*H44*H20*H12</f>
        <v>31955446.13352</v>
      </c>
      <c r="I47" s="15" t="n">
        <f aca="false">I46*I45*I44*I20*I12</f>
        <v>49371164.2762884</v>
      </c>
      <c r="J47" s="15" t="n">
        <f aca="false">J46*J45*J44*J20*J12</f>
        <v>50852299.2045771</v>
      </c>
      <c r="K47" s="15" t="n">
        <f aca="false">K46*K45*K44*K20*K12</f>
        <v>52377868.1807144</v>
      </c>
      <c r="L47" s="15" t="n">
        <f aca="false">L46*L45*L44*L20*L12</f>
        <v>53949204.2261358</v>
      </c>
      <c r="M47" s="15" t="n">
        <f aca="false">M46*M45*M44*M20*M12</f>
        <v>55567680.3529199</v>
      </c>
      <c r="N47" s="15" t="n">
        <f aca="false">N46*N45*N44*N20*N12</f>
        <v>57234710.7635075</v>
      </c>
    </row>
    <row r="48" customFormat="false" ht="12.75" hidden="false" customHeight="false" outlineLevel="0" collapsed="false">
      <c r="A48" s="1" t="s">
        <v>139</v>
      </c>
      <c r="B48" s="21" t="s">
        <v>140</v>
      </c>
      <c r="D48" s="79" t="n">
        <v>1</v>
      </c>
      <c r="E48" s="1" t="n">
        <f aca="false">+D48</f>
        <v>1</v>
      </c>
      <c r="F48" s="1" t="n">
        <f aca="false">+E48</f>
        <v>1</v>
      </c>
      <c r="G48" s="1" t="n">
        <f aca="false">+F48</f>
        <v>1</v>
      </c>
      <c r="H48" s="1" t="n">
        <f aca="false">+G48</f>
        <v>1</v>
      </c>
      <c r="I48" s="1" t="n">
        <f aca="false">+H48</f>
        <v>1</v>
      </c>
      <c r="J48" s="1" t="n">
        <f aca="false">+I48</f>
        <v>1</v>
      </c>
      <c r="K48" s="1" t="n">
        <f aca="false">+J48</f>
        <v>1</v>
      </c>
      <c r="L48" s="1" t="n">
        <f aca="false">+K48</f>
        <v>1</v>
      </c>
      <c r="M48" s="1" t="n">
        <f aca="false">+L48</f>
        <v>1</v>
      </c>
      <c r="N48" s="1" t="n">
        <f aca="false">+M48</f>
        <v>1</v>
      </c>
      <c r="O48" s="1" t="s">
        <v>84</v>
      </c>
    </row>
    <row r="49" customFormat="false" ht="12.75" hidden="false" customHeight="false" outlineLevel="0" collapsed="false">
      <c r="A49" s="1" t="s">
        <v>141</v>
      </c>
      <c r="B49" s="21" t="s">
        <v>82</v>
      </c>
      <c r="D49" s="72" t="n">
        <v>0.4</v>
      </c>
      <c r="E49" s="59" t="n">
        <f aca="false">D49</f>
        <v>0.4</v>
      </c>
      <c r="F49" s="59" t="n">
        <f aca="false">E49</f>
        <v>0.4</v>
      </c>
      <c r="G49" s="59" t="n">
        <f aca="false">F49</f>
        <v>0.4</v>
      </c>
      <c r="H49" s="59" t="n">
        <f aca="false">G49</f>
        <v>0.4</v>
      </c>
      <c r="I49" s="59" t="n">
        <f aca="false">H49</f>
        <v>0.4</v>
      </c>
      <c r="J49" s="59" t="n">
        <f aca="false">I49</f>
        <v>0.4</v>
      </c>
      <c r="K49" s="59" t="n">
        <f aca="false">J49</f>
        <v>0.4</v>
      </c>
      <c r="L49" s="59" t="n">
        <f aca="false">K49</f>
        <v>0.4</v>
      </c>
      <c r="M49" s="59" t="n">
        <f aca="false">L49</f>
        <v>0.4</v>
      </c>
      <c r="N49" s="59" t="n">
        <f aca="false">M49</f>
        <v>0.4</v>
      </c>
      <c r="O49" s="1" t="s">
        <v>84</v>
      </c>
    </row>
    <row r="50" customFormat="false" ht="12.75" hidden="false" customHeight="false" outlineLevel="0" collapsed="false">
      <c r="A50" s="1" t="s">
        <v>142</v>
      </c>
      <c r="B50" s="21" t="s">
        <v>23</v>
      </c>
      <c r="D50" s="15" t="n">
        <f aca="false">+D48*D49*D12*D20</f>
        <v>141960</v>
      </c>
      <c r="E50" s="15" t="n">
        <f aca="false">+E48*E49*E12*E20</f>
        <v>1462188</v>
      </c>
      <c r="F50" s="15" t="n">
        <f aca="false">+F48*F49*F12*F20</f>
        <v>3012107.28</v>
      </c>
      <c r="G50" s="15" t="n">
        <f aca="false">+G48*G49*G12*G20</f>
        <v>6204940.9968</v>
      </c>
      <c r="H50" s="15" t="n">
        <f aca="false">+H48*H49*H12*H20</f>
        <v>12782178.453408</v>
      </c>
      <c r="I50" s="15" t="n">
        <f aca="false">+I48*I49*I12*I20</f>
        <v>19748465.7105154</v>
      </c>
      <c r="J50" s="15" t="n">
        <f aca="false">+J48*J49*J12*J20</f>
        <v>20340919.6818308</v>
      </c>
      <c r="K50" s="15" t="n">
        <f aca="false">+K48*K49*K12*K20</f>
        <v>20951147.2722858</v>
      </c>
      <c r="L50" s="15" t="n">
        <f aca="false">+L48*L49*L12*L20</f>
        <v>21579681.6904543</v>
      </c>
      <c r="M50" s="15" t="n">
        <f aca="false">+M48*M49*M12*M20</f>
        <v>22227072.141168</v>
      </c>
      <c r="N50" s="15" t="n">
        <f aca="false">+N48*N49*N12*N20</f>
        <v>22893884.305403</v>
      </c>
    </row>
    <row r="51" customFormat="false" ht="12.75" hidden="false" customHeight="false" outlineLevel="0" collapsed="false">
      <c r="A51" s="1" t="s">
        <v>143</v>
      </c>
      <c r="B51" s="21" t="s">
        <v>144</v>
      </c>
      <c r="D51" s="79" t="n">
        <v>0.15</v>
      </c>
      <c r="E51" s="1" t="n">
        <f aca="false">+D51</f>
        <v>0.15</v>
      </c>
      <c r="F51" s="1" t="n">
        <f aca="false">+E51</f>
        <v>0.15</v>
      </c>
      <c r="G51" s="1" t="n">
        <f aca="false">+F51</f>
        <v>0.15</v>
      </c>
      <c r="H51" s="1" t="n">
        <f aca="false">+G51</f>
        <v>0.15</v>
      </c>
      <c r="I51" s="1" t="n">
        <f aca="false">+H51</f>
        <v>0.15</v>
      </c>
      <c r="J51" s="1" t="n">
        <f aca="false">+I51</f>
        <v>0.15</v>
      </c>
      <c r="K51" s="1" t="n">
        <f aca="false">+J51</f>
        <v>0.15</v>
      </c>
      <c r="L51" s="1" t="n">
        <f aca="false">+K51</f>
        <v>0.15</v>
      </c>
      <c r="M51" s="1" t="n">
        <f aca="false">+L51</f>
        <v>0.15</v>
      </c>
      <c r="N51" s="1" t="n">
        <f aca="false">+M51</f>
        <v>0.15</v>
      </c>
      <c r="O51" s="1" t="s">
        <v>84</v>
      </c>
    </row>
    <row r="52" customFormat="false" ht="12.75" hidden="false" customHeight="false" outlineLevel="0" collapsed="false">
      <c r="A52" s="1" t="s">
        <v>145</v>
      </c>
      <c r="B52" s="21" t="s">
        <v>144</v>
      </c>
      <c r="D52" s="80" t="n">
        <v>0.4</v>
      </c>
      <c r="E52" s="81" t="n">
        <f aca="false">+D52</f>
        <v>0.4</v>
      </c>
      <c r="F52" s="81" t="n">
        <f aca="false">+E52</f>
        <v>0.4</v>
      </c>
      <c r="G52" s="81" t="n">
        <f aca="false">+F52</f>
        <v>0.4</v>
      </c>
      <c r="H52" s="81" t="n">
        <f aca="false">+G52</f>
        <v>0.4</v>
      </c>
      <c r="I52" s="81" t="n">
        <f aca="false">+H52</f>
        <v>0.4</v>
      </c>
      <c r="J52" s="81" t="n">
        <f aca="false">+I52</f>
        <v>0.4</v>
      </c>
      <c r="K52" s="81" t="n">
        <f aca="false">+J52</f>
        <v>0.4</v>
      </c>
      <c r="L52" s="81" t="n">
        <f aca="false">+K52</f>
        <v>0.4</v>
      </c>
      <c r="M52" s="81" t="n">
        <f aca="false">+L52</f>
        <v>0.4</v>
      </c>
      <c r="N52" s="81" t="n">
        <f aca="false">+M52</f>
        <v>0.4</v>
      </c>
      <c r="O52" s="1" t="s">
        <v>84</v>
      </c>
    </row>
    <row r="53" customFormat="false" ht="12.75" hidden="false" customHeight="false" outlineLevel="0" collapsed="false">
      <c r="A53" s="1" t="s">
        <v>137</v>
      </c>
      <c r="B53" s="21" t="s">
        <v>146</v>
      </c>
      <c r="D53" s="79" t="n">
        <v>5</v>
      </c>
      <c r="E53" s="78" t="n">
        <f aca="false">+D53</f>
        <v>5</v>
      </c>
      <c r="F53" s="78" t="n">
        <f aca="false">+E53</f>
        <v>5</v>
      </c>
      <c r="G53" s="78" t="n">
        <f aca="false">+F53</f>
        <v>5</v>
      </c>
      <c r="H53" s="78" t="n">
        <f aca="false">+G53</f>
        <v>5</v>
      </c>
      <c r="I53" s="78" t="n">
        <f aca="false">+H53</f>
        <v>5</v>
      </c>
      <c r="J53" s="78" t="n">
        <f aca="false">+I53</f>
        <v>5</v>
      </c>
      <c r="K53" s="78" t="n">
        <f aca="false">+J53</f>
        <v>5</v>
      </c>
      <c r="L53" s="78" t="n">
        <f aca="false">+K53</f>
        <v>5</v>
      </c>
      <c r="M53" s="78" t="n">
        <f aca="false">+L53</f>
        <v>5</v>
      </c>
      <c r="N53" s="78" t="n">
        <f aca="false">+M53</f>
        <v>5</v>
      </c>
      <c r="O53" s="1" t="s">
        <v>84</v>
      </c>
    </row>
    <row r="54" customFormat="false" ht="12.75" hidden="false" customHeight="false" outlineLevel="0" collapsed="false">
      <c r="A54" s="1" t="s">
        <v>147</v>
      </c>
      <c r="B54" s="21" t="s">
        <v>23</v>
      </c>
      <c r="D54" s="15" t="n">
        <f aca="false">+D51*D53*D52*D12*D20</f>
        <v>106470</v>
      </c>
      <c r="E54" s="15" t="n">
        <f aca="false">+E51*E53*E52*E12*E20</f>
        <v>1096641</v>
      </c>
      <c r="F54" s="15" t="n">
        <f aca="false">+F51*F53*F52*F12*F20</f>
        <v>2259080.46</v>
      </c>
      <c r="G54" s="15" t="n">
        <f aca="false">+G51*G53*G52*G12*G20</f>
        <v>4653705.7476</v>
      </c>
      <c r="H54" s="15" t="n">
        <f aca="false">+H51*H53*H52*H12*H20</f>
        <v>9586633.840056</v>
      </c>
      <c r="I54" s="15" t="n">
        <f aca="false">+I51*I53*I52*I12*I20</f>
        <v>14811349.2828865</v>
      </c>
      <c r="J54" s="15" t="n">
        <f aca="false">+J51*J53*J52*J12*J20</f>
        <v>15255689.7613731</v>
      </c>
      <c r="K54" s="15" t="n">
        <f aca="false">+K51*K53*K52*K12*K20</f>
        <v>15713360.4542143</v>
      </c>
      <c r="L54" s="15" t="n">
        <f aca="false">+L51*L53*L52*L12*L20</f>
        <v>16184761.2678407</v>
      </c>
      <c r="M54" s="15" t="n">
        <f aca="false">+M51*M53*M52*M12*M20</f>
        <v>16670304.105876</v>
      </c>
      <c r="N54" s="15" t="n">
        <f aca="false">+N51*N53*N52*N12*N20</f>
        <v>17170413.2290522</v>
      </c>
    </row>
    <row r="55" customFormat="false" ht="12.75" hidden="false" customHeight="false" outlineLevel="0" collapsed="false">
      <c r="A55" s="1" t="s">
        <v>148</v>
      </c>
      <c r="B55" s="21" t="s">
        <v>121</v>
      </c>
      <c r="D55" s="79" t="n">
        <v>1</v>
      </c>
      <c r="E55" s="78" t="n">
        <f aca="false">+D55</f>
        <v>1</v>
      </c>
      <c r="F55" s="78" t="n">
        <f aca="false">+E55</f>
        <v>1</v>
      </c>
      <c r="G55" s="78" t="n">
        <f aca="false">+F55</f>
        <v>1</v>
      </c>
      <c r="H55" s="78" t="n">
        <f aca="false">+G55</f>
        <v>1</v>
      </c>
      <c r="I55" s="78" t="n">
        <f aca="false">+H55</f>
        <v>1</v>
      </c>
      <c r="J55" s="78" t="n">
        <f aca="false">+I55</f>
        <v>1</v>
      </c>
      <c r="K55" s="78" t="n">
        <f aca="false">+J55</f>
        <v>1</v>
      </c>
      <c r="L55" s="78" t="n">
        <f aca="false">+K55</f>
        <v>1</v>
      </c>
      <c r="M55" s="78" t="n">
        <f aca="false">+L55</f>
        <v>1</v>
      </c>
      <c r="N55" s="78" t="n">
        <f aca="false">+M55</f>
        <v>1</v>
      </c>
      <c r="O55" s="1" t="s">
        <v>84</v>
      </c>
    </row>
    <row r="56" customFormat="false" ht="12.75" hidden="false" customHeight="false" outlineLevel="0" collapsed="false">
      <c r="A56" s="1" t="s">
        <v>149</v>
      </c>
      <c r="B56" s="21" t="s">
        <v>58</v>
      </c>
      <c r="D56" s="80" t="n">
        <v>0.25</v>
      </c>
      <c r="E56" s="81" t="n">
        <f aca="false">+D56</f>
        <v>0.25</v>
      </c>
      <c r="F56" s="81" t="n">
        <f aca="false">+E56</f>
        <v>0.25</v>
      </c>
      <c r="G56" s="81" t="n">
        <f aca="false">+F56</f>
        <v>0.25</v>
      </c>
      <c r="H56" s="81" t="n">
        <f aca="false">+G56</f>
        <v>0.25</v>
      </c>
      <c r="I56" s="81" t="n">
        <f aca="false">+H56</f>
        <v>0.25</v>
      </c>
      <c r="J56" s="81" t="n">
        <f aca="false">+I56</f>
        <v>0.25</v>
      </c>
      <c r="K56" s="81" t="n">
        <f aca="false">+J56</f>
        <v>0.25</v>
      </c>
      <c r="L56" s="81" t="n">
        <f aca="false">+K56</f>
        <v>0.25</v>
      </c>
      <c r="M56" s="81" t="n">
        <f aca="false">+L56</f>
        <v>0.25</v>
      </c>
      <c r="N56" s="81" t="n">
        <f aca="false">+M56</f>
        <v>0.25</v>
      </c>
      <c r="O56" s="1" t="s">
        <v>84</v>
      </c>
    </row>
    <row r="57" customFormat="false" ht="12.75" hidden="false" customHeight="false" outlineLevel="0" collapsed="false">
      <c r="A57" s="1" t="s">
        <v>137</v>
      </c>
      <c r="B57" s="21" t="s">
        <v>105</v>
      </c>
      <c r="D57" s="79" t="n">
        <v>1</v>
      </c>
      <c r="E57" s="1" t="n">
        <f aca="false">+D57</f>
        <v>1</v>
      </c>
      <c r="F57" s="1" t="n">
        <f aca="false">+E57</f>
        <v>1</v>
      </c>
      <c r="G57" s="1" t="n">
        <f aca="false">+F57</f>
        <v>1</v>
      </c>
      <c r="H57" s="1" t="n">
        <f aca="false">+G57</f>
        <v>1</v>
      </c>
      <c r="I57" s="1" t="n">
        <f aca="false">+H57</f>
        <v>1</v>
      </c>
      <c r="J57" s="1" t="n">
        <f aca="false">+I57</f>
        <v>1</v>
      </c>
      <c r="K57" s="1" t="n">
        <f aca="false">+J57</f>
        <v>1</v>
      </c>
      <c r="L57" s="1" t="n">
        <f aca="false">+K57</f>
        <v>1</v>
      </c>
      <c r="M57" s="1" t="n">
        <f aca="false">+L57</f>
        <v>1</v>
      </c>
      <c r="N57" s="1" t="n">
        <f aca="false">+M57</f>
        <v>1</v>
      </c>
      <c r="O57" s="1" t="s">
        <v>84</v>
      </c>
    </row>
    <row r="58" customFormat="false" ht="12.75" hidden="false" customHeight="false" outlineLevel="0" collapsed="false">
      <c r="A58" s="1" t="s">
        <v>150</v>
      </c>
      <c r="B58" s="21" t="s">
        <v>23</v>
      </c>
      <c r="D58" s="15" t="n">
        <f aca="false">+D55*D56*D57*D20*D12</f>
        <v>88725</v>
      </c>
      <c r="E58" s="15" t="n">
        <f aca="false">+E55*E56*E57*E20*E12</f>
        <v>913867.5</v>
      </c>
      <c r="F58" s="15" t="n">
        <f aca="false">+F55*F56*F57*F20*F12</f>
        <v>1882567.05</v>
      </c>
      <c r="G58" s="15" t="n">
        <f aca="false">+G55*G56*G57*G20*G12</f>
        <v>3878088.123</v>
      </c>
      <c r="H58" s="15" t="n">
        <f aca="false">+H55*H56*H57*H20*H12</f>
        <v>7988861.53338</v>
      </c>
      <c r="I58" s="15" t="n">
        <f aca="false">+I55*I56*I57*I20*I12</f>
        <v>12342791.0690721</v>
      </c>
      <c r="J58" s="15" t="n">
        <f aca="false">+J55*J56*J57*J20*J12</f>
        <v>12713074.8011443</v>
      </c>
      <c r="K58" s="15" t="n">
        <f aca="false">+K55*K56*K57*K20*K12</f>
        <v>13094467.0451786</v>
      </c>
      <c r="L58" s="15" t="n">
        <f aca="false">+L55*L56*L57*L20*L12</f>
        <v>13487301.056534</v>
      </c>
      <c r="M58" s="15" t="n">
        <f aca="false">+M55*M56*M57*M20*M12</f>
        <v>13891920.08823</v>
      </c>
      <c r="N58" s="15" t="n">
        <f aca="false">+N55*N56*N57*N20*N12</f>
        <v>14308677.6908769</v>
      </c>
    </row>
    <row r="59" customFormat="false" ht="15" hidden="false" customHeight="false" outlineLevel="0" collapsed="false">
      <c r="A59" s="67" t="s">
        <v>151</v>
      </c>
      <c r="B59" s="21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</row>
    <row r="60" customFormat="false" ht="12.75" hidden="false" customHeight="false" outlineLevel="0" collapsed="false">
      <c r="A60" s="1" t="s">
        <v>152</v>
      </c>
      <c r="B60" s="21" t="s">
        <v>23</v>
      </c>
      <c r="D60" s="15" t="n">
        <f aca="false">+D26*D25*D41</f>
        <v>1.98533278125E-019</v>
      </c>
      <c r="E60" s="15" t="n">
        <f aca="false">+E26*E25*E41</f>
        <v>858083.865534055</v>
      </c>
      <c r="F60" s="15" t="n">
        <f aca="false">+F26*F25*F41</f>
        <v>3137425.08691201</v>
      </c>
      <c r="G60" s="15" t="n">
        <f aca="false">+G26*G25*G41</f>
        <v>8667964.74896804</v>
      </c>
      <c r="H60" s="15" t="n">
        <f aca="false">+H26*H25*H41</f>
        <v>24423727.8892185</v>
      </c>
      <c r="I60" s="15" t="n">
        <f aca="false">+I26*I25*I41</f>
        <v>57353732.9257938</v>
      </c>
      <c r="J60" s="15" t="n">
        <f aca="false">+J26*J25*J41</f>
        <v>101073740.836111</v>
      </c>
      <c r="K60" s="15" t="n">
        <f aca="false">+K26*K25*K41</f>
        <v>141403785.589986</v>
      </c>
      <c r="L60" s="15" t="n">
        <f aca="false">+L26*L25*L41</f>
        <v>204323091.391811</v>
      </c>
      <c r="M60" s="15" t="n">
        <f aca="false">+M26*M25*M41</f>
        <v>296883317.871293</v>
      </c>
      <c r="N60" s="15" t="n">
        <f aca="false">+N26*N25*N41</f>
        <v>433391003.154685</v>
      </c>
    </row>
    <row r="61" customFormat="false" ht="12.75" hidden="false" customHeight="false" outlineLevel="0" collapsed="false">
      <c r="A61" s="1" t="s">
        <v>153</v>
      </c>
      <c r="B61" s="21" t="s">
        <v>23</v>
      </c>
      <c r="D61" s="15" t="n">
        <f aca="false">+D27*D25*D38</f>
        <v>2205925.3125</v>
      </c>
      <c r="E61" s="15" t="n">
        <f aca="false">+E27*E25*E38</f>
        <v>22882236.4142415</v>
      </c>
      <c r="F61" s="15" t="n">
        <f aca="false">+F27*F25*F38</f>
        <v>58764469.881844</v>
      </c>
      <c r="G61" s="15" t="n">
        <f aca="false">+G27*G25*G38</f>
        <v>113214233.455909</v>
      </c>
      <c r="H61" s="15" t="n">
        <f aca="false">+H27*H25*H38</f>
        <v>220106287.618418</v>
      </c>
      <c r="I61" s="15" t="n">
        <f aca="false">+I27*I25*I38</f>
        <v>350986054.056503</v>
      </c>
      <c r="J61" s="15" t="n">
        <f aca="false">+J27*J25*J38</f>
        <v>409726082.425222</v>
      </c>
      <c r="K61" s="15" t="n">
        <f aca="false">+K27*K25*K38</f>
        <v>364548027.278997</v>
      </c>
      <c r="L61" s="15" t="n">
        <f aca="false">+L27*L25*L38</f>
        <v>311391264.087735</v>
      </c>
      <c r="M61" s="15" t="n">
        <f aca="false">+M27*M25*M38</f>
        <v>228933006.695692</v>
      </c>
      <c r="N61" s="15" t="n">
        <f aca="false">+N27*N25*N38</f>
        <v>101127676.345773</v>
      </c>
    </row>
    <row r="62" customFormat="false" ht="15" hidden="false" customHeight="false" outlineLevel="0" collapsed="false">
      <c r="A62" s="1" t="s">
        <v>154</v>
      </c>
      <c r="B62" s="21" t="s">
        <v>23</v>
      </c>
      <c r="D62" s="49" t="n">
        <f aca="false">+D58+D54+D50+D47</f>
        <v>692055</v>
      </c>
      <c r="E62" s="49" t="n">
        <f aca="false">+E58+E54+E50+E47</f>
        <v>7128166.5</v>
      </c>
      <c r="F62" s="49" t="n">
        <f aca="false">+F58+F54+F50+F47</f>
        <v>14684022.99</v>
      </c>
      <c r="G62" s="49" t="n">
        <f aca="false">+G58+G54+G50+G47</f>
        <v>30249087.3594</v>
      </c>
      <c r="H62" s="49" t="n">
        <f aca="false">+H58+H54+H50+H47</f>
        <v>62313119.960364</v>
      </c>
      <c r="I62" s="49" t="n">
        <f aca="false">+I58+I54+I50+I47</f>
        <v>96273770.3387624</v>
      </c>
      <c r="J62" s="49" t="n">
        <f aca="false">+J58+J54+J50+J47</f>
        <v>99161983.4489253</v>
      </c>
      <c r="K62" s="49" t="n">
        <f aca="false">+K58+K54+K50+K47</f>
        <v>102136842.952393</v>
      </c>
      <c r="L62" s="49" t="n">
        <f aca="false">+L58+L54+L50+L47</f>
        <v>105200948.240965</v>
      </c>
      <c r="M62" s="49" t="n">
        <f aca="false">+M58+M54+M50+M47</f>
        <v>108356976.688194</v>
      </c>
      <c r="N62" s="49" t="n">
        <f aca="false">+N58+N54+N50+N47</f>
        <v>111607685.98884</v>
      </c>
    </row>
    <row r="63" customFormat="false" ht="12.75" hidden="false" customHeight="false" outlineLevel="0" collapsed="false">
      <c r="A63" s="25" t="s">
        <v>155</v>
      </c>
      <c r="B63" s="82" t="s">
        <v>23</v>
      </c>
      <c r="C63" s="26"/>
      <c r="D63" s="83" t="n">
        <f aca="false">SUM(D60:D62)</f>
        <v>2897980.3125</v>
      </c>
      <c r="E63" s="83" t="n">
        <f aca="false">SUM(E60:E62)</f>
        <v>30868486.7797755</v>
      </c>
      <c r="F63" s="83" t="n">
        <f aca="false">SUM(F60:F62)</f>
        <v>76585917.9587561</v>
      </c>
      <c r="G63" s="83" t="n">
        <f aca="false">SUM(G60:G62)</f>
        <v>152131285.564277</v>
      </c>
      <c r="H63" s="83" t="n">
        <f aca="false">SUM(H60:H62)</f>
        <v>306843135.468001</v>
      </c>
      <c r="I63" s="83" t="n">
        <f aca="false">SUM(I60:I62)</f>
        <v>504613557.321059</v>
      </c>
      <c r="J63" s="83" t="n">
        <f aca="false">SUM(J60:J62)</f>
        <v>609961806.710258</v>
      </c>
      <c r="K63" s="83" t="n">
        <f aca="false">SUM(K60:K62)</f>
        <v>608088655.821376</v>
      </c>
      <c r="L63" s="83" t="n">
        <f aca="false">SUM(L60:L62)</f>
        <v>620915303.720511</v>
      </c>
      <c r="M63" s="83" t="n">
        <f aca="false">SUM(M60:M62)</f>
        <v>634173301.25518</v>
      </c>
      <c r="N63" s="83" t="n">
        <f aca="false">SUM(N60:N62)</f>
        <v>646126365.489298</v>
      </c>
    </row>
    <row r="64" customFormat="false" ht="12.75" hidden="false" customHeight="false" outlineLevel="0" collapsed="false">
      <c r="A64" s="1"/>
      <c r="B64" s="21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</row>
    <row r="66" customFormat="false" ht="12.75" hidden="false" customHeight="false" outlineLevel="0" collapsed="false">
      <c r="D66" s="1"/>
    </row>
    <row r="104" customFormat="false" ht="12.75" hidden="false" customHeight="false" outlineLevel="0" collapsed="false">
      <c r="A104" s="7"/>
      <c r="B104" s="7"/>
    </row>
  </sheetData>
  <printOptions headings="false" gridLines="false" gridLinesSet="true" horizontalCentered="true" verticalCentered="false"/>
  <pageMargins left="0.25" right="0.25" top="1.25" bottom="0.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&amp;C&amp;"Tw Cen MT Condensed,Bold"XTRANSCO ECONOMIC ANALYSIS
Revenues</oddHeader>
    <oddFooter>&amp;C&amp;"Tw Cen MT Condensed,Regular"&amp;P</oddFooter>
  </headerFooter>
  <rowBreaks count="1" manualBreakCount="1">
    <brk id="27" man="true" max="16383" min="0"/>
  </rowBreaks>
  <colBreaks count="1" manualBreakCount="1">
    <brk id="15" man="true" max="65535" min="0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62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D53" activeCellId="0" sqref="D5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7.14"/>
    <col collapsed="false" customWidth="true" hidden="false" outlineLevel="0" max="2" min="2" style="3" width="8.99"/>
    <col collapsed="false" customWidth="true" hidden="false" outlineLevel="0" max="3" min="3" style="3" width="5.85"/>
    <col collapsed="false" customWidth="true" hidden="false" outlineLevel="0" max="4" min="4" style="3" width="9.56"/>
    <col collapsed="false" customWidth="false" hidden="false" outlineLevel="0" max="7" min="5" style="3" width="9.14"/>
    <col collapsed="false" customWidth="true" hidden="false" outlineLevel="0" max="14" min="8" style="3" width="10.28"/>
    <col collapsed="false" customWidth="true" hidden="false" outlineLevel="0" max="15" min="15" style="3" width="27.99"/>
    <col collapsed="false" customWidth="true" hidden="false" outlineLevel="0" max="16" min="16" style="3" width="1.7"/>
    <col collapsed="false" customWidth="true" hidden="false" outlineLevel="0" max="17" min="17" style="3" width="8.85"/>
    <col collapsed="false" customWidth="false" hidden="false" outlineLevel="0" max="257" min="18" style="3" width="9.14"/>
  </cols>
  <sheetData>
    <row r="1" customFormat="false" ht="13.5" hidden="false" customHeight="false" outlineLevel="0" collapsed="false">
      <c r="A1" s="4" t="str">
        <f aca="false">Revenue!A$1</f>
        <v>PERIOD</v>
      </c>
      <c r="B1" s="5"/>
      <c r="C1" s="6" t="str">
        <f aca="false">Revenue!C$1</f>
        <v>@</v>
      </c>
      <c r="D1" s="6" t="n">
        <f aca="false">Revenue!D$1</f>
        <v>0</v>
      </c>
      <c r="E1" s="6" t="n">
        <f aca="false">Revenue!E$1</f>
        <v>1</v>
      </c>
      <c r="F1" s="6" t="n">
        <f aca="false">Revenue!F$1</f>
        <v>2</v>
      </c>
      <c r="G1" s="6" t="n">
        <f aca="false">Revenue!G$1</f>
        <v>3</v>
      </c>
      <c r="H1" s="6" t="n">
        <f aca="false">Revenue!H$1</f>
        <v>4</v>
      </c>
      <c r="I1" s="6" t="n">
        <f aca="false">Revenue!I$1</f>
        <v>5</v>
      </c>
      <c r="J1" s="6" t="n">
        <f aca="false">Revenue!J$1</f>
        <v>6</v>
      </c>
      <c r="K1" s="6" t="n">
        <f aca="false">Revenue!K$1</f>
        <v>7</v>
      </c>
      <c r="L1" s="6" t="n">
        <f aca="false">Revenue!L$1</f>
        <v>8</v>
      </c>
      <c r="M1" s="6" t="n">
        <f aca="false">Revenue!M$1</f>
        <v>9</v>
      </c>
      <c r="N1" s="6" t="n">
        <f aca="false">Revenue!N$1</f>
        <v>10</v>
      </c>
      <c r="O1" s="1"/>
    </row>
    <row r="2" customFormat="false" ht="15" hidden="false" customHeight="false" outlineLevel="0" collapsed="false">
      <c r="A2" s="67" t="s">
        <v>156</v>
      </c>
      <c r="B2" s="67"/>
      <c r="O2" s="1"/>
    </row>
    <row r="3" customFormat="false" ht="15" hidden="false" customHeight="false" outlineLevel="0" collapsed="false">
      <c r="A3" s="84" t="s">
        <v>157</v>
      </c>
      <c r="B3" s="67"/>
      <c r="O3" s="1"/>
    </row>
    <row r="4" customFormat="false" ht="12.75" hidden="false" customHeight="false" outlineLevel="0" collapsed="false">
      <c r="A4" s="7" t="s">
        <v>158</v>
      </c>
      <c r="B4" s="21" t="s">
        <v>23</v>
      </c>
      <c r="C4" s="68" t="n">
        <v>0.15</v>
      </c>
      <c r="D4" s="15" t="n">
        <f aca="false">(Revenue!D38*Revenue!D23)*($C4)*(Revenue!C12+(Revenue!D12-Revenue!C12)/2)</f>
        <v>227080.546875</v>
      </c>
      <c r="E4" s="15" t="n">
        <f aca="false">(Revenue!E38*Revenue!E23)*($C4)*(Revenue!D12+(Revenue!E12-Revenue!D12)/2)</f>
        <v>2453671.18412516</v>
      </c>
      <c r="F4" s="15" t="n">
        <f aca="false">(Revenue!F38*Revenue!F23)*($C4)*(Revenue!E12+(Revenue!F12-Revenue!E12)/2)</f>
        <v>6408139.47490198</v>
      </c>
      <c r="G4" s="15" t="n">
        <f aca="false">(Revenue!G38*Revenue!G23)*($C4)*(Revenue!F12+(Revenue!G12-Revenue!F12)/2)</f>
        <v>12645840.2616831</v>
      </c>
      <c r="H4" s="15" t="n">
        <f aca="false">(Revenue!H38*Revenue!H23)*($C4)*(Revenue!G12+(Revenue!H12-Revenue!G12)/2)</f>
        <v>25451563.8434733</v>
      </c>
      <c r="I4" s="15" t="n">
        <f aca="false">(Revenue!I38*Revenue!I23)*($C4)*(Revenue!H12+(Revenue!I12-Revenue!H12)/2)</f>
        <v>42690984.8208583</v>
      </c>
      <c r="J4" s="15" t="n">
        <f aca="false">(Revenue!J38*Revenue!J23)*($C4)*(Revenue!I12+(Revenue!J12-Revenue!I12)/2)</f>
        <v>53738406.9465959</v>
      </c>
      <c r="K4" s="15" t="n">
        <f aca="false">(Revenue!K38*Revenue!K23)*($C4)*(Revenue!J12+(Revenue!K12-Revenue!J12)/2)</f>
        <v>53700638.4148298</v>
      </c>
      <c r="L4" s="15" t="n">
        <f aca="false">(Revenue!L38*Revenue!L23)*($C4)*(Revenue!K12+(Revenue!L12-Revenue!K12)/2)</f>
        <v>55425271.2989446</v>
      </c>
      <c r="M4" s="15" t="n">
        <f aca="false">(Revenue!M38*Revenue!M23)*($C4)*(Revenue!L12+(Revenue!M12-Revenue!L12)/2)</f>
        <v>57523875.2823843</v>
      </c>
      <c r="N4" s="15" t="n">
        <f aca="false">(Revenue!N38*Revenue!N23)*($C4)*(Revenue!M12+(Revenue!N12-Revenue!M12)/2)</f>
        <v>59981068.3506726</v>
      </c>
      <c r="O4" s="1" t="s">
        <v>76</v>
      </c>
    </row>
    <row r="5" customFormat="false" ht="12.75" hidden="false" customHeight="false" outlineLevel="0" collapsed="false">
      <c r="A5" s="85" t="s">
        <v>159</v>
      </c>
      <c r="B5" s="21" t="s">
        <v>160</v>
      </c>
      <c r="C5" s="21"/>
      <c r="D5" s="15" t="n">
        <f aca="false">+D4/(Revenue!C12+(Revenue!D12-Revenue!C12)/2)</f>
        <v>349.3546875</v>
      </c>
      <c r="E5" s="15" t="n">
        <f aca="false">+E4/(Revenue!D12+(Revenue!E12-Revenue!D12)/2)</f>
        <v>334.060065912207</v>
      </c>
      <c r="F5" s="15" t="n">
        <f aca="false">+F4/(Revenue!E12+(Revenue!F12-Revenue!E12)/2)</f>
        <v>312.795104868133</v>
      </c>
      <c r="G5" s="15" t="n">
        <f aca="false">+G4/(Revenue!F12+(Revenue!G12-Revenue!F12)/2)</f>
        <v>299.645985375097</v>
      </c>
      <c r="H5" s="15" t="n">
        <f aca="false">+H4/(Revenue!G12+(Revenue!H12-Revenue!G12)/2)</f>
        <v>292.75749583772</v>
      </c>
      <c r="I5" s="15" t="n">
        <f aca="false">+I4/(Revenue!H12+(Revenue!I12-Revenue!H12)/2)</f>
        <v>286.613171196145</v>
      </c>
      <c r="J5" s="15" t="n">
        <f aca="false">+J4/(Revenue!I12+(Revenue!J12-Revenue!I12)/2)</f>
        <v>292.75749583772</v>
      </c>
      <c r="K5" s="15" t="n">
        <f aca="false">+K4/(Revenue!J12+(Revenue!K12-Revenue!J12)/2)</f>
        <v>284.03081499483</v>
      </c>
      <c r="L5" s="15" t="n">
        <f aca="false">+L4/(Revenue!K12+(Revenue!L12-Revenue!K12)/2)</f>
        <v>284.614232708566</v>
      </c>
      <c r="M5" s="15" t="n">
        <f aca="false">+M4/(Revenue!L12+(Revenue!M12-Revenue!L12)/2)</f>
        <v>286.78715638144</v>
      </c>
      <c r="N5" s="15" t="n">
        <f aca="false">+N4/(Revenue!M12+(Revenue!N12-Revenue!M12)/2)</f>
        <v>290.327740354947</v>
      </c>
      <c r="O5" s="1"/>
    </row>
    <row r="6" customFormat="false" ht="12.75" hidden="false" customHeight="false" outlineLevel="0" collapsed="false">
      <c r="A6" s="86" t="s">
        <v>161</v>
      </c>
      <c r="B6" s="21" t="s">
        <v>162</v>
      </c>
      <c r="C6" s="19" t="n">
        <f aca="false">+'Basic Calculations'!D25</f>
        <v>7</v>
      </c>
      <c r="D6" s="15" t="n">
        <f aca="false">+C6</f>
        <v>7</v>
      </c>
      <c r="E6" s="15" t="n">
        <f aca="false">+D6</f>
        <v>7</v>
      </c>
      <c r="F6" s="15" t="n">
        <f aca="false">+E6</f>
        <v>7</v>
      </c>
      <c r="G6" s="15" t="n">
        <f aca="false">+F6</f>
        <v>7</v>
      </c>
      <c r="H6" s="15" t="n">
        <f aca="false">+G6</f>
        <v>7</v>
      </c>
      <c r="I6" s="15" t="n">
        <f aca="false">+H6</f>
        <v>7</v>
      </c>
      <c r="J6" s="15" t="n">
        <f aca="false">+I6</f>
        <v>7</v>
      </c>
      <c r="K6" s="15" t="n">
        <f aca="false">+J6</f>
        <v>7</v>
      </c>
      <c r="L6" s="15" t="n">
        <f aca="false">+K6</f>
        <v>7</v>
      </c>
      <c r="M6" s="15" t="n">
        <f aca="false">+L6</f>
        <v>7</v>
      </c>
      <c r="N6" s="15" t="n">
        <f aca="false">+M6</f>
        <v>7</v>
      </c>
      <c r="O6" s="1" t="s">
        <v>163</v>
      </c>
    </row>
    <row r="7" customFormat="false" ht="12.75" hidden="false" customHeight="false" outlineLevel="0" collapsed="false">
      <c r="A7" s="86" t="s">
        <v>164</v>
      </c>
      <c r="B7" s="21" t="s">
        <v>165</v>
      </c>
      <c r="C7" s="21"/>
      <c r="D7" s="15" t="n">
        <f aca="false">(Revenue!C12+(Revenue!D12-Revenue!C12)/2)*Revenue!D23*D6</f>
        <v>8695050</v>
      </c>
      <c r="E7" s="15" t="n">
        <f aca="false">(Revenue!D12+(Revenue!E12-Revenue!D12)/2)*Revenue!E23*E6</f>
        <v>98254065</v>
      </c>
      <c r="F7" s="15" t="n">
        <f aca="false">(Revenue!E12+(Revenue!F12-Revenue!E12)/2)*Revenue!F23*F6</f>
        <v>274050585.9</v>
      </c>
      <c r="G7" s="15" t="n">
        <f aca="false">(Revenue!F12+(Revenue!G12-Revenue!F12)/2)*Revenue!G23*G6</f>
        <v>564544206.954</v>
      </c>
      <c r="H7" s="15" t="n">
        <f aca="false">(Revenue!G12+(Revenue!H12-Revenue!G12)/2)*Revenue!H23*H6</f>
        <v>1162961066.32524</v>
      </c>
      <c r="I7" s="15" t="n">
        <f aca="false">(Revenue!H12+(Revenue!I12-Revenue!H12)/2)*Revenue!I23*I6</f>
        <v>1992501955.04031</v>
      </c>
      <c r="J7" s="15" t="n">
        <f aca="false">(Revenue!I12+(Revenue!J12-Revenue!I12)/2)*Revenue!J23*J6</f>
        <v>2455474855.2812</v>
      </c>
      <c r="K7" s="15" t="n">
        <f aca="false">(Revenue!J12+(Revenue!K12-Revenue!J12)/2)*Revenue!K23*K6</f>
        <v>2529139100.93964</v>
      </c>
      <c r="L7" s="15" t="n">
        <f aca="false">(Revenue!K12+(Revenue!L12-Revenue!K12)/2)*Revenue!L23*L6</f>
        <v>2605013273.96783</v>
      </c>
      <c r="M7" s="15" t="n">
        <f aca="false">(Revenue!L12+(Revenue!M12-Revenue!L12)/2)*Revenue!M23*M6</f>
        <v>2683163672.18686</v>
      </c>
      <c r="N7" s="15" t="n">
        <f aca="false">(Revenue!M12+(Revenue!N12-Revenue!M12)/2)*Revenue!N23*N6</f>
        <v>2763658582.35247</v>
      </c>
      <c r="O7" s="1"/>
    </row>
    <row r="8" customFormat="false" ht="12.75" hidden="false" customHeight="false" outlineLevel="0" collapsed="false">
      <c r="A8" s="86" t="s">
        <v>166</v>
      </c>
      <c r="B8" s="21" t="s">
        <v>167</v>
      </c>
      <c r="C8" s="79" t="n">
        <f aca="false">+'Basic Calculations'!D26</f>
        <v>0.0875</v>
      </c>
      <c r="D8" s="1" t="n">
        <f aca="false">+C8</f>
        <v>0.0875</v>
      </c>
      <c r="E8" s="1" t="n">
        <f aca="false">+D8</f>
        <v>0.0875</v>
      </c>
      <c r="F8" s="1" t="n">
        <f aca="false">+E8</f>
        <v>0.0875</v>
      </c>
      <c r="G8" s="1" t="n">
        <f aca="false">+F8</f>
        <v>0.0875</v>
      </c>
      <c r="H8" s="1" t="n">
        <f aca="false">+G8</f>
        <v>0.0875</v>
      </c>
      <c r="I8" s="1" t="n">
        <f aca="false">+H8</f>
        <v>0.0875</v>
      </c>
      <c r="J8" s="1" t="n">
        <f aca="false">+I8</f>
        <v>0.0875</v>
      </c>
      <c r="K8" s="1" t="n">
        <f aca="false">+J8</f>
        <v>0.0875</v>
      </c>
      <c r="L8" s="1" t="n">
        <f aca="false">+K8</f>
        <v>0.0875</v>
      </c>
      <c r="M8" s="1" t="n">
        <f aca="false">+L8</f>
        <v>0.0875</v>
      </c>
      <c r="N8" s="1" t="n">
        <f aca="false">+M8</f>
        <v>0.0875</v>
      </c>
      <c r="O8" s="1" t="s">
        <v>163</v>
      </c>
    </row>
    <row r="9" customFormat="false" ht="12.75" hidden="false" customHeight="false" outlineLevel="0" collapsed="false">
      <c r="A9" s="7" t="s">
        <v>168</v>
      </c>
      <c r="B9" s="21" t="s">
        <v>23</v>
      </c>
      <c r="C9" s="68" t="n">
        <v>1</v>
      </c>
      <c r="D9" s="15" t="n">
        <f aca="false">+D7*D8*$C$9</f>
        <v>760816.875</v>
      </c>
      <c r="E9" s="15" t="n">
        <f aca="false">+E8*E7</f>
        <v>8597230.6875</v>
      </c>
      <c r="F9" s="15" t="n">
        <f aca="false">+F8*F7</f>
        <v>23979426.26625</v>
      </c>
      <c r="G9" s="15" t="n">
        <f aca="false">+G8*G7</f>
        <v>49397618.108475</v>
      </c>
      <c r="H9" s="15" t="n">
        <f aca="false">+H8*H7</f>
        <v>101759093.303459</v>
      </c>
      <c r="I9" s="15" t="n">
        <f aca="false">+I8*I7</f>
        <v>174343921.066027</v>
      </c>
      <c r="J9" s="15" t="n">
        <f aca="false">+J8*J7</f>
        <v>214854049.837105</v>
      </c>
      <c r="K9" s="15" t="n">
        <f aca="false">+K8*K7</f>
        <v>221299671.332219</v>
      </c>
      <c r="L9" s="15" t="n">
        <f aca="false">+L8*L7</f>
        <v>227938661.472185</v>
      </c>
      <c r="M9" s="15" t="n">
        <f aca="false">+M8*M7</f>
        <v>234776821.316351</v>
      </c>
      <c r="N9" s="15" t="n">
        <f aca="false">+N8*N7</f>
        <v>241820125.955841</v>
      </c>
      <c r="O9" s="1" t="s">
        <v>76</v>
      </c>
    </row>
    <row r="10" customFormat="false" ht="12.75" hidden="false" customHeight="false" outlineLevel="0" collapsed="false">
      <c r="A10" s="85" t="s">
        <v>169</v>
      </c>
      <c r="B10" s="21" t="s">
        <v>160</v>
      </c>
      <c r="C10" s="21"/>
      <c r="D10" s="15" t="n">
        <f aca="false">+D9/(Revenue!C12+(Revenue!D12-Revenue!C12)/2)</f>
        <v>1170.4875</v>
      </c>
      <c r="E10" s="15" t="n">
        <f aca="false">+E9/(Revenue!D12+(Revenue!E12-Revenue!D12)/2)</f>
        <v>1170.4875</v>
      </c>
      <c r="F10" s="15" t="n">
        <f aca="false">+F9/(Revenue!E12+(Revenue!F12-Revenue!E12)/2)</f>
        <v>1170.4875</v>
      </c>
      <c r="G10" s="15" t="n">
        <f aca="false">+G9/(Revenue!F12+(Revenue!G12-Revenue!F12)/2)</f>
        <v>1170.4875</v>
      </c>
      <c r="H10" s="15" t="n">
        <f aca="false">+H9/(Revenue!G12+(Revenue!H12-Revenue!G12)/2)</f>
        <v>1170.4875</v>
      </c>
      <c r="I10" s="15" t="n">
        <f aca="false">+I9/(Revenue!H12+(Revenue!I12-Revenue!H12)/2)</f>
        <v>1170.4875</v>
      </c>
      <c r="J10" s="15" t="n">
        <f aca="false">+J9/(Revenue!I12+(Revenue!J12-Revenue!I12)/2)</f>
        <v>1170.4875</v>
      </c>
      <c r="K10" s="15" t="n">
        <f aca="false">+K9/(Revenue!J12+(Revenue!K12-Revenue!J12)/2)</f>
        <v>1170.4875</v>
      </c>
      <c r="L10" s="15" t="n">
        <f aca="false">+L9/(Revenue!K12+(Revenue!L12-Revenue!K12)/2)</f>
        <v>1170.4875</v>
      </c>
      <c r="M10" s="15" t="n">
        <f aca="false">+M9/(Revenue!L12+(Revenue!M12-Revenue!L12)/2)</f>
        <v>1170.4875</v>
      </c>
      <c r="N10" s="15" t="n">
        <f aca="false">+N9/(Revenue!M12+(Revenue!N12-Revenue!M12)/2)</f>
        <v>1170.4875</v>
      </c>
      <c r="O10" s="1"/>
    </row>
    <row r="11" customFormat="false" ht="12.75" hidden="false" customHeight="false" outlineLevel="0" collapsed="false">
      <c r="A11" s="85" t="s">
        <v>170</v>
      </c>
      <c r="B11" s="21" t="s">
        <v>23</v>
      </c>
      <c r="C11" s="21"/>
      <c r="D11" s="15" t="n">
        <f aca="false">+D9+D4</f>
        <v>987897.421875</v>
      </c>
      <c r="E11" s="15" t="n">
        <f aca="false">+E9+E4</f>
        <v>11050901.8716252</v>
      </c>
      <c r="F11" s="15" t="n">
        <f aca="false">+F9+F4</f>
        <v>30387565.741152</v>
      </c>
      <c r="G11" s="15" t="n">
        <f aca="false">+G9+G4</f>
        <v>62043458.3701581</v>
      </c>
      <c r="H11" s="15" t="n">
        <f aca="false">+H9+H4</f>
        <v>127210657.146932</v>
      </c>
      <c r="I11" s="15" t="n">
        <f aca="false">+I9+I4</f>
        <v>217034905.886885</v>
      </c>
      <c r="J11" s="15" t="n">
        <f aca="false">+J9+J4</f>
        <v>268592456.783701</v>
      </c>
      <c r="K11" s="15" t="n">
        <f aca="false">+K9+K4</f>
        <v>275000309.747048</v>
      </c>
      <c r="L11" s="15" t="n">
        <f aca="false">+L9+L4</f>
        <v>283363932.77113</v>
      </c>
      <c r="M11" s="15" t="n">
        <f aca="false">+M9+M4</f>
        <v>292300696.598735</v>
      </c>
      <c r="N11" s="15" t="n">
        <f aca="false">+N9+N4</f>
        <v>301801194.306514</v>
      </c>
      <c r="O11" s="1"/>
    </row>
    <row r="12" customFormat="false" ht="12.75" hidden="false" customHeight="false" outlineLevel="0" collapsed="false">
      <c r="A12" s="85" t="s">
        <v>171</v>
      </c>
      <c r="B12" s="21" t="s">
        <v>160</v>
      </c>
      <c r="C12" s="21"/>
      <c r="D12" s="15" t="n">
        <f aca="false">+D11/(Revenue!C12+(Revenue!D12-Revenue!C12)/2)</f>
        <v>1519.8421875</v>
      </c>
      <c r="E12" s="15" t="n">
        <f aca="false">+E11/(Revenue!D12+(Revenue!E12-Revenue!D12)/2)</f>
        <v>1504.54756591221</v>
      </c>
      <c r="F12" s="15" t="n">
        <f aca="false">+F11/(Revenue!E12+(Revenue!F12-Revenue!E12)/2)</f>
        <v>1483.28260486813</v>
      </c>
      <c r="G12" s="15" t="n">
        <f aca="false">+G11/(Revenue!F12+(Revenue!G12-Revenue!F12)/2)</f>
        <v>1470.1334853751</v>
      </c>
      <c r="H12" s="15" t="n">
        <f aca="false">+H11/(Revenue!G12+(Revenue!H12-Revenue!G12)/2)</f>
        <v>1463.24499583772</v>
      </c>
      <c r="I12" s="15" t="n">
        <f aca="false">+I11/(Revenue!H12+(Revenue!I12-Revenue!H12)/2)</f>
        <v>1457.10067119614</v>
      </c>
      <c r="J12" s="15" t="n">
        <f aca="false">+J11/(Revenue!I12+(Revenue!J12-Revenue!I12)/2)</f>
        <v>1463.24499583772</v>
      </c>
      <c r="K12" s="15" t="n">
        <f aca="false">+K11/(Revenue!J12+(Revenue!K12-Revenue!J12)/2)</f>
        <v>1454.51831499483</v>
      </c>
      <c r="L12" s="15" t="n">
        <f aca="false">+L11/(Revenue!K12+(Revenue!L12-Revenue!K12)/2)</f>
        <v>1455.10173270857</v>
      </c>
      <c r="M12" s="15" t="n">
        <f aca="false">+M11/(Revenue!L12+(Revenue!M12-Revenue!L12)/2)</f>
        <v>1457.27465638144</v>
      </c>
      <c r="N12" s="15" t="n">
        <f aca="false">+N11/(Revenue!M12+(Revenue!N12-Revenue!M12)/2)</f>
        <v>1460.81524035495</v>
      </c>
      <c r="O12" s="1"/>
    </row>
    <row r="13" customFormat="false" ht="12.75" hidden="false" customHeight="false" outlineLevel="0" collapsed="false">
      <c r="A13" s="84" t="s">
        <v>172</v>
      </c>
      <c r="B13" s="21"/>
      <c r="C13" s="21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"/>
    </row>
    <row r="14" customFormat="false" ht="12.75" hidden="false" customHeight="false" outlineLevel="0" collapsed="false">
      <c r="A14" s="7" t="s">
        <v>173</v>
      </c>
      <c r="B14" s="21" t="s">
        <v>23</v>
      </c>
      <c r="C14" s="68" t="n">
        <v>0.15</v>
      </c>
      <c r="D14" s="15" t="n">
        <f aca="false">(Revenue!D63)*($C14)</f>
        <v>434697.046875</v>
      </c>
      <c r="E14" s="15" t="n">
        <f aca="false">(Revenue!E$61+Revenue!E$60)*($C14)</f>
        <v>3561048.04196633</v>
      </c>
      <c r="F14" s="15" t="n">
        <f aca="false">(Revenue!F$61+Revenue!F$60)*($C14)</f>
        <v>9285284.24531341</v>
      </c>
      <c r="G14" s="15" t="n">
        <f aca="false">(Revenue!G$61+Revenue!G$60)*($C14)</f>
        <v>18282329.7307316</v>
      </c>
      <c r="H14" s="15" t="n">
        <f aca="false">(Revenue!H$61+Revenue!H$60)*($C14)</f>
        <v>36679502.3261455</v>
      </c>
      <c r="I14" s="15" t="n">
        <f aca="false">(Revenue!I$61+Revenue!I$60)*($C14)</f>
        <v>61250968.0473445</v>
      </c>
      <c r="J14" s="15" t="n">
        <f aca="false">(Revenue!J$61+Revenue!J$60)*($C14)</f>
        <v>76619973.4891999</v>
      </c>
      <c r="K14" s="15" t="n">
        <f aca="false">(Revenue!K$61+Revenue!K$60)*($C14)</f>
        <v>75892771.9303475</v>
      </c>
      <c r="L14" s="15" t="n">
        <f aca="false">(Revenue!L$61+Revenue!L$60)*($C14)</f>
        <v>77357153.321932</v>
      </c>
      <c r="M14" s="15" t="n">
        <f aca="false">(Revenue!M$61+Revenue!M$60)*($C14)</f>
        <v>78872448.6850479</v>
      </c>
      <c r="N14" s="15" t="n">
        <f aca="false">(Revenue!N$61+Revenue!N$60)*($C14)</f>
        <v>80177801.9250687</v>
      </c>
      <c r="O14" s="1" t="s">
        <v>76</v>
      </c>
    </row>
    <row r="15" customFormat="false" ht="12.75" hidden="false" customHeight="false" outlineLevel="0" collapsed="false">
      <c r="A15" s="86" t="s">
        <v>174</v>
      </c>
      <c r="B15" s="21" t="s">
        <v>175</v>
      </c>
      <c r="C15" s="15"/>
      <c r="D15" s="15" t="n">
        <f aca="false">+D14/D47</f>
        <v>685.790014139385</v>
      </c>
      <c r="E15" s="15" t="n">
        <f aca="false">+E14/E47</f>
        <v>545.437602928692</v>
      </c>
      <c r="F15" s="15" t="n">
        <f aca="false">+F14/F47</f>
        <v>690.391165309204</v>
      </c>
      <c r="G15" s="15" t="n">
        <f aca="false">+G14/G47</f>
        <v>659.879047961356</v>
      </c>
      <c r="H15" s="15" t="n">
        <f aca="false">+H14/H47</f>
        <v>642.671462701874</v>
      </c>
      <c r="I15" s="15" t="n">
        <f aca="false">+I14/I47</f>
        <v>694.624431854597</v>
      </c>
      <c r="J15" s="15" t="n">
        <f aca="false">+J14/J47</f>
        <v>843.610293628754</v>
      </c>
      <c r="K15" s="15" t="n">
        <f aca="false">+K14/K47</f>
        <v>811.265604876161</v>
      </c>
      <c r="L15" s="15" t="n">
        <f aca="false">+L14/L47</f>
        <v>802.834271096447</v>
      </c>
      <c r="M15" s="15" t="n">
        <f aca="false">+M14/M47</f>
        <v>794.718866121848</v>
      </c>
      <c r="N15" s="15" t="n">
        <f aca="false">+N14/N47</f>
        <v>784.341365610967</v>
      </c>
      <c r="O15" s="1"/>
    </row>
    <row r="16" customFormat="false" ht="12.75" hidden="false" customHeight="false" outlineLevel="0" collapsed="false">
      <c r="A16" s="7" t="s">
        <v>176</v>
      </c>
      <c r="B16" s="21" t="s">
        <v>23</v>
      </c>
      <c r="C16" s="68" t="n">
        <v>0.02</v>
      </c>
      <c r="D16" s="15" t="n">
        <f aca="false">(Revenue!D63)*($C16)</f>
        <v>57959.60625</v>
      </c>
      <c r="E16" s="15" t="n">
        <f aca="false">(Revenue!E63)*($C16)</f>
        <v>617369.735595511</v>
      </c>
      <c r="F16" s="15" t="n">
        <f aca="false">(Revenue!F63)*($C16)</f>
        <v>1531718.35917512</v>
      </c>
      <c r="G16" s="15" t="n">
        <f aca="false">(Revenue!G63)*($C16)</f>
        <v>3042625.71128554</v>
      </c>
      <c r="H16" s="15" t="n">
        <f aca="false">(Revenue!H63)*($C16)</f>
        <v>6136862.70936002</v>
      </c>
      <c r="I16" s="15" t="n">
        <f aca="false">(Revenue!I63)*($C16)</f>
        <v>10092271.1464212</v>
      </c>
      <c r="J16" s="15" t="n">
        <f aca="false">(Revenue!J63)*($C16)</f>
        <v>12199236.1342052</v>
      </c>
      <c r="K16" s="15" t="n">
        <f aca="false">(Revenue!K63)*($C16)</f>
        <v>12161773.1164275</v>
      </c>
      <c r="L16" s="15" t="n">
        <f aca="false">(Revenue!L63)*($C16)</f>
        <v>12418306.0744102</v>
      </c>
      <c r="M16" s="15" t="n">
        <f aca="false">(Revenue!M63)*($C16)</f>
        <v>12683466.0251036</v>
      </c>
      <c r="N16" s="15" t="n">
        <f aca="false">(Revenue!N63)*($C16)</f>
        <v>12922527.309786</v>
      </c>
      <c r="O16" s="1" t="s">
        <v>76</v>
      </c>
    </row>
    <row r="17" customFormat="false" ht="12.75" hidden="false" customHeight="false" outlineLevel="0" collapsed="false">
      <c r="A17" s="86" t="s">
        <v>177</v>
      </c>
      <c r="B17" s="21" t="s">
        <v>178</v>
      </c>
      <c r="C17" s="15"/>
      <c r="D17" s="15" t="n">
        <f aca="false">+D16/(Revenue!C12+(Revenue!D12-Revenue!C12)/2)</f>
        <v>89.168625</v>
      </c>
      <c r="E17" s="15" t="n">
        <f aca="false">+E16/(Revenue!D12+(Revenue!E12-Revenue!D12)/2)</f>
        <v>84.0530613472444</v>
      </c>
      <c r="F17" s="15" t="n">
        <f aca="false">+F16/(Revenue!E12+(Revenue!F12-Revenue!E12)/2)</f>
        <v>74.7664757708719</v>
      </c>
      <c r="G17" s="15" t="n">
        <f aca="false">+G16/(Revenue!F12+(Revenue!G12-Revenue!F12)/2)</f>
        <v>72.0956900071124</v>
      </c>
      <c r="H17" s="15" t="n">
        <f aca="false">+H16/(Revenue!G12+(Revenue!H12-Revenue!G12)/2)</f>
        <v>70.5894761571927</v>
      </c>
      <c r="I17" s="15" t="n">
        <f aca="false">+I16/(Revenue!H12+(Revenue!I12-Revenue!H12)/2)</f>
        <v>67.7561749860091</v>
      </c>
      <c r="J17" s="15" t="n">
        <f aca="false">+J16/(Revenue!I12+(Revenue!J12-Revenue!I12)/2)</f>
        <v>66.4593169896556</v>
      </c>
      <c r="K17" s="15" t="n">
        <f aca="false">+K16/(Revenue!J12+(Revenue!K12-Revenue!J12)/2)</f>
        <v>64.3254611492141</v>
      </c>
      <c r="L17" s="15" t="n">
        <f aca="false">+L16/(Revenue!K12+(Revenue!L12-Revenue!K12)/2)</f>
        <v>63.7692260601652</v>
      </c>
      <c r="M17" s="15" t="n">
        <f aca="false">+M16/(Revenue!L12+(Revenue!M12-Revenue!L12)/2)</f>
        <v>63.2338335437909</v>
      </c>
      <c r="N17" s="15" t="n">
        <f aca="false">+N16/(Revenue!M12+(Revenue!N12-Revenue!M12)/2)</f>
        <v>62.5492052190693</v>
      </c>
      <c r="O17" s="1"/>
    </row>
    <row r="18" customFormat="false" ht="12.75" hidden="false" customHeight="false" outlineLevel="0" collapsed="false">
      <c r="A18" s="7" t="s">
        <v>179</v>
      </c>
      <c r="B18" s="21" t="s">
        <v>23</v>
      </c>
      <c r="C18" s="68" t="n">
        <v>0.01</v>
      </c>
      <c r="D18" s="15" t="n">
        <f aca="false">(Revenue!D$61+Revenue!D$60)*($C18)</f>
        <v>22059.253125</v>
      </c>
      <c r="E18" s="15" t="n">
        <f aca="false">(Revenue!E$61+Revenue!E$60)*($C18)</f>
        <v>237403.202797755</v>
      </c>
      <c r="F18" s="15" t="n">
        <f aca="false">(Revenue!F$61+Revenue!F$60)*($C18)</f>
        <v>619018.949687561</v>
      </c>
      <c r="G18" s="15" t="n">
        <f aca="false">(Revenue!G$61+Revenue!G$60)*($C18)</f>
        <v>1218821.98204877</v>
      </c>
      <c r="H18" s="15" t="n">
        <f aca="false">(Revenue!H$61+Revenue!H$60)*($C18)</f>
        <v>2445300.15507637</v>
      </c>
      <c r="I18" s="15" t="n">
        <f aca="false">(Revenue!I$61+Revenue!I$60)*($C18)</f>
        <v>4083397.86982297</v>
      </c>
      <c r="J18" s="15" t="n">
        <f aca="false">(Revenue!J$61+Revenue!J$60)*($C18)</f>
        <v>5107998.23261332</v>
      </c>
      <c r="K18" s="15" t="n">
        <f aca="false">(Revenue!K$61+Revenue!K$60)*($C18)</f>
        <v>5059518.12868983</v>
      </c>
      <c r="L18" s="15" t="n">
        <f aca="false">(Revenue!L$61+Revenue!L$60)*($C18)</f>
        <v>5157143.55479547</v>
      </c>
      <c r="M18" s="15" t="n">
        <f aca="false">(Revenue!M$61+Revenue!M$60)*($C18)</f>
        <v>5258163.24566986</v>
      </c>
      <c r="N18" s="15" t="n">
        <f aca="false">(Revenue!N$61+Revenue!N$60)*($C18)</f>
        <v>5345186.79500458</v>
      </c>
      <c r="O18" s="1"/>
    </row>
    <row r="19" customFormat="false" ht="12.75" hidden="false" customHeight="false" outlineLevel="0" collapsed="false">
      <c r="A19" s="86" t="s">
        <v>180</v>
      </c>
      <c r="B19" s="21" t="s">
        <v>181</v>
      </c>
      <c r="C19" s="87"/>
      <c r="D19" s="15" t="n">
        <f aca="false">+D18/Revenue!D16</f>
        <v>22059.253125</v>
      </c>
      <c r="E19" s="15" t="n">
        <f aca="false">+E18/Revenue!E16</f>
        <v>47480.640559551</v>
      </c>
      <c r="F19" s="15" t="n">
        <f aca="false">+F18/Revenue!F16</f>
        <v>61901.8949687561</v>
      </c>
      <c r="G19" s="15" t="n">
        <f aca="false">+G18/Revenue!G16</f>
        <v>55400.999184035</v>
      </c>
      <c r="H19" s="15" t="n">
        <f aca="false">+H18/Revenue!H16</f>
        <v>47025.0029822379</v>
      </c>
      <c r="I19" s="15" t="n">
        <f aca="false">+I18/Revenue!I16</f>
        <v>44872.5040639887</v>
      </c>
      <c r="J19" s="15" t="n">
        <f aca="false">+J18/Revenue!J16</f>
        <v>53208.3149230555</v>
      </c>
      <c r="K19" s="15" t="n">
        <f aca="false">+K18/Revenue!K16</f>
        <v>49603.1189087238</v>
      </c>
      <c r="L19" s="15" t="n">
        <f aca="false">+L18/Revenue!L16</f>
        <v>47313.2436219768</v>
      </c>
      <c r="M19" s="15" t="n">
        <f aca="false">+M18/Revenue!M16</f>
        <v>44560.7054717785</v>
      </c>
      <c r="N19" s="15" t="n">
        <f aca="false">+N18/Revenue!N16</f>
        <v>41116.8215000352</v>
      </c>
      <c r="O19" s="1" t="s">
        <v>76</v>
      </c>
    </row>
    <row r="20" customFormat="false" ht="12.75" hidden="false" customHeight="false" outlineLevel="0" collapsed="false">
      <c r="A20" s="85" t="s">
        <v>182</v>
      </c>
      <c r="B20" s="21" t="s">
        <v>23</v>
      </c>
      <c r="C20" s="87"/>
      <c r="D20" s="15" t="n">
        <f aca="false">SUM(D4,D14,D16,D18)</f>
        <v>741796.453125</v>
      </c>
      <c r="E20" s="15" t="n">
        <f aca="false">SUM(E4,E14,E16,E18)</f>
        <v>6869492.16448475</v>
      </c>
      <c r="F20" s="15" t="n">
        <f aca="false">SUM(F4,F14,F16,F18)</f>
        <v>17844161.0290781</v>
      </c>
      <c r="G20" s="15" t="n">
        <f aca="false">SUM(G4,G14,G16,G18)</f>
        <v>35189617.6857489</v>
      </c>
      <c r="H20" s="15" t="n">
        <f aca="false">SUM(H4,H14,H16,H18)</f>
        <v>70713229.0340552</v>
      </c>
      <c r="I20" s="15" t="n">
        <f aca="false">SUM(I4,I14,I16,I18)</f>
        <v>118117621.884447</v>
      </c>
      <c r="J20" s="15" t="n">
        <f aca="false">SUM(J4,J14,J16,J18)</f>
        <v>147665614.802614</v>
      </c>
      <c r="K20" s="15" t="n">
        <f aca="false">SUM(K4,K14,K16,K18)</f>
        <v>146814701.590295</v>
      </c>
      <c r="L20" s="15" t="n">
        <f aca="false">SUM(L4,L14,L16,L18)</f>
        <v>150357874.250082</v>
      </c>
      <c r="M20" s="15" t="n">
        <f aca="false">SUM(M4,M14,M16,M18)</f>
        <v>154337953.238206</v>
      </c>
      <c r="N20" s="15" t="n">
        <f aca="false">SUM(N4,N14,N16,N18)</f>
        <v>158426584.380532</v>
      </c>
      <c r="O20" s="1"/>
    </row>
    <row r="21" customFormat="false" ht="12.75" hidden="false" customHeight="false" outlineLevel="0" collapsed="false">
      <c r="A21" s="85" t="s">
        <v>182</v>
      </c>
      <c r="B21" s="2" t="s">
        <v>58</v>
      </c>
      <c r="D21" s="59" t="n">
        <f aca="false">+D20/Revenue!D63</f>
        <v>0.255970149253731</v>
      </c>
      <c r="E21" s="59" t="n">
        <f aca="false">+E20/Revenue!E63</f>
        <v>0.222540619288974</v>
      </c>
      <c r="F21" s="59" t="n">
        <f aca="false">+F20/Revenue!F63</f>
        <v>0.232995327400629</v>
      </c>
      <c r="G21" s="59" t="n">
        <f aca="false">+G20/Revenue!G63</f>
        <v>0.231310854668884</v>
      </c>
      <c r="H21" s="59" t="n">
        <f aca="false">+H20/Revenue!H63</f>
        <v>0.230454003561796</v>
      </c>
      <c r="I21" s="59" t="n">
        <f aca="false">+I20/Revenue!I63</f>
        <v>0.234075403188771</v>
      </c>
      <c r="J21" s="59" t="n">
        <f aca="false">+J20/Revenue!J63</f>
        <v>0.242089936088011</v>
      </c>
      <c r="K21" s="59" t="n">
        <f aca="false">+K20/Revenue!K63</f>
        <v>0.241436343508143</v>
      </c>
      <c r="L21" s="59" t="n">
        <f aca="false">+L20/Revenue!L63</f>
        <v>0.242155207560743</v>
      </c>
      <c r="M21" s="59" t="n">
        <f aca="false">+M20/Revenue!M63</f>
        <v>0.243368733645415</v>
      </c>
      <c r="N21" s="59" t="n">
        <f aca="false">+N20/Revenue!N63</f>
        <v>0.245194427657443</v>
      </c>
    </row>
    <row r="22" customFormat="false" ht="15" hidden="false" customHeight="false" outlineLevel="0" collapsed="false">
      <c r="A22" s="67" t="s">
        <v>183</v>
      </c>
      <c r="B22" s="67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1"/>
    </row>
    <row r="23" customFormat="false" ht="12.75" hidden="false" customHeight="false" outlineLevel="0" collapsed="false">
      <c r="A23" s="27" t="s">
        <v>184</v>
      </c>
      <c r="B23" s="21" t="s">
        <v>185</v>
      </c>
      <c r="C23" s="50"/>
      <c r="D23" s="88" t="n">
        <v>0.1</v>
      </c>
      <c r="E23" s="89" t="n">
        <f aca="false">+$D$23*Revenue!E31</f>
        <v>0.0956220362471039</v>
      </c>
      <c r="F23" s="89" t="n">
        <f aca="false">+$D$23*Revenue!F31</f>
        <v>0.08953511032198</v>
      </c>
      <c r="G23" s="89" t="n">
        <f aca="false">+$D$23*Revenue!G31</f>
        <v>0.0857712794751315</v>
      </c>
      <c r="H23" s="89" t="n">
        <f aca="false">+$D$23*Revenue!H31</f>
        <v>0.0837995041465474</v>
      </c>
      <c r="I23" s="89" t="n">
        <f aca="false">+$D$23*Revenue!I31</f>
        <v>0.0820407400991707</v>
      </c>
      <c r="J23" s="89" t="n">
        <f aca="false">+$D$23*Revenue!J31</f>
        <v>0.0837995041465474</v>
      </c>
      <c r="K23" s="89" t="n">
        <f aca="false">+$D$23*Revenue!K31</f>
        <v>0.081301561180521</v>
      </c>
      <c r="L23" s="89" t="n">
        <f aca="false">+$D$23*Revenue!L31</f>
        <v>0.0814685598596886</v>
      </c>
      <c r="M23" s="89" t="n">
        <f aca="false">+$D$23*Revenue!M31</f>
        <v>0.0820905419743196</v>
      </c>
      <c r="N23" s="89" t="n">
        <f aca="false">+$D$23*Revenue!N31</f>
        <v>0.0831040059695626</v>
      </c>
      <c r="O23" s="1" t="s">
        <v>186</v>
      </c>
    </row>
    <row r="24" customFormat="false" ht="12.75" hidden="false" customHeight="false" outlineLevel="0" collapsed="false">
      <c r="A24" s="27" t="s">
        <v>187</v>
      </c>
      <c r="B24" s="21" t="s">
        <v>188</v>
      </c>
      <c r="C24" s="50"/>
      <c r="D24" s="77" t="n">
        <v>1.03</v>
      </c>
      <c r="E24" s="78" t="n">
        <f aca="false">D24</f>
        <v>1.03</v>
      </c>
      <c r="F24" s="78" t="n">
        <f aca="false">E24</f>
        <v>1.03</v>
      </c>
      <c r="G24" s="78" t="n">
        <f aca="false">F24</f>
        <v>1.03</v>
      </c>
      <c r="H24" s="78" t="n">
        <f aca="false">G24</f>
        <v>1.03</v>
      </c>
      <c r="I24" s="78" t="n">
        <f aca="false">H24</f>
        <v>1.03</v>
      </c>
      <c r="J24" s="78" t="n">
        <f aca="false">I24</f>
        <v>1.03</v>
      </c>
      <c r="K24" s="78" t="n">
        <f aca="false">J24</f>
        <v>1.03</v>
      </c>
      <c r="L24" s="78" t="n">
        <f aca="false">K24</f>
        <v>1.03</v>
      </c>
      <c r="M24" s="78" t="n">
        <f aca="false">L24</f>
        <v>1.03</v>
      </c>
      <c r="N24" s="78" t="n">
        <f aca="false">M24</f>
        <v>1.03</v>
      </c>
      <c r="O24" s="1" t="s">
        <v>189</v>
      </c>
    </row>
    <row r="25" customFormat="false" ht="12.75" hidden="false" customHeight="false" outlineLevel="0" collapsed="false">
      <c r="A25" s="27" t="s">
        <v>190</v>
      </c>
      <c r="B25" s="21" t="s">
        <v>188</v>
      </c>
      <c r="C25" s="68" t="n">
        <v>0.2</v>
      </c>
      <c r="D25" s="78" t="n">
        <f aca="false">+$C$25*D24</f>
        <v>0.206</v>
      </c>
      <c r="E25" s="78" t="n">
        <f aca="false">+$C$25*E24</f>
        <v>0.206</v>
      </c>
      <c r="F25" s="78" t="n">
        <f aca="false">+$C$25*F24</f>
        <v>0.206</v>
      </c>
      <c r="G25" s="78" t="n">
        <f aca="false">+$C$25*G24</f>
        <v>0.206</v>
      </c>
      <c r="H25" s="78" t="n">
        <f aca="false">+$C$25*H24</f>
        <v>0.206</v>
      </c>
      <c r="I25" s="78" t="n">
        <f aca="false">+$C$25*I24</f>
        <v>0.206</v>
      </c>
      <c r="J25" s="78" t="n">
        <f aca="false">+$C$25*J24</f>
        <v>0.206</v>
      </c>
      <c r="K25" s="78" t="n">
        <f aca="false">+$C$25*K24</f>
        <v>0.206</v>
      </c>
      <c r="L25" s="78" t="n">
        <f aca="false">+$C$25*L24</f>
        <v>0.206</v>
      </c>
      <c r="M25" s="78" t="n">
        <f aca="false">+$C$25*M24</f>
        <v>0.206</v>
      </c>
      <c r="N25" s="78" t="n">
        <f aca="false">+$C$25*N24</f>
        <v>0.206</v>
      </c>
      <c r="O25" s="1" t="s">
        <v>131</v>
      </c>
    </row>
    <row r="26" customFormat="false" ht="12.75" hidden="false" customHeight="false" outlineLevel="0" collapsed="false">
      <c r="A26" s="27" t="s">
        <v>191</v>
      </c>
      <c r="B26" s="21" t="s">
        <v>188</v>
      </c>
      <c r="D26" s="77" t="n">
        <v>6.9</v>
      </c>
      <c r="E26" s="78" t="n">
        <f aca="false">D26</f>
        <v>6.9</v>
      </c>
      <c r="F26" s="78" t="n">
        <f aca="false">E26</f>
        <v>6.9</v>
      </c>
      <c r="G26" s="78" t="n">
        <f aca="false">F26</f>
        <v>6.9</v>
      </c>
      <c r="H26" s="78" t="n">
        <f aca="false">G26</f>
        <v>6.9</v>
      </c>
      <c r="I26" s="78" t="n">
        <f aca="false">H26</f>
        <v>6.9</v>
      </c>
      <c r="J26" s="78" t="n">
        <f aca="false">I26</f>
        <v>6.9</v>
      </c>
      <c r="K26" s="78" t="n">
        <f aca="false">J26</f>
        <v>6.9</v>
      </c>
      <c r="L26" s="78" t="n">
        <f aca="false">K26</f>
        <v>6.9</v>
      </c>
      <c r="M26" s="78" t="n">
        <f aca="false">L26</f>
        <v>6.9</v>
      </c>
      <c r="N26" s="78" t="n">
        <f aca="false">M26</f>
        <v>6.9</v>
      </c>
      <c r="O26" s="1" t="s">
        <v>131</v>
      </c>
    </row>
    <row r="27" customFormat="false" ht="12.75" hidden="false" customHeight="false" outlineLevel="0" collapsed="false">
      <c r="A27" s="27" t="s">
        <v>192</v>
      </c>
      <c r="B27" s="21" t="s">
        <v>188</v>
      </c>
      <c r="C27" s="90"/>
      <c r="D27" s="91" t="n">
        <f aca="false">D24+D25+D26*Revenue!$C$18</f>
        <v>3.306</v>
      </c>
      <c r="E27" s="91" t="n">
        <f aca="false">E24+E25+E26*Revenue!$C$18</f>
        <v>3.306</v>
      </c>
      <c r="F27" s="91" t="n">
        <f aca="false">F24+F25+F26*Revenue!$C$18</f>
        <v>3.306</v>
      </c>
      <c r="G27" s="91" t="n">
        <f aca="false">G24+G25+G26*Revenue!$C$18</f>
        <v>3.306</v>
      </c>
      <c r="H27" s="91" t="n">
        <f aca="false">H24+H25+H26*Revenue!$C$18</f>
        <v>3.306</v>
      </c>
      <c r="I27" s="91" t="n">
        <f aca="false">I24+I25+I26*Revenue!$C$18</f>
        <v>3.306</v>
      </c>
      <c r="J27" s="91" t="n">
        <f aca="false">J24+J25+J26*Revenue!$C$18</f>
        <v>3.306</v>
      </c>
      <c r="K27" s="91" t="n">
        <f aca="false">K24+K25+K26*Revenue!$C$18</f>
        <v>3.306</v>
      </c>
      <c r="L27" s="91" t="n">
        <f aca="false">L24+L25+L26*Revenue!$C$18</f>
        <v>3.306</v>
      </c>
      <c r="M27" s="91" t="n">
        <f aca="false">M24+M25+M26*Revenue!$C$18</f>
        <v>3.306</v>
      </c>
      <c r="N27" s="91" t="n">
        <f aca="false">N24+N25+N26*Revenue!$C$18</f>
        <v>3.306</v>
      </c>
      <c r="O27" s="1"/>
    </row>
    <row r="28" customFormat="false" ht="12.75" hidden="false" customHeight="false" outlineLevel="0" collapsed="false">
      <c r="A28" s="27" t="s">
        <v>193</v>
      </c>
      <c r="B28" s="21" t="s">
        <v>194</v>
      </c>
      <c r="C28" s="50"/>
      <c r="D28" s="15" t="n">
        <f aca="false">+D27*Revenue!D25</f>
        <v>5983826.94</v>
      </c>
      <c r="E28" s="15" t="n">
        <f aca="false">+E27*Revenue!E25</f>
        <v>67617244.422</v>
      </c>
      <c r="F28" s="15" t="n">
        <f aca="false">+F27*Revenue!F25</f>
        <v>188598257.49492</v>
      </c>
      <c r="G28" s="15" t="n">
        <f aca="false">+G27*Revenue!G25</f>
        <v>388512410.439535</v>
      </c>
      <c r="H28" s="15" t="n">
        <f aca="false">+H27*Revenue!H25</f>
        <v>800335565.505443</v>
      </c>
      <c r="I28" s="15" t="n">
        <f aca="false">+I27*Revenue!I25</f>
        <v>1371215447.47562</v>
      </c>
      <c r="J28" s="15" t="n">
        <f aca="false">+J27*Revenue!J25</f>
        <v>1689827728.36548</v>
      </c>
      <c r="K28" s="15" t="n">
        <f aca="false">+K27*Revenue!K25</f>
        <v>1740522560.21645</v>
      </c>
      <c r="L28" s="15" t="n">
        <f aca="false">+L27*Revenue!L25</f>
        <v>1792738237.02294</v>
      </c>
      <c r="M28" s="15" t="n">
        <f aca="false">+M27*Revenue!M25</f>
        <v>1846520384.13363</v>
      </c>
      <c r="N28" s="15" t="n">
        <f aca="false">+N27*Revenue!N25</f>
        <v>1901915995.65764</v>
      </c>
      <c r="O28" s="1"/>
    </row>
    <row r="29" customFormat="false" ht="12.75" hidden="false" customHeight="false" outlineLevel="0" collapsed="false">
      <c r="A29" s="27" t="s">
        <v>195</v>
      </c>
      <c r="B29" s="21" t="s">
        <v>23</v>
      </c>
      <c r="C29" s="50"/>
      <c r="D29" s="15" t="n">
        <f aca="false">+D28*D23</f>
        <v>598382.694</v>
      </c>
      <c r="E29" s="15" t="n">
        <f aca="false">+E28*E23</f>
        <v>6465698.59704977</v>
      </c>
      <c r="F29" s="15" t="n">
        <f aca="false">+F28*F23</f>
        <v>16886165.7913408</v>
      </c>
      <c r="G29" s="15" t="n">
        <f aca="false">+G28*G23</f>
        <v>33323206.5353664</v>
      </c>
      <c r="H29" s="15" t="n">
        <f aca="false">+H28*H23</f>
        <v>67067723.5402027</v>
      </c>
      <c r="I29" s="15" t="n">
        <f aca="false">+I28*I23</f>
        <v>112495530.146315</v>
      </c>
      <c r="J29" s="15" t="n">
        <f aca="false">+J28*J23</f>
        <v>141606725.730114</v>
      </c>
      <c r="K29" s="15" t="n">
        <f aca="false">+K28*K23</f>
        <v>141507201.415514</v>
      </c>
      <c r="L29" s="15" t="n">
        <f aca="false">+L28*L23</f>
        <v>146051802.375656</v>
      </c>
      <c r="M29" s="15" t="n">
        <f aca="false">+M28*M23</f>
        <v>151581859.100158</v>
      </c>
      <c r="N29" s="15" t="n">
        <f aca="false">+N28*N23</f>
        <v>158056838.256739</v>
      </c>
      <c r="O29" s="1"/>
    </row>
    <row r="30" customFormat="false" ht="12.75" hidden="false" customHeight="false" outlineLevel="0" collapsed="false">
      <c r="A30" s="7" t="s">
        <v>195</v>
      </c>
      <c r="B30" s="21" t="s">
        <v>121</v>
      </c>
      <c r="C30" s="50"/>
      <c r="D30" s="89" t="n">
        <f aca="false">+D29/Revenue!D25</f>
        <v>0.3306</v>
      </c>
      <c r="E30" s="89" t="n">
        <f aca="false">+E29/Revenue!E25</f>
        <v>0.316126451832926</v>
      </c>
      <c r="F30" s="89" t="n">
        <f aca="false">+F29/Revenue!F25</f>
        <v>0.296003074724466</v>
      </c>
      <c r="G30" s="89" t="n">
        <f aca="false">+G29/Revenue!G25</f>
        <v>0.283559849944785</v>
      </c>
      <c r="H30" s="89" t="n">
        <f aca="false">+H29/Revenue!H25</f>
        <v>0.277041160708486</v>
      </c>
      <c r="I30" s="89" t="n">
        <f aca="false">+I29/Revenue!I25</f>
        <v>0.271226686767858</v>
      </c>
      <c r="J30" s="89" t="n">
        <f aca="false">+J29/Revenue!J25</f>
        <v>0.277041160708486</v>
      </c>
      <c r="K30" s="89" t="n">
        <f aca="false">+K29/Revenue!K25</f>
        <v>0.268782961262802</v>
      </c>
      <c r="L30" s="89" t="n">
        <f aca="false">+L29/Revenue!L25</f>
        <v>0.269335058896131</v>
      </c>
      <c r="M30" s="89" t="n">
        <f aca="false">+M29/Revenue!M25</f>
        <v>0.271391331767101</v>
      </c>
      <c r="N30" s="89" t="n">
        <f aca="false">+N29/Revenue!N25</f>
        <v>0.274741843735374</v>
      </c>
      <c r="O30" s="1"/>
    </row>
    <row r="31" customFormat="false" ht="12.75" hidden="false" customHeight="false" outlineLevel="0" collapsed="false">
      <c r="A31" s="27" t="s">
        <v>196</v>
      </c>
      <c r="B31" s="21" t="s">
        <v>58</v>
      </c>
      <c r="C31" s="92" t="n">
        <v>0.028</v>
      </c>
      <c r="D31" s="15" t="n">
        <f aca="false">+$C$31*Revenue!D63</f>
        <v>81143.44875</v>
      </c>
      <c r="E31" s="15" t="n">
        <f aca="false">+$C$31*Revenue!E63</f>
        <v>864317.629833715</v>
      </c>
      <c r="F31" s="15" t="n">
        <f aca="false">+$C$31*Revenue!F63</f>
        <v>2144405.70284517</v>
      </c>
      <c r="G31" s="15" t="n">
        <f aca="false">+$C$31*Revenue!G63</f>
        <v>4259675.99579976</v>
      </c>
      <c r="H31" s="15" t="n">
        <f aca="false">+$C$31*Revenue!H63</f>
        <v>8591607.79310403</v>
      </c>
      <c r="I31" s="15" t="n">
        <f aca="false">+$C$31*Revenue!I63</f>
        <v>14129179.6049897</v>
      </c>
      <c r="J31" s="15" t="n">
        <f aca="false">+$C$31*Revenue!J63</f>
        <v>17078930.5878872</v>
      </c>
      <c r="K31" s="15" t="n">
        <f aca="false">+$C$31*Revenue!K63</f>
        <v>17026482.3629985</v>
      </c>
      <c r="L31" s="15" t="n">
        <f aca="false">+$C$31*Revenue!L63</f>
        <v>17385628.5041743</v>
      </c>
      <c r="M31" s="15" t="n">
        <f aca="false">+$C$31*Revenue!M63</f>
        <v>17756852.435145</v>
      </c>
      <c r="N31" s="15" t="n">
        <f aca="false">+$C$31*Revenue!N63</f>
        <v>18091538.2337003</v>
      </c>
      <c r="O31" s="1" t="s">
        <v>197</v>
      </c>
    </row>
    <row r="32" customFormat="false" ht="12.75" hidden="false" customHeight="false" outlineLevel="0" collapsed="false">
      <c r="A32" s="27" t="s">
        <v>198</v>
      </c>
      <c r="B32" s="21" t="s">
        <v>58</v>
      </c>
      <c r="C32" s="92" t="n">
        <v>0.02</v>
      </c>
      <c r="D32" s="15" t="n">
        <f aca="false">+$C$32*Revenue!D63</f>
        <v>57959.60625</v>
      </c>
      <c r="E32" s="15" t="n">
        <f aca="false">+$C$32*Revenue!E63</f>
        <v>617369.735595511</v>
      </c>
      <c r="F32" s="15" t="n">
        <f aca="false">+$C$32*Revenue!F63</f>
        <v>1531718.35917512</v>
      </c>
      <c r="G32" s="15" t="n">
        <f aca="false">+$C$32*Revenue!G63</f>
        <v>3042625.71128554</v>
      </c>
      <c r="H32" s="15" t="n">
        <f aca="false">+$C$32*Revenue!H63</f>
        <v>6136862.70936002</v>
      </c>
      <c r="I32" s="15" t="n">
        <f aca="false">+$C$32*Revenue!I63</f>
        <v>10092271.1464212</v>
      </c>
      <c r="J32" s="15" t="n">
        <f aca="false">+$C$32*Revenue!J63</f>
        <v>12199236.1342052</v>
      </c>
      <c r="K32" s="15" t="n">
        <f aca="false">+$C$32*Revenue!K63</f>
        <v>12161773.1164275</v>
      </c>
      <c r="L32" s="15" t="n">
        <f aca="false">+$C$32*Revenue!L63</f>
        <v>12418306.0744102</v>
      </c>
      <c r="M32" s="15" t="n">
        <f aca="false">+$C$32*Revenue!M63</f>
        <v>12683466.0251036</v>
      </c>
      <c r="N32" s="15" t="n">
        <f aca="false">+$C$32*Revenue!N63</f>
        <v>12922527.309786</v>
      </c>
      <c r="O32" s="1" t="s">
        <v>197</v>
      </c>
    </row>
    <row r="33" customFormat="false" ht="15" hidden="false" customHeight="false" outlineLevel="0" collapsed="false">
      <c r="A33" s="67" t="s">
        <v>199</v>
      </c>
      <c r="B33" s="67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1"/>
      <c r="Q33" s="3" t="n">
        <f aca="false">(((50/30/24)/('Basic Calculations'!D4/365))/(1-Revenue!D22))/(1-Revenue!D45)</f>
        <v>0.282962187724093</v>
      </c>
    </row>
    <row r="34" customFormat="false" ht="12.75" hidden="false" customHeight="false" outlineLevel="0" collapsed="false">
      <c r="A34" s="27" t="s">
        <v>200</v>
      </c>
      <c r="B34" s="21" t="s">
        <v>201</v>
      </c>
      <c r="C34" s="19" t="n">
        <f aca="false">AVERAGE(14800/968,1200100/29168,7584000/112268,21822200/271868,46832900/541268)</f>
        <v>58.1556706464708</v>
      </c>
      <c r="D34" s="45" t="n">
        <f aca="false">+$C$34*D47</f>
        <v>36862.7389840031</v>
      </c>
      <c r="E34" s="45" t="n">
        <f aca="false">+$C$34*E47</f>
        <v>379686.211535232</v>
      </c>
      <c r="F34" s="45" t="n">
        <f aca="false">+$C$34*F47</f>
        <v>782153.595762579</v>
      </c>
      <c r="G34" s="45" t="n">
        <f aca="false">+$C$34*G47</f>
        <v>1611236.40727091</v>
      </c>
      <c r="H34" s="45" t="n">
        <f aca="false">+$C$34*H47</f>
        <v>3319146.99897808</v>
      </c>
      <c r="I34" s="45" t="n">
        <f aca="false">+$C$34*I47</f>
        <v>5128082.11342113</v>
      </c>
      <c r="J34" s="45" t="n">
        <f aca="false">+$C$34*J47</f>
        <v>5281924.57682376</v>
      </c>
      <c r="K34" s="45" t="n">
        <f aca="false">+$C$34*K47</f>
        <v>5440382.31412848</v>
      </c>
      <c r="L34" s="45" t="n">
        <f aca="false">+$C$34*L47</f>
        <v>5603593.78355233</v>
      </c>
      <c r="M34" s="45" t="n">
        <f aca="false">+$C$34*M47</f>
        <v>5771701.5970589</v>
      </c>
      <c r="N34" s="45" t="n">
        <f aca="false">+$C$34*N47</f>
        <v>5944852.64497067</v>
      </c>
      <c r="O34" s="1" t="s">
        <v>197</v>
      </c>
      <c r="P34" s="3" t="n">
        <v>2</v>
      </c>
      <c r="Q34" s="3" t="n">
        <f aca="false">+$Q$33*P34</f>
        <v>0.565924375448185</v>
      </c>
    </row>
    <row r="35" customFormat="false" ht="12.75" hidden="false" customHeight="false" outlineLevel="0" collapsed="false">
      <c r="A35" s="27" t="s">
        <v>202</v>
      </c>
      <c r="B35" s="21" t="s">
        <v>201</v>
      </c>
      <c r="C35" s="19" t="n">
        <f aca="false">AVERAGE(59600/968,3207300/29168,20269300/112268,58322700/271868,62583500/541268)</f>
        <v>136.444667494874</v>
      </c>
      <c r="D35" s="15" t="n">
        <f aca="false">+$C$35*D47</f>
        <v>86487.2523644069</v>
      </c>
      <c r="E35" s="15" t="n">
        <f aca="false">+$C$35*E47</f>
        <v>890818.699353392</v>
      </c>
      <c r="F35" s="15" t="n">
        <f aca="false">+$C$35*F47</f>
        <v>1835086.52066799</v>
      </c>
      <c r="G35" s="15" t="n">
        <f aca="false">+$C$35*G47</f>
        <v>3780278.23257605</v>
      </c>
      <c r="H35" s="15" t="n">
        <f aca="false">+$C$35*H47</f>
        <v>7787373.15910667</v>
      </c>
      <c r="I35" s="15" t="n">
        <f aca="false">+$C$35*I47</f>
        <v>12031491.5308198</v>
      </c>
      <c r="J35" s="15" t="n">
        <f aca="false">+$C$35*J47</f>
        <v>12392436.2767444</v>
      </c>
      <c r="K35" s="15" t="n">
        <f aca="false">+$C$35*K47</f>
        <v>12764209.3650467</v>
      </c>
      <c r="L35" s="15" t="n">
        <f aca="false">+$C$35*L47</f>
        <v>13147135.6459981</v>
      </c>
      <c r="M35" s="15" t="n">
        <f aca="false">+$C$35*M47</f>
        <v>13541549.7153781</v>
      </c>
      <c r="N35" s="15" t="n">
        <f aca="false">+$C$35*N47</f>
        <v>13947796.2068394</v>
      </c>
      <c r="O35" s="1" t="s">
        <v>197</v>
      </c>
      <c r="P35" s="3" t="n">
        <v>3</v>
      </c>
      <c r="Q35" s="3" t="n">
        <f aca="false">+$Q$33*P35</f>
        <v>0.848886563172278</v>
      </c>
    </row>
    <row r="36" customFormat="false" ht="12.75" hidden="false" customHeight="false" outlineLevel="0" collapsed="false">
      <c r="A36" s="27" t="s">
        <v>203</v>
      </c>
      <c r="B36" s="21" t="s">
        <v>201</v>
      </c>
      <c r="C36" s="19" t="n">
        <f aca="false">AVERAGE(29800/968,1603700/29168,10134600/112268,29161400/271868,62583500/541268)</f>
        <v>79.7850111386782</v>
      </c>
      <c r="D36" s="15" t="n">
        <f aca="false">+$C$36*D47</f>
        <v>50572.7817725606</v>
      </c>
      <c r="E36" s="15" t="n">
        <f aca="false">+$C$36*E47</f>
        <v>520899.652257375</v>
      </c>
      <c r="F36" s="15" t="n">
        <f aca="false">+$C$36*F47</f>
        <v>1073053.28365019</v>
      </c>
      <c r="G36" s="15" t="n">
        <f aca="false">+$C$36*G47</f>
        <v>2210489.7643194</v>
      </c>
      <c r="H36" s="15" t="n">
        <f aca="false">+$C$36*H47</f>
        <v>4553608.91449796</v>
      </c>
      <c r="I36" s="15" t="n">
        <f aca="false">+$C$36*I47</f>
        <v>7035325.77289934</v>
      </c>
      <c r="J36" s="15" t="n">
        <f aca="false">+$C$36*J47</f>
        <v>7246385.54608632</v>
      </c>
      <c r="K36" s="15" t="n">
        <f aca="false">+$C$36*K47</f>
        <v>7463777.11246891</v>
      </c>
      <c r="L36" s="15" t="n">
        <f aca="false">+$C$36*L47</f>
        <v>7687690.42584298</v>
      </c>
      <c r="M36" s="15" t="n">
        <f aca="false">+$C$36*M47</f>
        <v>7918321.13861827</v>
      </c>
      <c r="N36" s="15" t="n">
        <f aca="false">+$C$36*N47</f>
        <v>8155870.77277682</v>
      </c>
      <c r="O36" s="1" t="s">
        <v>197</v>
      </c>
      <c r="P36" s="3" t="n">
        <v>4</v>
      </c>
      <c r="Q36" s="3" t="n">
        <f aca="false">+$Q$33*P36</f>
        <v>1.13184875089637</v>
      </c>
    </row>
    <row r="37" customFormat="false" ht="12.75" hidden="false" customHeight="false" outlineLevel="0" collapsed="false">
      <c r="A37" s="27" t="s">
        <v>204</v>
      </c>
      <c r="B37" s="21" t="s">
        <v>201</v>
      </c>
      <c r="C37" s="19" t="n">
        <f aca="false">9.38*12</f>
        <v>112.56</v>
      </c>
      <c r="D37" s="15" t="n">
        <f aca="false">+$C37*D$47</f>
        <v>71347.6408046753</v>
      </c>
      <c r="E37" s="15" t="n">
        <f aca="false">+$C37*E$47</f>
        <v>734880.700288155</v>
      </c>
      <c r="F37" s="15" t="n">
        <f aca="false">+$C37*F$47</f>
        <v>1513854.2425936</v>
      </c>
      <c r="G37" s="15" t="n">
        <f aca="false">+$C37*G$47</f>
        <v>3118539.73974282</v>
      </c>
      <c r="H37" s="15" t="n">
        <f aca="false">+$C37*H$47</f>
        <v>6424191.8638702</v>
      </c>
      <c r="I37" s="15" t="n">
        <f aca="false">+$C37*I$47</f>
        <v>9925376.42967946</v>
      </c>
      <c r="J37" s="15" t="n">
        <f aca="false">+$C37*J$47</f>
        <v>10223137.7225698</v>
      </c>
      <c r="K37" s="15" t="n">
        <f aca="false">+$C37*K$47</f>
        <v>10529831.8542469</v>
      </c>
      <c r="L37" s="15" t="n">
        <f aca="false">+$C37*L$47</f>
        <v>10845726.8098743</v>
      </c>
      <c r="M37" s="15" t="n">
        <f aca="false">+$C37*M$47</f>
        <v>11171098.6141706</v>
      </c>
      <c r="N37" s="15" t="n">
        <f aca="false">+$C37*N$47</f>
        <v>11506231.5725957</v>
      </c>
      <c r="O37" s="1" t="s">
        <v>197</v>
      </c>
    </row>
    <row r="38" customFormat="false" ht="12.75" hidden="false" customHeight="false" outlineLevel="0" collapsed="false">
      <c r="A38" s="27" t="s">
        <v>205</v>
      </c>
      <c r="B38" s="21" t="s">
        <v>201</v>
      </c>
      <c r="C38" s="19" t="n">
        <f aca="false">8*12</f>
        <v>96</v>
      </c>
      <c r="D38" s="15" t="n">
        <f aca="false">+$C38*D$47</f>
        <v>60850.866357932</v>
      </c>
      <c r="E38" s="15" t="n">
        <f aca="false">+$C38*E$47</f>
        <v>626763.9234867</v>
      </c>
      <c r="F38" s="15" t="n">
        <f aca="false">+$C38*F$47</f>
        <v>1291133.6823826</v>
      </c>
      <c r="G38" s="15" t="n">
        <f aca="false">+$C38*G$47</f>
        <v>2659735.38570816</v>
      </c>
      <c r="H38" s="15" t="n">
        <f aca="false">+$C38*H$47</f>
        <v>5479054.89455881</v>
      </c>
      <c r="I38" s="15" t="n">
        <f aca="false">+$C38*I$47</f>
        <v>8465139.81209336</v>
      </c>
      <c r="J38" s="15" t="n">
        <f aca="false">+$C38*J$47</f>
        <v>8719094.00645616</v>
      </c>
      <c r="K38" s="15" t="n">
        <f aca="false">+$C38*K$47</f>
        <v>8980666.82664984</v>
      </c>
      <c r="L38" s="15" t="n">
        <f aca="false">+$C38*L$47</f>
        <v>9250086.83144934</v>
      </c>
      <c r="M38" s="15" t="n">
        <f aca="false">+$C38*M$47</f>
        <v>9527589.43639282</v>
      </c>
      <c r="N38" s="15" t="n">
        <f aca="false">+$C38*N$47</f>
        <v>9813417.1194846</v>
      </c>
      <c r="O38" s="1" t="s">
        <v>197</v>
      </c>
    </row>
    <row r="39" customFormat="false" ht="12.75" hidden="false" customHeight="false" outlineLevel="0" collapsed="false">
      <c r="A39" s="27" t="s">
        <v>148</v>
      </c>
      <c r="B39" s="21" t="s">
        <v>201</v>
      </c>
      <c r="C39" s="19" t="n">
        <f aca="false">2*12</f>
        <v>24</v>
      </c>
      <c r="D39" s="15" t="n">
        <f aca="false">+$C39*D$47</f>
        <v>15212.716589483</v>
      </c>
      <c r="E39" s="15" t="n">
        <f aca="false">+$C39*E$47</f>
        <v>156690.980871675</v>
      </c>
      <c r="F39" s="15" t="n">
        <f aca="false">+$C39*F$47</f>
        <v>322783.42059565</v>
      </c>
      <c r="G39" s="15" t="n">
        <f aca="false">+$C39*G$47</f>
        <v>664933.84642704</v>
      </c>
      <c r="H39" s="15" t="n">
        <f aca="false">+$C39*H$47</f>
        <v>1369763.7236397</v>
      </c>
      <c r="I39" s="15" t="n">
        <f aca="false">+$C39*I$47</f>
        <v>2116284.95302334</v>
      </c>
      <c r="J39" s="15" t="n">
        <f aca="false">+$C39*J$47</f>
        <v>2179773.50161404</v>
      </c>
      <c r="K39" s="15" t="n">
        <f aca="false">+$C39*K$47</f>
        <v>2245166.70666246</v>
      </c>
      <c r="L39" s="15" t="n">
        <f aca="false">+$C39*L$47</f>
        <v>2312521.70786233</v>
      </c>
      <c r="M39" s="15" t="n">
        <f aca="false">+$C39*M$47</f>
        <v>2381897.3590982</v>
      </c>
      <c r="N39" s="15" t="n">
        <f aca="false">+$C39*N$47</f>
        <v>2453354.27987115</v>
      </c>
      <c r="O39" s="1" t="s">
        <v>197</v>
      </c>
    </row>
    <row r="40" customFormat="false" ht="12.75" hidden="false" customHeight="false" outlineLevel="0" collapsed="false">
      <c r="A40" s="27" t="s">
        <v>206</v>
      </c>
      <c r="B40" s="21" t="s">
        <v>207</v>
      </c>
      <c r="C40" s="19" t="n">
        <v>500</v>
      </c>
      <c r="D40" s="15" t="n">
        <f aca="false">+$C$40*Costs!D47/Capacity!$D$17</f>
        <v>4371.4702843342</v>
      </c>
      <c r="E40" s="15" t="n">
        <f aca="false">+$C$40*Costs!E47/Capacity!$D$17</f>
        <v>45026.1439286422</v>
      </c>
      <c r="F40" s="15" t="n">
        <f aca="false">+$C$40*Costs!F47/Capacity!$D$17</f>
        <v>92753.856493003</v>
      </c>
      <c r="G40" s="15" t="n">
        <f aca="false">+$C$40*Costs!G47/Capacity!$D$17</f>
        <v>191072.944375586</v>
      </c>
      <c r="H40" s="15" t="n">
        <f aca="false">+$C$40*Costs!H47/Capacity!$D$17</f>
        <v>393610.265413707</v>
      </c>
      <c r="I40" s="15" t="n">
        <f aca="false">+$C$40*Costs!I47/Capacity!$D$17</f>
        <v>608127.860064178</v>
      </c>
      <c r="J40" s="15" t="n">
        <f aca="false">+$C$40*Costs!J47/Capacity!$D$17</f>
        <v>626371.695866103</v>
      </c>
      <c r="K40" s="15" t="n">
        <f aca="false">+$C$40*Costs!K47/Capacity!$D$17</f>
        <v>645162.846742086</v>
      </c>
      <c r="L40" s="15" t="n">
        <f aca="false">+$C$40*Costs!L47/Capacity!$D$17</f>
        <v>664517.732144349</v>
      </c>
      <c r="M40" s="15" t="n">
        <f aca="false">+$C$40*Costs!M47/Capacity!$D$17</f>
        <v>684453.264108679</v>
      </c>
      <c r="N40" s="15" t="n">
        <f aca="false">+$C$40*Costs!N47/Capacity!$D$17</f>
        <v>704986.86203194</v>
      </c>
      <c r="O40" s="1" t="s">
        <v>197</v>
      </c>
    </row>
    <row r="41" customFormat="false" ht="12.75" hidden="false" customHeight="false" outlineLevel="0" collapsed="false">
      <c r="A41" s="27" t="s">
        <v>208</v>
      </c>
      <c r="B41" s="21" t="s">
        <v>201</v>
      </c>
      <c r="C41" s="19" t="n">
        <v>350</v>
      </c>
      <c r="D41" s="15" t="n">
        <f aca="false">+$C$41*D48</f>
        <v>221852.11692996</v>
      </c>
      <c r="E41" s="15" t="n">
        <f aca="false">+$C$41*E48</f>
        <v>2063224.68744863</v>
      </c>
      <c r="F41" s="15" t="n">
        <f aca="false">+$C$41*F48</f>
        <v>2422181.41264131</v>
      </c>
      <c r="G41" s="15" t="n">
        <f aca="false">+$C$41*G48</f>
        <v>4989693.7100411</v>
      </c>
      <c r="H41" s="15" t="n">
        <f aca="false">+$C$41*H48</f>
        <v>10278769.0426847</v>
      </c>
      <c r="I41" s="15" t="n">
        <f aca="false">+$C$41*I48</f>
        <v>10886767.9285114</v>
      </c>
      <c r="J41" s="15" t="n">
        <f aca="false">+$C$41*J48</f>
        <v>925874.666947712</v>
      </c>
      <c r="K41" s="15" t="n">
        <f aca="false">+$C$41*K48</f>
        <v>953650.906956147</v>
      </c>
      <c r="L41" s="15" t="n">
        <f aca="false">+$C$41*L48</f>
        <v>982260.434164822</v>
      </c>
      <c r="M41" s="15" t="n">
        <f aca="false">+$C$41*M48</f>
        <v>1011728.24718977</v>
      </c>
      <c r="N41" s="15" t="n">
        <f aca="false">+$C$41*N48</f>
        <v>1042080.09460547</v>
      </c>
      <c r="O41" s="1" t="s">
        <v>197</v>
      </c>
    </row>
    <row r="42" customFormat="false" ht="12.75" hidden="false" customHeight="false" outlineLevel="0" collapsed="false">
      <c r="A42" s="27" t="s">
        <v>209</v>
      </c>
      <c r="B42" s="21" t="s">
        <v>201</v>
      </c>
      <c r="C42" s="19" t="n">
        <f aca="false">AVERAGE((711400+51200)/968,(242700+6615900+210600)/29168,(548000+28918900+669300)/112268,(788800+77705000+1670200)/271868,(968000+163268700+3427100)/541268)</f>
        <v>380.645428836601</v>
      </c>
      <c r="D42" s="15" t="n">
        <f aca="false">+$C$42*D47</f>
        <v>241277.126248893</v>
      </c>
      <c r="E42" s="15" t="n">
        <f aca="false">+$C$42*E47</f>
        <v>2485154.40036359</v>
      </c>
      <c r="F42" s="15" t="n">
        <f aca="false">+$C$42*F47</f>
        <v>5119418.064749</v>
      </c>
      <c r="G42" s="15" t="n">
        <f aca="false">+$C$42*G47</f>
        <v>10546001.2133829</v>
      </c>
      <c r="H42" s="15" t="n">
        <f aca="false">+$C$42*H47</f>
        <v>21724762.4995689</v>
      </c>
      <c r="I42" s="15" t="n">
        <f aca="false">+$C$42*I47</f>
        <v>33564758.0618339</v>
      </c>
      <c r="J42" s="15" t="n">
        <f aca="false">+$C$42*J47</f>
        <v>34571700.8036889</v>
      </c>
      <c r="K42" s="15" t="n">
        <f aca="false">+$C$42*K47</f>
        <v>35608851.8277996</v>
      </c>
      <c r="L42" s="15" t="n">
        <f aca="false">+$C$42*L47</f>
        <v>36677117.3826336</v>
      </c>
      <c r="M42" s="15" t="n">
        <f aca="false">+$C$42*M47</f>
        <v>37777430.9041126</v>
      </c>
      <c r="N42" s="15" t="n">
        <f aca="false">+$C$42*N47</f>
        <v>38910753.831236</v>
      </c>
      <c r="O42" s="1" t="s">
        <v>197</v>
      </c>
    </row>
    <row r="43" customFormat="false" ht="12.75" hidden="false" customHeight="false" outlineLevel="0" collapsed="false">
      <c r="A43" s="27" t="s">
        <v>210</v>
      </c>
      <c r="B43" s="21" t="s">
        <v>201</v>
      </c>
      <c r="C43" s="19" t="n">
        <v>150</v>
      </c>
      <c r="D43" s="15" t="n">
        <f aca="false">+$C$43*D47</f>
        <v>95079.4786842687</v>
      </c>
      <c r="E43" s="15" t="n">
        <f aca="false">+$C$43*E47</f>
        <v>979318.630447968</v>
      </c>
      <c r="F43" s="15" t="n">
        <f aca="false">+$C$43*F47</f>
        <v>2017396.37872281</v>
      </c>
      <c r="G43" s="15" t="n">
        <f aca="false">+$C$43*G47</f>
        <v>4155836.540169</v>
      </c>
      <c r="H43" s="15" t="n">
        <f aca="false">+$C$43*H47</f>
        <v>8561023.27274813</v>
      </c>
      <c r="I43" s="15" t="n">
        <f aca="false">+$C$43*I47</f>
        <v>13226780.9563959</v>
      </c>
      <c r="J43" s="15" t="n">
        <f aca="false">+$C$43*J47</f>
        <v>13623584.3850877</v>
      </c>
      <c r="K43" s="15" t="n">
        <f aca="false">+$C$43*K47</f>
        <v>14032291.9166404</v>
      </c>
      <c r="L43" s="15" t="n">
        <f aca="false">+$C$43*L47</f>
        <v>14453260.6741396</v>
      </c>
      <c r="M43" s="15" t="n">
        <f aca="false">+$C$43*M47</f>
        <v>14886858.4943638</v>
      </c>
      <c r="N43" s="15" t="n">
        <f aca="false">+$C$43*N47</f>
        <v>15333464.2491947</v>
      </c>
      <c r="O43" s="1" t="s">
        <v>197</v>
      </c>
    </row>
    <row r="44" customFormat="false" ht="12.75" hidden="false" customHeight="false" outlineLevel="0" collapsed="false">
      <c r="A44" s="27" t="s">
        <v>211</v>
      </c>
      <c r="B44" s="21" t="s">
        <v>23</v>
      </c>
      <c r="C44" s="93" t="n">
        <v>0.01</v>
      </c>
      <c r="D44" s="94" t="n">
        <f aca="false">MIN(+Revenue!D63*$C$44,1000000)</f>
        <v>28979.803125</v>
      </c>
      <c r="E44" s="94" t="n">
        <f aca="false">MIN(+Revenue!E63*$C$44,1000000)</f>
        <v>308684.867797755</v>
      </c>
      <c r="F44" s="94" t="n">
        <f aca="false">MIN(+Revenue!F63*$C$44,1000000)</f>
        <v>765859.179587561</v>
      </c>
      <c r="G44" s="94" t="n">
        <f aca="false">MIN(+Revenue!G63*$C$44,1000000)</f>
        <v>1000000</v>
      </c>
      <c r="H44" s="94" t="n">
        <f aca="false">MIN(+Revenue!H63*$C$44,1000000)</f>
        <v>1000000</v>
      </c>
      <c r="I44" s="94" t="n">
        <f aca="false">MIN(+Revenue!I63*$C$44,1000000)</f>
        <v>1000000</v>
      </c>
      <c r="J44" s="94" t="n">
        <f aca="false">MIN(+Revenue!J63*$C$44,1000000)</f>
        <v>1000000</v>
      </c>
      <c r="K44" s="94" t="n">
        <f aca="false">MIN(+Revenue!K63*$C$44,1000000)</f>
        <v>1000000</v>
      </c>
      <c r="L44" s="94" t="n">
        <f aca="false">MIN(+Revenue!L63*$C$44,1000000)</f>
        <v>1000000</v>
      </c>
      <c r="M44" s="94" t="n">
        <f aca="false">MIN(+Revenue!M63*$C$44,1000000)</f>
        <v>1000000</v>
      </c>
      <c r="N44" s="94" t="n">
        <f aca="false">MIN(+Revenue!N63*$C$44,1000000)</f>
        <v>1000000</v>
      </c>
      <c r="O44" s="45"/>
    </row>
    <row r="45" customFormat="false" ht="13.5" hidden="false" customHeight="false" outlineLevel="0" collapsed="false">
      <c r="A45" s="4" t="str">
        <f aca="false">Revenue!A$1</f>
        <v>PERIOD</v>
      </c>
      <c r="B45" s="5"/>
      <c r="C45" s="6" t="str">
        <f aca="false">Revenue!C$1</f>
        <v>@</v>
      </c>
      <c r="D45" s="6" t="n">
        <f aca="false">Revenue!D$1</f>
        <v>0</v>
      </c>
      <c r="E45" s="6" t="n">
        <f aca="false">Revenue!E$1</f>
        <v>1</v>
      </c>
      <c r="F45" s="6" t="n">
        <f aca="false">Revenue!F$1</f>
        <v>2</v>
      </c>
      <c r="G45" s="6" t="n">
        <f aca="false">Revenue!G$1</f>
        <v>3</v>
      </c>
      <c r="H45" s="6" t="n">
        <f aca="false">Revenue!H$1</f>
        <v>4</v>
      </c>
      <c r="I45" s="6" t="n">
        <f aca="false">Revenue!I$1</f>
        <v>5</v>
      </c>
      <c r="J45" s="6" t="n">
        <f aca="false">Revenue!J$1</f>
        <v>6</v>
      </c>
      <c r="K45" s="6" t="n">
        <f aca="false">Revenue!K$1</f>
        <v>7</v>
      </c>
      <c r="L45" s="6" t="n">
        <f aca="false">Revenue!L$1</f>
        <v>8</v>
      </c>
      <c r="M45" s="6" t="n">
        <f aca="false">Revenue!M$1</f>
        <v>9</v>
      </c>
      <c r="N45" s="6" t="n">
        <f aca="false">Revenue!N$1</f>
        <v>10</v>
      </c>
      <c r="O45" s="1"/>
    </row>
    <row r="46" customFormat="false" ht="15" hidden="false" customHeight="false" outlineLevel="0" collapsed="false">
      <c r="A46" s="67" t="s">
        <v>212</v>
      </c>
      <c r="B46" s="67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95"/>
      <c r="O46" s="1"/>
    </row>
    <row r="47" customFormat="false" ht="12.75" hidden="false" customHeight="false" outlineLevel="0" collapsed="false">
      <c r="A47" s="27" t="s">
        <v>213</v>
      </c>
      <c r="B47" s="21" t="s">
        <v>67</v>
      </c>
      <c r="C47" s="9"/>
      <c r="D47" s="15" t="n">
        <f aca="false">+Capacity!$D$25*Revenue!D12</f>
        <v>633.863191228458</v>
      </c>
      <c r="E47" s="15" t="n">
        <f aca="false">+Capacity!$D$25*Revenue!E12</f>
        <v>6528.79086965312</v>
      </c>
      <c r="F47" s="15" t="n">
        <f aca="false">+Capacity!$D$25*Revenue!F12</f>
        <v>13449.3091914854</v>
      </c>
      <c r="G47" s="15" t="n">
        <f aca="false">+Capacity!$D$25*Revenue!G12</f>
        <v>27705.57693446</v>
      </c>
      <c r="H47" s="15" t="n">
        <f aca="false">+Capacity!$D$25*Revenue!H12</f>
        <v>57073.4884849876</v>
      </c>
      <c r="I47" s="15" t="n">
        <f aca="false">+Capacity!$D$25*Revenue!I12</f>
        <v>88178.5397093058</v>
      </c>
      <c r="J47" s="15" t="n">
        <f aca="false">+Capacity!$D$25*Revenue!J12</f>
        <v>90823.895900585</v>
      </c>
      <c r="K47" s="15" t="n">
        <f aca="false">+Capacity!$D$25*Revenue!K12</f>
        <v>93548.6127776025</v>
      </c>
      <c r="L47" s="15" t="n">
        <f aca="false">+Capacity!$D$25*Revenue!L12</f>
        <v>96355.0711609306</v>
      </c>
      <c r="M47" s="15" t="n">
        <f aca="false">+Capacity!$D$25*Revenue!M12</f>
        <v>99245.7232957585</v>
      </c>
      <c r="N47" s="15" t="n">
        <f aca="false">+Capacity!$D$25*Revenue!N12</f>
        <v>102223.094994631</v>
      </c>
      <c r="O47" s="1" t="s">
        <v>214</v>
      </c>
    </row>
    <row r="48" customFormat="false" ht="12.75" hidden="false" customHeight="false" outlineLevel="0" collapsed="false">
      <c r="A48" s="27" t="s">
        <v>215</v>
      </c>
      <c r="B48" s="21" t="s">
        <v>216</v>
      </c>
      <c r="C48" s="1"/>
      <c r="D48" s="15" t="n">
        <f aca="false">+D47-C47</f>
        <v>633.863191228458</v>
      </c>
      <c r="E48" s="15" t="n">
        <f aca="false">+E47-D47</f>
        <v>5894.92767842466</v>
      </c>
      <c r="F48" s="15" t="n">
        <f aca="false">+F47-E47</f>
        <v>6920.51832183231</v>
      </c>
      <c r="G48" s="15" t="n">
        <f aca="false">+G47-F47</f>
        <v>14256.2677429746</v>
      </c>
      <c r="H48" s="15" t="n">
        <f aca="false">+H47-G47</f>
        <v>29367.9115505276</v>
      </c>
      <c r="I48" s="15" t="n">
        <f aca="false">+I47-H47</f>
        <v>31105.0512243182</v>
      </c>
      <c r="J48" s="15" t="n">
        <f aca="false">+J47-I47</f>
        <v>2645.35619127918</v>
      </c>
      <c r="K48" s="15" t="n">
        <f aca="false">+K47-J47</f>
        <v>2724.71687701756</v>
      </c>
      <c r="L48" s="15" t="n">
        <f aca="false">+L47-K47</f>
        <v>2806.45838332806</v>
      </c>
      <c r="M48" s="15" t="n">
        <f aca="false">+M47-L47</f>
        <v>2890.65213482792</v>
      </c>
      <c r="N48" s="15" t="n">
        <f aca="false">+N47-M47</f>
        <v>2977.37169887277</v>
      </c>
      <c r="O48" s="1"/>
    </row>
    <row r="49" customFormat="false" ht="12.75" hidden="false" customHeight="false" outlineLevel="0" collapsed="false">
      <c r="A49" s="27" t="s">
        <v>217</v>
      </c>
      <c r="B49" s="21" t="s">
        <v>218</v>
      </c>
      <c r="C49" s="1"/>
      <c r="D49" s="19" t="n">
        <v>6</v>
      </c>
      <c r="E49" s="19" t="n">
        <v>5</v>
      </c>
      <c r="F49" s="19" t="n">
        <v>4</v>
      </c>
      <c r="G49" s="19" t="n">
        <v>3</v>
      </c>
      <c r="H49" s="15" t="n">
        <f aca="false">+G49</f>
        <v>3</v>
      </c>
      <c r="I49" s="15" t="n">
        <f aca="false">+H49</f>
        <v>3</v>
      </c>
      <c r="J49" s="15" t="n">
        <f aca="false">+I49</f>
        <v>3</v>
      </c>
      <c r="K49" s="15" t="n">
        <f aca="false">+J49</f>
        <v>3</v>
      </c>
      <c r="L49" s="15" t="n">
        <f aca="false">+K49</f>
        <v>3</v>
      </c>
      <c r="M49" s="15" t="n">
        <f aca="false">+L49</f>
        <v>3</v>
      </c>
      <c r="N49" s="15" t="n">
        <f aca="false">+M49</f>
        <v>3</v>
      </c>
      <c r="O49" s="1" t="s">
        <v>219</v>
      </c>
    </row>
    <row r="50" customFormat="false" ht="12.75" hidden="false" customHeight="false" outlineLevel="0" collapsed="false">
      <c r="A50" s="27" t="s">
        <v>220</v>
      </c>
      <c r="B50" s="21" t="s">
        <v>216</v>
      </c>
      <c r="C50" s="1"/>
      <c r="D50" s="19" t="n">
        <f aca="false">+D48+E48/12*D49</f>
        <v>3581.32703044079</v>
      </c>
      <c r="E50" s="19" t="n">
        <f aca="false">F48/12*E49+E48/12*(12-E49)</f>
        <v>6322.25711317785</v>
      </c>
      <c r="F50" s="15" t="n">
        <f aca="false">G48/12*F49+F48/12*(12-F49)</f>
        <v>9365.76812887972</v>
      </c>
      <c r="G50" s="15" t="n">
        <f aca="false">H48/12*G49+G48/12*(12-G49)</f>
        <v>18034.1786948628</v>
      </c>
      <c r="H50" s="15" t="n">
        <f aca="false">I48/12*H49+H48/12*(12-H49)</f>
        <v>29802.1964689752</v>
      </c>
      <c r="I50" s="15" t="n">
        <f aca="false">J48/12*I49+I48/12*(12-I49)</f>
        <v>23990.1274660585</v>
      </c>
      <c r="J50" s="15" t="n">
        <f aca="false">K48/12*J49+J48/12*(12-J49)</f>
        <v>2665.19636271377</v>
      </c>
      <c r="K50" s="15" t="n">
        <f aca="false">L48/12*K49+K48/12*(12-K49)</f>
        <v>2745.15225359519</v>
      </c>
      <c r="L50" s="15" t="n">
        <f aca="false">M48/12*L49+L48/12*(12-L49)</f>
        <v>2827.50682120303</v>
      </c>
      <c r="M50" s="15" t="n">
        <f aca="false">N48/12*M49+M48/12*(12-M49)</f>
        <v>2912.33202583913</v>
      </c>
      <c r="N50" s="15" t="n">
        <f aca="false">O48/12*N49+N48/12*(12-N49)</f>
        <v>2233.02877415458</v>
      </c>
      <c r="O50" s="1"/>
    </row>
    <row r="51" customFormat="false" ht="12.75" hidden="false" customHeight="false" outlineLevel="0" collapsed="false">
      <c r="A51" s="27" t="s">
        <v>221</v>
      </c>
      <c r="B51" s="21" t="s">
        <v>201</v>
      </c>
      <c r="C51" s="1"/>
      <c r="D51" s="19" t="n">
        <v>7127</v>
      </c>
      <c r="E51" s="19" t="n">
        <v>5040</v>
      </c>
      <c r="F51" s="19" t="n">
        <v>4504</v>
      </c>
      <c r="G51" s="19" t="n">
        <v>4187</v>
      </c>
      <c r="H51" s="19" t="n">
        <v>4006</v>
      </c>
      <c r="I51" s="19" t="n">
        <v>3834</v>
      </c>
      <c r="J51" s="15" t="n">
        <f aca="false">+I51</f>
        <v>3834</v>
      </c>
      <c r="K51" s="15" t="n">
        <f aca="false">+J51</f>
        <v>3834</v>
      </c>
      <c r="L51" s="15" t="n">
        <f aca="false">+K51</f>
        <v>3834</v>
      </c>
      <c r="M51" s="15" t="n">
        <f aca="false">+L51</f>
        <v>3834</v>
      </c>
      <c r="N51" s="15" t="n">
        <f aca="false">+M51</f>
        <v>3834</v>
      </c>
      <c r="O51" s="1"/>
    </row>
    <row r="52" customFormat="false" ht="12.75" hidden="false" customHeight="false" outlineLevel="0" collapsed="false">
      <c r="A52" s="27" t="s">
        <v>222</v>
      </c>
      <c r="B52" s="21" t="s">
        <v>23</v>
      </c>
      <c r="C52" s="21"/>
      <c r="D52" s="96" t="n">
        <f aca="false">+D51*D50-D53</f>
        <v>21006574.7820663</v>
      </c>
      <c r="E52" s="96" t="n">
        <f aca="false">+E51*E50</f>
        <v>31864175.8504164</v>
      </c>
      <c r="F52" s="96" t="n">
        <f aca="false">+F51*F50</f>
        <v>42183419.6524743</v>
      </c>
      <c r="G52" s="96" t="n">
        <f aca="false">+G51*G50</f>
        <v>75509106.1953906</v>
      </c>
      <c r="H52" s="96" t="n">
        <f aca="false">+H51*H50</f>
        <v>119387599.054715</v>
      </c>
      <c r="I52" s="96" t="n">
        <f aca="false">+I51*I50</f>
        <v>91978148.7048681</v>
      </c>
      <c r="J52" s="96" t="n">
        <f aca="false">+J51*J50</f>
        <v>10218362.8546446</v>
      </c>
      <c r="K52" s="96" t="n">
        <f aca="false">+K51*K50</f>
        <v>10524913.740284</v>
      </c>
      <c r="L52" s="96" t="n">
        <f aca="false">+L51*L50</f>
        <v>10840661.1524924</v>
      </c>
      <c r="M52" s="96" t="n">
        <f aca="false">+M51*M50</f>
        <v>11165880.9870672</v>
      </c>
      <c r="N52" s="96" t="n">
        <f aca="false">+N51*N50</f>
        <v>8561432.32010865</v>
      </c>
      <c r="O52" s="45" t="n">
        <f aca="false">SUM(D52:N52)</f>
        <v>433240275.294527</v>
      </c>
    </row>
    <row r="53" customFormat="false" ht="12.75" hidden="false" customHeight="false" outlineLevel="0" collapsed="false">
      <c r="A53" s="1" t="s">
        <v>223</v>
      </c>
      <c r="B53" s="97" t="s">
        <v>23</v>
      </c>
      <c r="C53" s="70"/>
      <c r="D53" s="19" t="n">
        <f aca="false">+D47*D51</f>
        <v>4517542.96388522</v>
      </c>
      <c r="E53" s="15" t="n">
        <v>0</v>
      </c>
      <c r="F53" s="15" t="n">
        <v>0</v>
      </c>
      <c r="G53" s="15" t="n">
        <v>0</v>
      </c>
      <c r="H53" s="15" t="n">
        <v>0</v>
      </c>
      <c r="I53" s="15" t="n">
        <v>0</v>
      </c>
      <c r="J53" s="15" t="n">
        <v>0</v>
      </c>
      <c r="K53" s="15" t="n">
        <v>0</v>
      </c>
      <c r="L53" s="15" t="n">
        <v>0</v>
      </c>
      <c r="M53" s="15" t="n">
        <v>0</v>
      </c>
      <c r="N53" s="15" t="n">
        <v>0</v>
      </c>
      <c r="O53" s="45" t="n">
        <f aca="false">SUM(D53:N53)</f>
        <v>4517542.96388522</v>
      </c>
    </row>
    <row r="54" customFormat="false" ht="12.75" hidden="false" customHeight="false" outlineLevel="0" collapsed="false">
      <c r="A54" s="1" t="s">
        <v>224</v>
      </c>
      <c r="B54" s="97" t="s">
        <v>225</v>
      </c>
      <c r="C54" s="70"/>
      <c r="D54" s="19" t="n">
        <v>12</v>
      </c>
      <c r="E54" s="15" t="n">
        <f aca="false">+D54</f>
        <v>12</v>
      </c>
      <c r="F54" s="15" t="n">
        <f aca="false">+E54</f>
        <v>12</v>
      </c>
      <c r="G54" s="15" t="n">
        <f aca="false">+F54</f>
        <v>12</v>
      </c>
      <c r="H54" s="15" t="n">
        <f aca="false">+G54</f>
        <v>12</v>
      </c>
      <c r="I54" s="15" t="n">
        <f aca="false">+H54</f>
        <v>12</v>
      </c>
      <c r="J54" s="15" t="n">
        <f aca="false">+I54</f>
        <v>12</v>
      </c>
      <c r="K54" s="15" t="n">
        <f aca="false">+J54</f>
        <v>12</v>
      </c>
      <c r="L54" s="15" t="n">
        <f aca="false">+K54</f>
        <v>12</v>
      </c>
      <c r="M54" s="15" t="n">
        <f aca="false">+L54</f>
        <v>12</v>
      </c>
      <c r="N54" s="15" t="n">
        <f aca="false">+M54</f>
        <v>12</v>
      </c>
      <c r="O54" s="1" t="n">
        <f aca="false">+O53+O52</f>
        <v>437757818.258413</v>
      </c>
    </row>
    <row r="55" customFormat="false" ht="12.75" hidden="false" customHeight="false" outlineLevel="0" collapsed="false">
      <c r="A55" s="1" t="s">
        <v>226</v>
      </c>
      <c r="B55" s="97" t="s">
        <v>23</v>
      </c>
      <c r="C55" s="19" t="n">
        <v>5</v>
      </c>
      <c r="D55" s="15" t="n">
        <f aca="false">((D53+D52)/$C$55)</f>
        <v>5104823.5491903</v>
      </c>
      <c r="E55" s="15" t="n">
        <f aca="false">((E53+E52)/$C$55)+D55</f>
        <v>11477658.7192736</v>
      </c>
      <c r="F55" s="15" t="n">
        <f aca="false">((F53+F52)/$C$55)+E55</f>
        <v>19914342.6497684</v>
      </c>
      <c r="G55" s="15" t="n">
        <f aca="false">((G53+G52)/$C$55)+F55</f>
        <v>35016163.8888466</v>
      </c>
      <c r="H55" s="15" t="n">
        <f aca="false">((H53+H52)/$C$55)+G55</f>
        <v>58893683.6997895</v>
      </c>
      <c r="I55" s="15" t="n">
        <f aca="false">((I53+I52)/$C$55)+H55-SUM(D52:D53)/$C$55</f>
        <v>72184489.8915728</v>
      </c>
      <c r="J55" s="15" t="n">
        <f aca="false">((J53+J52)/$C$55)+I55-SUM(E52:E53)/$C$55</f>
        <v>67855327.2924185</v>
      </c>
      <c r="K55" s="15" t="n">
        <f aca="false">((K53+K52)/$C$55)+J55-SUM(F52:F53)/$C$55</f>
        <v>61523626.1099804</v>
      </c>
      <c r="L55" s="15" t="n">
        <f aca="false">((L53+L52)/$C$55)+K55-SUM(G52:G53)/$C$55</f>
        <v>48589937.1014008</v>
      </c>
      <c r="M55" s="15" t="n">
        <f aca="false">((M53+M52)/$C$55)+L55-SUM(H52:H53)/$C$55</f>
        <v>26945593.4878713</v>
      </c>
      <c r="N55" s="15" t="n">
        <f aca="false">((N53+N52)/$C$55)+M55-SUM(I52:I53)/$C$55</f>
        <v>10262250.2109194</v>
      </c>
      <c r="O55" s="1" t="n">
        <f aca="false">SUM(C55:N55)</f>
        <v>417767901.601031</v>
      </c>
    </row>
    <row r="56" customFormat="false" ht="15" hidden="false" customHeight="false" outlineLevel="0" collapsed="false">
      <c r="A56" s="98" t="s">
        <v>227</v>
      </c>
      <c r="B56" s="99"/>
      <c r="C56" s="100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101"/>
      <c r="O56" s="1"/>
    </row>
    <row r="57" customFormat="false" ht="12.75" hidden="false" customHeight="false" outlineLevel="0" collapsed="false">
      <c r="A57" s="102" t="str">
        <f aca="false">+A20</f>
        <v>Total revenue share</v>
      </c>
      <c r="B57" s="103" t="s">
        <v>23</v>
      </c>
      <c r="C57" s="104"/>
      <c r="D57" s="105" t="n">
        <f aca="false">+D20</f>
        <v>741796.453125</v>
      </c>
      <c r="E57" s="105" t="n">
        <f aca="false">+E20</f>
        <v>6869492.16448475</v>
      </c>
      <c r="F57" s="105" t="n">
        <f aca="false">+F20</f>
        <v>17844161.0290781</v>
      </c>
      <c r="G57" s="105" t="n">
        <f aca="false">+G20</f>
        <v>35189617.6857489</v>
      </c>
      <c r="H57" s="105" t="n">
        <f aca="false">+H20</f>
        <v>70713229.0340552</v>
      </c>
      <c r="I57" s="105" t="n">
        <f aca="false">+I20</f>
        <v>118117621.884447</v>
      </c>
      <c r="J57" s="105" t="n">
        <f aca="false">+J20</f>
        <v>147665614.802614</v>
      </c>
      <c r="K57" s="105" t="n">
        <f aca="false">+K20</f>
        <v>146814701.590295</v>
      </c>
      <c r="L57" s="105" t="n">
        <f aca="false">+L20</f>
        <v>150357874.250082</v>
      </c>
      <c r="M57" s="105" t="n">
        <f aca="false">+M20</f>
        <v>154337953.238206</v>
      </c>
      <c r="N57" s="106" t="n">
        <f aca="false">+N20</f>
        <v>158426584.380532</v>
      </c>
      <c r="O57" s="1"/>
    </row>
    <row r="58" customFormat="false" ht="12.75" hidden="false" customHeight="false" outlineLevel="0" collapsed="false">
      <c r="A58" s="102" t="str">
        <f aca="false">+A29</f>
        <v>Electricity cost</v>
      </c>
      <c r="B58" s="103" t="s">
        <v>23</v>
      </c>
      <c r="C58" s="104"/>
      <c r="D58" s="105" t="n">
        <f aca="false">+D29</f>
        <v>598382.694</v>
      </c>
      <c r="E58" s="105" t="n">
        <f aca="false">+E29</f>
        <v>6465698.59704977</v>
      </c>
      <c r="F58" s="105" t="n">
        <f aca="false">+F29</f>
        <v>16886165.7913408</v>
      </c>
      <c r="G58" s="105" t="n">
        <f aca="false">+G29</f>
        <v>33323206.5353664</v>
      </c>
      <c r="H58" s="105" t="n">
        <f aca="false">+H29</f>
        <v>67067723.5402027</v>
      </c>
      <c r="I58" s="105" t="n">
        <f aca="false">+I29</f>
        <v>112495530.146315</v>
      </c>
      <c r="J58" s="105" t="n">
        <f aca="false">+J29</f>
        <v>141606725.730114</v>
      </c>
      <c r="K58" s="105" t="n">
        <f aca="false">+K29</f>
        <v>141507201.415514</v>
      </c>
      <c r="L58" s="105" t="n">
        <f aca="false">+L29</f>
        <v>146051802.375656</v>
      </c>
      <c r="M58" s="105" t="n">
        <f aca="false">+M29</f>
        <v>151581859.100158</v>
      </c>
      <c r="N58" s="106" t="n">
        <f aca="false">+N29</f>
        <v>158056838.256739</v>
      </c>
      <c r="O58" s="1"/>
    </row>
    <row r="59" customFormat="false" ht="12.75" hidden="false" customHeight="false" outlineLevel="0" collapsed="false">
      <c r="A59" s="102" t="s">
        <v>228</v>
      </c>
      <c r="B59" s="103" t="s">
        <v>23</v>
      </c>
      <c r="C59" s="104"/>
      <c r="D59" s="105" t="n">
        <f aca="false">SUM(D34:D44)</f>
        <v>912893.992145517</v>
      </c>
      <c r="E59" s="105" t="n">
        <f aca="false">SUM(E34:E44)</f>
        <v>9191148.89777912</v>
      </c>
      <c r="F59" s="105" t="n">
        <f aca="false">SUM(F34:F44)</f>
        <v>17235673.6378463</v>
      </c>
      <c r="G59" s="105" t="n">
        <f aca="false">SUM(G34:G44)</f>
        <v>34927817.784013</v>
      </c>
      <c r="H59" s="105" t="n">
        <f aca="false">SUM(H34:H44)</f>
        <v>70891304.6350668</v>
      </c>
      <c r="I59" s="105" t="n">
        <f aca="false">SUM(I34:I44)</f>
        <v>103988135.418742</v>
      </c>
      <c r="J59" s="105" t="n">
        <f aca="false">SUM(J34:J44)</f>
        <v>96790283.181885</v>
      </c>
      <c r="K59" s="105" t="n">
        <f aca="false">SUM(K34:K44)</f>
        <v>99663991.6773416</v>
      </c>
      <c r="L59" s="105" t="n">
        <f aca="false">SUM(L34:L44)</f>
        <v>102623911.427662</v>
      </c>
      <c r="M59" s="105" t="n">
        <f aca="false">SUM(M34:M44)</f>
        <v>105672628.770492</v>
      </c>
      <c r="N59" s="106" t="n">
        <f aca="false">SUM(N34:N44)</f>
        <v>108812807.633606</v>
      </c>
      <c r="O59" s="1"/>
    </row>
    <row r="60" customFormat="false" ht="15" hidden="false" customHeight="false" outlineLevel="0" collapsed="false">
      <c r="A60" s="102" t="s">
        <v>2</v>
      </c>
      <c r="B60" s="103" t="s">
        <v>23</v>
      </c>
      <c r="C60" s="104"/>
      <c r="D60" s="107" t="n">
        <f aca="false">+D55</f>
        <v>5104823.5491903</v>
      </c>
      <c r="E60" s="107" t="n">
        <f aca="false">+E55</f>
        <v>11477658.7192736</v>
      </c>
      <c r="F60" s="107" t="n">
        <f aca="false">+F55</f>
        <v>19914342.6497684</v>
      </c>
      <c r="G60" s="107" t="n">
        <f aca="false">+G55</f>
        <v>35016163.8888466</v>
      </c>
      <c r="H60" s="107" t="n">
        <f aca="false">+H55</f>
        <v>58893683.6997895</v>
      </c>
      <c r="I60" s="107" t="n">
        <f aca="false">+I55</f>
        <v>72184489.8915728</v>
      </c>
      <c r="J60" s="107" t="n">
        <f aca="false">+J55</f>
        <v>67855327.2924185</v>
      </c>
      <c r="K60" s="107" t="n">
        <f aca="false">+K55</f>
        <v>61523626.1099804</v>
      </c>
      <c r="L60" s="107" t="n">
        <f aca="false">+L55</f>
        <v>48589937.1014008</v>
      </c>
      <c r="M60" s="107" t="n">
        <f aca="false">+M55</f>
        <v>26945593.4878713</v>
      </c>
      <c r="N60" s="108" t="n">
        <f aca="false">+N55</f>
        <v>10262250.2109194</v>
      </c>
      <c r="O60" s="1"/>
    </row>
    <row r="61" customFormat="false" ht="12.75" hidden="false" customHeight="false" outlineLevel="0" collapsed="false">
      <c r="A61" s="109" t="s">
        <v>229</v>
      </c>
      <c r="B61" s="110" t="s">
        <v>23</v>
      </c>
      <c r="C61" s="111"/>
      <c r="D61" s="112" t="n">
        <f aca="false">SUM(D57:D60)</f>
        <v>7357896.68846082</v>
      </c>
      <c r="E61" s="112" t="n">
        <f aca="false">SUM(E57:E60)</f>
        <v>34003998.3785872</v>
      </c>
      <c r="F61" s="112" t="n">
        <f aca="false">SUM(F57:F60)</f>
        <v>71880343.1080336</v>
      </c>
      <c r="G61" s="112" t="n">
        <f aca="false">SUM(G57:G60)</f>
        <v>138456805.893975</v>
      </c>
      <c r="H61" s="112" t="n">
        <f aca="false">SUM(H57:H60)</f>
        <v>267565940.909114</v>
      </c>
      <c r="I61" s="112" t="n">
        <f aca="false">SUM(I57:I60)</f>
        <v>406785777.341077</v>
      </c>
      <c r="J61" s="112" t="n">
        <f aca="false">SUM(J57:J60)</f>
        <v>453917951.007032</v>
      </c>
      <c r="K61" s="112" t="n">
        <f aca="false">SUM(K57:K60)</f>
        <v>449509520.793131</v>
      </c>
      <c r="L61" s="112" t="n">
        <f aca="false">SUM(L57:L60)</f>
        <v>447623525.154801</v>
      </c>
      <c r="M61" s="112" t="n">
        <f aca="false">SUM(M57:M60)</f>
        <v>438538034.596727</v>
      </c>
      <c r="N61" s="113" t="n">
        <f aca="false">SUM(N57:N60)</f>
        <v>435558480.481796</v>
      </c>
    </row>
    <row r="62" customFormat="false" ht="12.75" hidden="false" customHeight="false" outlineLevel="0" collapsed="false"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</row>
  </sheetData>
  <printOptions headings="false" gridLines="false" gridLinesSet="true" horizontalCentered="true" verticalCentered="false"/>
  <pageMargins left="0.25" right="0.25" top="1.19027777777778" bottom="0.984027777777778" header="0.5" footer="0.5"/>
  <pageSetup paperSize="1" scale="89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&amp;C&amp;"Tw Cen MT Condensed,Bold"XTRANSCO ECONOMIC ANALYSIS
Costs</oddHeader>
    <oddFooter>&amp;C&amp;"Tw Cen MT Condensed,Regular"&amp;P</oddFooter>
  </headerFooter>
  <rowBreaks count="1" manualBreakCount="1">
    <brk id="44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4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D10" activeCellId="0" sqref="D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1.7"/>
    <col collapsed="false" customWidth="true" hidden="false" outlineLevel="0" max="2" min="2" style="2" width="10.28"/>
    <col collapsed="false" customWidth="true" hidden="false" outlineLevel="0" max="3" min="3" style="3" width="7.56"/>
    <col collapsed="false" customWidth="true" hidden="false" outlineLevel="0" max="4" min="4" style="3" width="7.28"/>
    <col collapsed="false" customWidth="true" hidden="false" outlineLevel="0" max="5" min="5" style="3" width="7.42"/>
    <col collapsed="false" customWidth="false" hidden="false" outlineLevel="0" max="257" min="6" style="3" width="9.14"/>
  </cols>
  <sheetData>
    <row r="1" customFormat="false" ht="13.5" hidden="false" customHeight="false" outlineLevel="0" collapsed="false">
      <c r="A1" s="114" t="s">
        <v>230</v>
      </c>
      <c r="B1" s="115"/>
      <c r="C1" s="116" t="s">
        <v>231</v>
      </c>
      <c r="D1" s="116" t="s">
        <v>232</v>
      </c>
      <c r="E1" s="116" t="s">
        <v>233</v>
      </c>
    </row>
    <row r="2" customFormat="false" ht="12.75" hidden="false" customHeight="false" outlineLevel="0" collapsed="false">
      <c r="A2" s="84"/>
      <c r="B2" s="117"/>
      <c r="C2" s="118"/>
      <c r="D2" s="118"/>
      <c r="E2" s="118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60"/>
      <c r="FE2" s="60"/>
      <c r="FF2" s="60"/>
      <c r="FG2" s="60"/>
      <c r="FH2" s="60"/>
      <c r="FI2" s="60"/>
      <c r="FJ2" s="60"/>
      <c r="FK2" s="60"/>
      <c r="FL2" s="60"/>
      <c r="FM2" s="60"/>
      <c r="FN2" s="60"/>
      <c r="FO2" s="60"/>
      <c r="FP2" s="60"/>
      <c r="FQ2" s="60"/>
      <c r="FR2" s="60"/>
      <c r="FS2" s="60"/>
      <c r="FT2" s="60"/>
      <c r="FU2" s="60"/>
      <c r="FV2" s="60"/>
      <c r="FW2" s="60"/>
      <c r="FX2" s="60"/>
      <c r="FY2" s="60"/>
      <c r="FZ2" s="60"/>
      <c r="GA2" s="60"/>
      <c r="GB2" s="60"/>
      <c r="GC2" s="60"/>
      <c r="GD2" s="60"/>
      <c r="GE2" s="60"/>
      <c r="GF2" s="60"/>
      <c r="GG2" s="60"/>
      <c r="GH2" s="60"/>
      <c r="GI2" s="60"/>
      <c r="GJ2" s="60"/>
      <c r="GK2" s="60"/>
      <c r="GL2" s="60"/>
      <c r="GM2" s="60"/>
      <c r="GN2" s="60"/>
      <c r="GO2" s="60"/>
      <c r="GP2" s="60"/>
      <c r="GQ2" s="60"/>
      <c r="GR2" s="60"/>
      <c r="GS2" s="60"/>
      <c r="GT2" s="60"/>
      <c r="GU2" s="60"/>
      <c r="GV2" s="60"/>
      <c r="GW2" s="60"/>
      <c r="GX2" s="60"/>
      <c r="GY2" s="60"/>
      <c r="GZ2" s="60"/>
      <c r="HA2" s="60"/>
      <c r="HB2" s="60"/>
      <c r="HC2" s="60"/>
      <c r="HD2" s="60"/>
      <c r="HE2" s="60"/>
      <c r="HF2" s="60"/>
      <c r="HG2" s="60"/>
      <c r="HH2" s="60"/>
      <c r="HI2" s="60"/>
      <c r="HJ2" s="60"/>
      <c r="HK2" s="60"/>
      <c r="HL2" s="60"/>
      <c r="HM2" s="60"/>
      <c r="HN2" s="60"/>
      <c r="HO2" s="60"/>
      <c r="HP2" s="60"/>
      <c r="HQ2" s="60"/>
      <c r="HR2" s="60"/>
      <c r="HS2" s="60"/>
      <c r="HT2" s="60"/>
      <c r="HU2" s="60"/>
      <c r="HV2" s="60"/>
      <c r="HW2" s="60"/>
      <c r="HX2" s="60"/>
      <c r="HY2" s="60"/>
      <c r="HZ2" s="60"/>
      <c r="IA2" s="60"/>
      <c r="IB2" s="60"/>
      <c r="IC2" s="60"/>
      <c r="ID2" s="60"/>
      <c r="IE2" s="60"/>
      <c r="IF2" s="60"/>
      <c r="IG2" s="60"/>
      <c r="IH2" s="60"/>
      <c r="II2" s="60"/>
      <c r="IJ2" s="60"/>
      <c r="IK2" s="60"/>
      <c r="IL2" s="60"/>
      <c r="IM2" s="60"/>
      <c r="IN2" s="60"/>
      <c r="IO2" s="60"/>
      <c r="IP2" s="60"/>
      <c r="IQ2" s="60"/>
      <c r="IR2" s="60"/>
      <c r="IS2" s="60"/>
      <c r="IT2" s="60"/>
      <c r="IU2" s="60"/>
      <c r="IV2" s="60"/>
      <c r="IW2" s="60"/>
    </row>
    <row r="3" customFormat="false" ht="12.75" hidden="false" customHeight="false" outlineLevel="0" collapsed="false">
      <c r="A3" s="84" t="s">
        <v>234</v>
      </c>
      <c r="B3" s="84"/>
      <c r="C3" s="84"/>
      <c r="D3" s="84"/>
      <c r="E3" s="84"/>
    </row>
    <row r="4" customFormat="false" ht="12.75" hidden="false" customHeight="false" outlineLevel="0" collapsed="false">
      <c r="A4" s="119" t="s">
        <v>235</v>
      </c>
      <c r="B4" s="120" t="s">
        <v>93</v>
      </c>
      <c r="C4" s="121" t="n">
        <v>305</v>
      </c>
      <c r="D4" s="122" t="n">
        <f aca="false">AVERAGE(C4,E4)</f>
        <v>273</v>
      </c>
      <c r="E4" s="121" t="n">
        <v>241</v>
      </c>
    </row>
    <row r="5" customFormat="false" ht="12.75" hidden="false" customHeight="false" outlineLevel="0" collapsed="false">
      <c r="A5" s="27" t="s">
        <v>236</v>
      </c>
      <c r="B5" s="21" t="s">
        <v>96</v>
      </c>
      <c r="C5" s="79" t="n">
        <f aca="false">24*(1-C6)</f>
        <v>13.3333333333333</v>
      </c>
      <c r="D5" s="1" t="n">
        <f aca="false">AVERAGE(C5,E5)</f>
        <v>13.3333333333333</v>
      </c>
      <c r="E5" s="1" t="n">
        <f aca="false">C5</f>
        <v>13.3333333333333</v>
      </c>
    </row>
    <row r="6" customFormat="false" ht="12.75" hidden="false" customHeight="false" outlineLevel="0" collapsed="false">
      <c r="A6" s="27" t="s">
        <v>237</v>
      </c>
      <c r="B6" s="21" t="s">
        <v>238</v>
      </c>
      <c r="C6" s="72" t="n">
        <f aca="false">8/18</f>
        <v>0.444444444444444</v>
      </c>
      <c r="D6" s="59" t="n">
        <f aca="false">AVERAGE(C6,E6)</f>
        <v>0.444444444444444</v>
      </c>
      <c r="E6" s="59" t="n">
        <f aca="false">C6</f>
        <v>0.444444444444444</v>
      </c>
    </row>
    <row r="7" customFormat="false" ht="12.75" hidden="false" customHeight="false" outlineLevel="0" collapsed="false">
      <c r="A7" s="27" t="s">
        <v>239</v>
      </c>
      <c r="B7" s="21" t="s">
        <v>105</v>
      </c>
      <c r="C7" s="79" t="n">
        <f aca="false">24*C6</f>
        <v>10.6666666666667</v>
      </c>
      <c r="D7" s="1" t="n">
        <f aca="false">AVERAGE(C7,E7)</f>
        <v>10.6666666666667</v>
      </c>
      <c r="E7" s="7" t="n">
        <f aca="false">24-E5</f>
        <v>10.6666666666667</v>
      </c>
    </row>
    <row r="8" customFormat="false" ht="12.75" hidden="false" customHeight="false" outlineLevel="0" collapsed="false">
      <c r="A8" s="27" t="s">
        <v>240</v>
      </c>
      <c r="B8" s="21" t="s">
        <v>58</v>
      </c>
      <c r="C8" s="59" t="n">
        <f aca="false">C9/C7</f>
        <v>0.75</v>
      </c>
      <c r="D8" s="59" t="n">
        <f aca="false">AVERAGE(C8,E8)</f>
        <v>0.65625</v>
      </c>
      <c r="E8" s="59" t="n">
        <f aca="false">E9/E7</f>
        <v>0.5625</v>
      </c>
    </row>
    <row r="9" customFormat="false" ht="12.75" hidden="false" customHeight="false" outlineLevel="0" collapsed="false">
      <c r="A9" s="27" t="s">
        <v>240</v>
      </c>
      <c r="B9" s="21" t="s">
        <v>105</v>
      </c>
      <c r="C9" s="19" t="n">
        <v>8</v>
      </c>
      <c r="D9" s="15" t="n">
        <f aca="false">AVERAGE(C9,E9)</f>
        <v>7</v>
      </c>
      <c r="E9" s="19" t="n">
        <v>6</v>
      </c>
    </row>
    <row r="10" customFormat="false" ht="12.75" hidden="false" customHeight="false" outlineLevel="0" collapsed="false">
      <c r="A10" s="1" t="s">
        <v>241</v>
      </c>
      <c r="B10" s="123" t="s">
        <v>110</v>
      </c>
      <c r="C10" s="79" t="n">
        <v>1.3</v>
      </c>
      <c r="D10" s="1" t="n">
        <f aca="false">AVERAGE(C10,E10)</f>
        <v>1.25</v>
      </c>
      <c r="E10" s="77" t="n">
        <v>1.2</v>
      </c>
    </row>
    <row r="11" customFormat="false" ht="12.75" hidden="false" customHeight="false" outlineLevel="0" collapsed="false">
      <c r="A11" s="124" t="s">
        <v>242</v>
      </c>
      <c r="B11" s="125" t="s">
        <v>116</v>
      </c>
      <c r="C11" s="77" t="n">
        <v>1</v>
      </c>
      <c r="D11" s="126" t="n">
        <f aca="false">AVERAGE(C11,E11)</f>
        <v>0.825</v>
      </c>
      <c r="E11" s="77" t="n">
        <v>0.65</v>
      </c>
    </row>
    <row r="12" customFormat="false" ht="12.75" hidden="false" customHeight="false" outlineLevel="0" collapsed="false">
      <c r="A12" s="29" t="s">
        <v>243</v>
      </c>
      <c r="B12" s="30" t="s">
        <v>121</v>
      </c>
      <c r="C12" s="127" t="n">
        <f aca="false">C13/C9</f>
        <v>1.3</v>
      </c>
      <c r="D12" s="127" t="n">
        <f aca="false">D13/D9</f>
        <v>1.03125</v>
      </c>
      <c r="E12" s="127" t="n">
        <f aca="false">E13/E9</f>
        <v>0.78</v>
      </c>
    </row>
    <row r="13" customFormat="false" ht="12.75" hidden="false" customHeight="false" outlineLevel="0" collapsed="false">
      <c r="A13" s="29" t="s">
        <v>243</v>
      </c>
      <c r="B13" s="30" t="s">
        <v>244</v>
      </c>
      <c r="C13" s="127" t="n">
        <f aca="false">C9*C10*C11</f>
        <v>10.4</v>
      </c>
      <c r="D13" s="127" t="n">
        <f aca="false">D9*D10*D11</f>
        <v>7.21875</v>
      </c>
      <c r="E13" s="127" t="n">
        <f aca="false">E9*E10*E11</f>
        <v>4.68</v>
      </c>
    </row>
    <row r="14" customFormat="false" ht="13.5" hidden="false" customHeight="false" outlineLevel="0" collapsed="false">
      <c r="A14" s="128" t="s">
        <v>243</v>
      </c>
      <c r="B14" s="129" t="s">
        <v>123</v>
      </c>
      <c r="C14" s="130" t="n">
        <f aca="false">C11*C10*C9*C4</f>
        <v>3172</v>
      </c>
      <c r="D14" s="130" t="n">
        <f aca="false">D11*D10*D9*D4</f>
        <v>1970.71875</v>
      </c>
      <c r="E14" s="130" t="n">
        <f aca="false">E11*E10*E9*E4</f>
        <v>1127.88</v>
      </c>
      <c r="H14" s="3" t="s">
        <v>245</v>
      </c>
    </row>
    <row r="15" customFormat="false" ht="12.75" hidden="false" customHeight="false" outlineLevel="0" collapsed="false">
      <c r="A15" s="3"/>
      <c r="B15" s="3"/>
    </row>
    <row r="16" customFormat="false" ht="12.75" hidden="false" customHeight="false" outlineLevel="0" collapsed="false">
      <c r="A16" s="84" t="s">
        <v>234</v>
      </c>
      <c r="B16" s="84"/>
      <c r="C16" s="84"/>
      <c r="D16" s="84"/>
      <c r="E16" s="84"/>
    </row>
    <row r="17" customFormat="false" ht="12.75" hidden="false" customHeight="false" outlineLevel="0" collapsed="false">
      <c r="A17" s="119" t="s">
        <v>89</v>
      </c>
      <c r="B17" s="120" t="s">
        <v>93</v>
      </c>
      <c r="C17" s="131" t="n">
        <v>0.3</v>
      </c>
      <c r="D17" s="132" t="n">
        <f aca="false">AVERAGE(C17,E17)</f>
        <v>0.3</v>
      </c>
      <c r="E17" s="131" t="n">
        <v>0.3</v>
      </c>
    </row>
    <row r="18" customFormat="false" ht="12.75" hidden="false" customHeight="false" outlineLevel="0" collapsed="false">
      <c r="A18" s="1" t="s">
        <v>241</v>
      </c>
      <c r="B18" s="123" t="s">
        <v>110</v>
      </c>
      <c r="C18" s="1" t="n">
        <f aca="false">+C10</f>
        <v>1.3</v>
      </c>
      <c r="D18" s="1" t="n">
        <f aca="false">+D10</f>
        <v>1.25</v>
      </c>
      <c r="E18" s="1" t="n">
        <f aca="false">+E10</f>
        <v>1.2</v>
      </c>
    </row>
    <row r="19" customFormat="false" ht="12.75" hidden="false" customHeight="false" outlineLevel="0" collapsed="false">
      <c r="A19" s="124" t="s">
        <v>242</v>
      </c>
      <c r="B19" s="125" t="s">
        <v>116</v>
      </c>
      <c r="C19" s="77" t="n">
        <v>0.5</v>
      </c>
      <c r="D19" s="126" t="n">
        <f aca="false">AVERAGE(C19,E19)</f>
        <v>0.5</v>
      </c>
      <c r="E19" s="77" t="n">
        <v>0.5</v>
      </c>
    </row>
    <row r="20" customFormat="false" ht="12.75" hidden="false" customHeight="false" outlineLevel="0" collapsed="false">
      <c r="A20" s="29" t="s">
        <v>243</v>
      </c>
      <c r="B20" s="30" t="s">
        <v>121</v>
      </c>
      <c r="C20" s="127" t="n">
        <f aca="false">+C19*C18</f>
        <v>0.65</v>
      </c>
      <c r="D20" s="127" t="n">
        <f aca="false">+D19*D18</f>
        <v>0.625</v>
      </c>
      <c r="E20" s="127" t="n">
        <f aca="false">+E19*E18</f>
        <v>0.6</v>
      </c>
    </row>
    <row r="21" customFormat="false" ht="12.75" hidden="false" customHeight="false" outlineLevel="0" collapsed="false">
      <c r="A21" s="29" t="s">
        <v>243</v>
      </c>
      <c r="B21" s="30" t="s">
        <v>244</v>
      </c>
      <c r="C21" s="127" t="n">
        <f aca="false">+C19*C18*C9</f>
        <v>5.2</v>
      </c>
      <c r="D21" s="127" t="n">
        <f aca="false">+D19*D18*D9</f>
        <v>4.375</v>
      </c>
      <c r="E21" s="127" t="n">
        <f aca="false">+E19*E18*E9</f>
        <v>3.6</v>
      </c>
    </row>
    <row r="22" customFormat="false" ht="13.5" hidden="false" customHeight="false" outlineLevel="0" collapsed="false">
      <c r="A22" s="128" t="s">
        <v>243</v>
      </c>
      <c r="B22" s="129" t="s">
        <v>123</v>
      </c>
      <c r="C22" s="130" t="n">
        <f aca="false">+C21*C4</f>
        <v>1586</v>
      </c>
      <c r="D22" s="130" t="n">
        <f aca="false">+D21*D4</f>
        <v>1194.375</v>
      </c>
      <c r="E22" s="130" t="n">
        <f aca="false">+E21*E4</f>
        <v>867.6</v>
      </c>
    </row>
    <row r="23" customFormat="false" ht="12.75" hidden="false" customHeight="false" outlineLevel="0" collapsed="false">
      <c r="A23" s="3"/>
      <c r="B23" s="3"/>
      <c r="H23" s="133"/>
    </row>
    <row r="24" customFormat="false" ht="12.75" hidden="false" customHeight="false" outlineLevel="0" collapsed="false">
      <c r="A24" s="84" t="s">
        <v>246</v>
      </c>
      <c r="B24" s="84"/>
      <c r="C24" s="84"/>
      <c r="D24" s="84"/>
      <c r="E24" s="84"/>
    </row>
    <row r="25" customFormat="false" ht="12.75" hidden="false" customHeight="false" outlineLevel="0" collapsed="false">
      <c r="A25" s="119" t="s">
        <v>247</v>
      </c>
      <c r="B25" s="120" t="s">
        <v>162</v>
      </c>
      <c r="C25" s="134" t="n">
        <v>7</v>
      </c>
      <c r="D25" s="135" t="n">
        <f aca="false">AVERAGE(C25,E25)</f>
        <v>7</v>
      </c>
      <c r="E25" s="135" t="n">
        <f aca="false">C25</f>
        <v>7</v>
      </c>
    </row>
    <row r="26" customFormat="false" ht="12.75" hidden="false" customHeight="false" outlineLevel="0" collapsed="false">
      <c r="A26" s="124" t="s">
        <v>248</v>
      </c>
      <c r="B26" s="125" t="s">
        <v>167</v>
      </c>
      <c r="C26" s="136" t="n">
        <v>0.1</v>
      </c>
      <c r="D26" s="126" t="n">
        <f aca="false">AVERAGE(C26,E26)</f>
        <v>0.0875</v>
      </c>
      <c r="E26" s="136" t="n">
        <v>0.075</v>
      </c>
    </row>
    <row r="27" customFormat="false" ht="12.75" hidden="false" customHeight="false" outlineLevel="0" collapsed="false">
      <c r="A27" s="29" t="s">
        <v>249</v>
      </c>
      <c r="B27" s="30" t="s">
        <v>121</v>
      </c>
      <c r="C27" s="127" t="n">
        <f aca="false">C28/C9</f>
        <v>0.7</v>
      </c>
      <c r="D27" s="127" t="n">
        <f aca="false">D28/D9</f>
        <v>0.6125</v>
      </c>
      <c r="E27" s="127" t="n">
        <f aca="false">E28/E9</f>
        <v>0.525</v>
      </c>
    </row>
    <row r="28" customFormat="false" ht="12.75" hidden="false" customHeight="false" outlineLevel="0" collapsed="false">
      <c r="A28" s="29" t="s">
        <v>249</v>
      </c>
      <c r="B28" s="30" t="s">
        <v>244</v>
      </c>
      <c r="C28" s="127" t="n">
        <f aca="false">C26*C25*C9</f>
        <v>5.6</v>
      </c>
      <c r="D28" s="127" t="n">
        <f aca="false">D26*D25*D9</f>
        <v>4.2875</v>
      </c>
      <c r="E28" s="127" t="n">
        <f aca="false">E26*E25*E9</f>
        <v>3.15</v>
      </c>
    </row>
    <row r="29" customFormat="false" ht="13.5" hidden="false" customHeight="false" outlineLevel="0" collapsed="false">
      <c r="A29" s="128" t="s">
        <v>250</v>
      </c>
      <c r="B29" s="129" t="s">
        <v>123</v>
      </c>
      <c r="C29" s="130" t="n">
        <f aca="false">C28*C4</f>
        <v>1708</v>
      </c>
      <c r="D29" s="130" t="n">
        <f aca="false">D28*D4</f>
        <v>1170.4875</v>
      </c>
      <c r="E29" s="130" t="n">
        <f aca="false">E28*E4</f>
        <v>759.15</v>
      </c>
    </row>
    <row r="30" customFormat="false" ht="12.75" hidden="false" customHeight="false" outlineLevel="0" collapsed="false">
      <c r="A30" s="3"/>
      <c r="B30" s="3"/>
      <c r="D30" s="137"/>
    </row>
    <row r="31" customFormat="false" ht="15" hidden="false" customHeight="true" outlineLevel="0" collapsed="false">
      <c r="A31" s="138" t="s">
        <v>251</v>
      </c>
      <c r="B31" s="138"/>
      <c r="C31" s="138"/>
      <c r="D31" s="138"/>
      <c r="E31" s="138"/>
    </row>
    <row r="32" customFormat="false" ht="12.75" hidden="false" customHeight="false" outlineLevel="0" collapsed="false">
      <c r="A32" s="139" t="s">
        <v>252</v>
      </c>
      <c r="B32" s="140" t="s">
        <v>121</v>
      </c>
      <c r="C32" s="141" t="n">
        <f aca="false">+C27+C20*C17+C12</f>
        <v>2.195</v>
      </c>
      <c r="D32" s="141" t="n">
        <f aca="false">+D27+D20*D17+D12</f>
        <v>1.83125</v>
      </c>
      <c r="E32" s="141" t="n">
        <f aca="false">+E27+E20*E17+E12</f>
        <v>1.485</v>
      </c>
    </row>
    <row r="33" customFormat="false" ht="12.75" hidden="false" customHeight="false" outlineLevel="0" collapsed="false">
      <c r="A33" s="139" t="s">
        <v>252</v>
      </c>
      <c r="B33" s="140" t="s">
        <v>244</v>
      </c>
      <c r="C33" s="142" t="n">
        <f aca="false">+C28+C13+C21*C17</f>
        <v>17.56</v>
      </c>
      <c r="D33" s="142" t="n">
        <f aca="false">+D28+D13+D21*D17</f>
        <v>12.81875</v>
      </c>
      <c r="E33" s="142" t="n">
        <f aca="false">+E28+E13+E21*E17</f>
        <v>8.91</v>
      </c>
    </row>
    <row r="34" customFormat="false" ht="13.5" hidden="false" customHeight="false" outlineLevel="0" collapsed="false">
      <c r="A34" s="37" t="s">
        <v>252</v>
      </c>
      <c r="B34" s="38" t="s">
        <v>123</v>
      </c>
      <c r="C34" s="143" t="n">
        <f aca="false">+C29+C22*C17+C14</f>
        <v>5355.8</v>
      </c>
      <c r="D34" s="143" t="n">
        <f aca="false">+D29+D22*D17+D14</f>
        <v>3499.51875</v>
      </c>
      <c r="E34" s="143" t="n">
        <f aca="false">+E29+E22*E17+E14</f>
        <v>2147.31</v>
      </c>
    </row>
  </sheetData>
  <mergeCells count="4">
    <mergeCell ref="A3:E3"/>
    <mergeCell ref="A16:E16"/>
    <mergeCell ref="A24:E24"/>
    <mergeCell ref="A31:E31"/>
  </mergeCells>
  <printOptions headings="false" gridLines="false" gridLinesSet="true" horizontalCentered="true" verticalCentered="false"/>
  <pageMargins left="0.25" right="0.25" top="1.19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&amp;C&amp;"Tw Cen MT Condensed,Bold"XTRANSCO ECONOMIC ANALYSIS
Basic Calculations</oddHeader>
    <oddFooter>&amp;C&amp;"Tw Cen MT Condensed,Regular"&amp;P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3" activeCellId="0" sqref="A3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2.14"/>
    <col collapsed="false" customWidth="true" hidden="false" outlineLevel="0" max="2" min="2" style="2" width="9.28"/>
    <col collapsed="false" customWidth="true" hidden="false" outlineLevel="0" max="3" min="3" style="3" width="10.28"/>
    <col collapsed="false" customWidth="true" hidden="false" outlineLevel="0" max="4" min="4" style="3" width="9.85"/>
    <col collapsed="false" customWidth="true" hidden="false" outlineLevel="0" max="5" min="5" style="3" width="8.56"/>
    <col collapsed="false" customWidth="false" hidden="false" outlineLevel="0" max="257" min="6" style="3" width="9.14"/>
  </cols>
  <sheetData>
    <row r="1" customFormat="false" ht="13.5" hidden="false" customHeight="false" outlineLevel="0" collapsed="false">
      <c r="A1" s="114" t="s">
        <v>230</v>
      </c>
      <c r="B1" s="115"/>
      <c r="C1" s="116" t="s">
        <v>231</v>
      </c>
      <c r="D1" s="116" t="s">
        <v>232</v>
      </c>
      <c r="E1" s="116" t="s">
        <v>233</v>
      </c>
    </row>
    <row r="2" customFormat="false" ht="12.75" hidden="false" customHeight="false" outlineLevel="0" collapsed="false">
      <c r="A2" s="84"/>
      <c r="B2" s="117"/>
      <c r="C2" s="118"/>
      <c r="D2" s="118"/>
      <c r="E2" s="118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60"/>
      <c r="FE2" s="60"/>
      <c r="FF2" s="60"/>
      <c r="FG2" s="60"/>
      <c r="FH2" s="60"/>
      <c r="FI2" s="60"/>
      <c r="FJ2" s="60"/>
      <c r="FK2" s="60"/>
      <c r="FL2" s="60"/>
      <c r="FM2" s="60"/>
      <c r="FN2" s="60"/>
      <c r="FO2" s="60"/>
      <c r="FP2" s="60"/>
      <c r="FQ2" s="60"/>
      <c r="FR2" s="60"/>
      <c r="FS2" s="60"/>
      <c r="FT2" s="60"/>
      <c r="FU2" s="60"/>
      <c r="FV2" s="60"/>
      <c r="FW2" s="60"/>
      <c r="FX2" s="60"/>
      <c r="FY2" s="60"/>
      <c r="FZ2" s="60"/>
      <c r="GA2" s="60"/>
      <c r="GB2" s="60"/>
      <c r="GC2" s="60"/>
      <c r="GD2" s="60"/>
      <c r="GE2" s="60"/>
      <c r="GF2" s="60"/>
      <c r="GG2" s="60"/>
      <c r="GH2" s="60"/>
      <c r="GI2" s="60"/>
      <c r="GJ2" s="60"/>
      <c r="GK2" s="60"/>
      <c r="GL2" s="60"/>
      <c r="GM2" s="60"/>
      <c r="GN2" s="60"/>
      <c r="GO2" s="60"/>
      <c r="GP2" s="60"/>
      <c r="GQ2" s="60"/>
      <c r="GR2" s="60"/>
      <c r="GS2" s="60"/>
      <c r="GT2" s="60"/>
      <c r="GU2" s="60"/>
      <c r="GV2" s="60"/>
      <c r="GW2" s="60"/>
      <c r="GX2" s="60"/>
      <c r="GY2" s="60"/>
      <c r="GZ2" s="60"/>
      <c r="HA2" s="60"/>
      <c r="HB2" s="60"/>
      <c r="HC2" s="60"/>
      <c r="HD2" s="60"/>
      <c r="HE2" s="60"/>
      <c r="HF2" s="60"/>
      <c r="HG2" s="60"/>
      <c r="HH2" s="60"/>
      <c r="HI2" s="60"/>
      <c r="HJ2" s="60"/>
      <c r="HK2" s="60"/>
      <c r="HL2" s="60"/>
      <c r="HM2" s="60"/>
      <c r="HN2" s="60"/>
      <c r="HO2" s="60"/>
      <c r="HP2" s="60"/>
      <c r="HQ2" s="60"/>
      <c r="HR2" s="60"/>
      <c r="HS2" s="60"/>
      <c r="HT2" s="60"/>
      <c r="HU2" s="60"/>
      <c r="HV2" s="60"/>
      <c r="HW2" s="60"/>
      <c r="HX2" s="60"/>
      <c r="HY2" s="60"/>
      <c r="HZ2" s="60"/>
      <c r="IA2" s="60"/>
      <c r="IB2" s="60"/>
      <c r="IC2" s="60"/>
      <c r="ID2" s="60"/>
      <c r="IE2" s="60"/>
      <c r="IF2" s="60"/>
      <c r="IG2" s="60"/>
      <c r="IH2" s="60"/>
      <c r="II2" s="60"/>
      <c r="IJ2" s="60"/>
      <c r="IK2" s="60"/>
      <c r="IL2" s="60"/>
      <c r="IM2" s="60"/>
      <c r="IN2" s="60"/>
      <c r="IO2" s="60"/>
      <c r="IP2" s="60"/>
      <c r="IQ2" s="60"/>
      <c r="IR2" s="60"/>
      <c r="IS2" s="60"/>
      <c r="IT2" s="60"/>
      <c r="IU2" s="60"/>
      <c r="IV2" s="60"/>
      <c r="IW2" s="60"/>
    </row>
    <row r="3" customFormat="false" ht="12.75" hidden="false" customHeight="false" outlineLevel="0" collapsed="false">
      <c r="A3" s="84" t="s">
        <v>253</v>
      </c>
      <c r="B3" s="84"/>
      <c r="C3" s="84"/>
      <c r="D3" s="84"/>
      <c r="E3" s="84"/>
    </row>
    <row r="4" customFormat="false" ht="12.75" hidden="false" customHeight="false" outlineLevel="0" collapsed="false">
      <c r="A4" s="119" t="s">
        <v>254</v>
      </c>
      <c r="B4" s="120" t="s">
        <v>64</v>
      </c>
      <c r="C4" s="121" t="n">
        <v>120</v>
      </c>
      <c r="D4" s="122" t="n">
        <f aca="false">+C4</f>
        <v>120</v>
      </c>
      <c r="E4" s="122" t="n">
        <f aca="false">+D4</f>
        <v>120</v>
      </c>
    </row>
    <row r="5" customFormat="false" ht="12.75" hidden="false" customHeight="false" outlineLevel="0" collapsed="false">
      <c r="A5" s="27" t="s">
        <v>255</v>
      </c>
      <c r="B5" s="21" t="s">
        <v>64</v>
      </c>
      <c r="C5" s="15" t="n">
        <f aca="false">+C6/C4</f>
        <v>1842.75833333333</v>
      </c>
      <c r="D5" s="15" t="n">
        <f aca="false">+D6/D4</f>
        <v>1438.35833333333</v>
      </c>
      <c r="E5" s="15" t="n">
        <f aca="false">+E6/E4</f>
        <v>1033.95833333333</v>
      </c>
    </row>
    <row r="6" customFormat="false" ht="12.75" hidden="false" customHeight="false" outlineLevel="0" collapsed="false">
      <c r="A6" s="27" t="s">
        <v>256</v>
      </c>
      <c r="B6" s="21" t="s">
        <v>64</v>
      </c>
      <c r="C6" s="19" t="n">
        <f aca="false">367066-145935</f>
        <v>221131</v>
      </c>
      <c r="D6" s="15" t="n">
        <f aca="false">AVERAGE(C6,E6)</f>
        <v>172603</v>
      </c>
      <c r="E6" s="19" t="n">
        <v>124075</v>
      </c>
    </row>
    <row r="7" customFormat="false" ht="12.75" hidden="false" customHeight="false" outlineLevel="0" collapsed="false">
      <c r="A7" s="144" t="s">
        <v>257</v>
      </c>
      <c r="B7" s="120" t="s">
        <v>258</v>
      </c>
      <c r="C7" s="121" t="n">
        <f aca="false">MAX(Revenue!D12:N12)</f>
        <v>209650.955177683</v>
      </c>
      <c r="D7" s="122" t="n">
        <f aca="false">AVERAGE(C7,E7)</f>
        <v>105475.477588842</v>
      </c>
      <c r="E7" s="121" t="n">
        <f aca="false">MIN(Revenue!D12:N12)</f>
        <v>1300</v>
      </c>
    </row>
    <row r="8" customFormat="false" ht="12.75" hidden="false" customHeight="false" outlineLevel="0" collapsed="false">
      <c r="A8" s="27" t="s">
        <v>259</v>
      </c>
      <c r="B8" s="21" t="s">
        <v>260</v>
      </c>
      <c r="C8" s="15" t="n">
        <f aca="false">+'Basic Calculations'!C4</f>
        <v>305</v>
      </c>
      <c r="D8" s="15" t="n">
        <f aca="false">+'Basic Calculations'!D4</f>
        <v>273</v>
      </c>
      <c r="E8" s="15" t="n">
        <f aca="false">+'Basic Calculations'!E4</f>
        <v>241</v>
      </c>
    </row>
    <row r="9" customFormat="false" ht="12.75" hidden="false" customHeight="false" outlineLevel="0" collapsed="false">
      <c r="A9" s="27" t="s">
        <v>259</v>
      </c>
      <c r="B9" s="21" t="s">
        <v>58</v>
      </c>
      <c r="C9" s="59" t="n">
        <f aca="false">+C8/365</f>
        <v>0.835616438356164</v>
      </c>
      <c r="D9" s="59" t="n">
        <f aca="false">+D8/365</f>
        <v>0.747945205479452</v>
      </c>
      <c r="E9" s="59" t="n">
        <f aca="false">+E8/365</f>
        <v>0.66027397260274</v>
      </c>
    </row>
    <row r="10" customFormat="false" ht="12.75" hidden="false" customHeight="false" outlineLevel="0" collapsed="false">
      <c r="A10" s="27" t="s">
        <v>261</v>
      </c>
      <c r="B10" s="21" t="str">
        <f aca="false">'Basic Calculations'!B7</f>
        <v>Hours</v>
      </c>
      <c r="C10" s="145" t="n">
        <f aca="false">'Basic Calculations'!C7</f>
        <v>10.6666666666667</v>
      </c>
      <c r="D10" s="146" t="n">
        <f aca="false">'Basic Calculations'!D7</f>
        <v>10.6666666666667</v>
      </c>
      <c r="E10" s="146" t="n">
        <f aca="false">'Basic Calculations'!E7</f>
        <v>10.6666666666667</v>
      </c>
    </row>
    <row r="11" customFormat="false" ht="12.75" hidden="false" customHeight="false" outlineLevel="0" collapsed="false">
      <c r="A11" s="27" t="s">
        <v>262</v>
      </c>
      <c r="B11" s="21" t="s">
        <v>58</v>
      </c>
      <c r="C11" s="93" t="n">
        <v>0.73</v>
      </c>
      <c r="D11" s="147" t="n">
        <f aca="false">+C11</f>
        <v>0.73</v>
      </c>
      <c r="E11" s="147" t="n">
        <f aca="false">+D11</f>
        <v>0.73</v>
      </c>
    </row>
    <row r="12" customFormat="false" ht="12" hidden="false" customHeight="true" outlineLevel="0" collapsed="false">
      <c r="A12" s="27" t="s">
        <v>263</v>
      </c>
      <c r="B12" s="21" t="s">
        <v>58</v>
      </c>
      <c r="C12" s="72" t="n">
        <f aca="false">((1+C11)^(1/365)-1)*C8</f>
        <v>0.458363335708404</v>
      </c>
      <c r="D12" s="72" t="n">
        <f aca="false">((1+D11)^(1/365)-1)*D8</f>
        <v>0.410272756224243</v>
      </c>
      <c r="E12" s="72" t="n">
        <f aca="false">((1+E11)^(1/365)-1)*E8</f>
        <v>0.362182176740083</v>
      </c>
      <c r="F12" s="133"/>
    </row>
    <row r="13" customFormat="false" ht="12.75" hidden="false" customHeight="false" outlineLevel="0" collapsed="false">
      <c r="A13" s="27" t="s">
        <v>264</v>
      </c>
      <c r="B13" s="21" t="s">
        <v>64</v>
      </c>
      <c r="C13" s="79" t="n">
        <f aca="false">2.25*(1-C12)</f>
        <v>1.21868249465609</v>
      </c>
      <c r="D13" s="79" t="n">
        <f aca="false">2.25*(1-D12)</f>
        <v>1.32688629849545</v>
      </c>
      <c r="E13" s="79" t="n">
        <f aca="false">2.25*(1-E12)</f>
        <v>1.43509010233481</v>
      </c>
      <c r="G13" s="133"/>
    </row>
    <row r="14" customFormat="false" ht="12.75" hidden="false" customHeight="false" outlineLevel="0" collapsed="false">
      <c r="A14" s="148" t="s">
        <v>265</v>
      </c>
      <c r="B14" s="149" t="s">
        <v>64</v>
      </c>
      <c r="C14" s="150" t="n">
        <f aca="false">(C7*C9)/C13</f>
        <v>143751.785417235</v>
      </c>
      <c r="D14" s="150" t="n">
        <f aca="false">(D7*D9)/D13</f>
        <v>59454.8891247744</v>
      </c>
      <c r="E14" s="150" t="n">
        <f aca="false">(E7*E9)/E13</f>
        <v>598.120050432417</v>
      </c>
    </row>
    <row r="15" customFormat="false" ht="12.75" hidden="false" customHeight="false" outlineLevel="0" collapsed="false">
      <c r="A15" s="1" t="s">
        <v>266</v>
      </c>
      <c r="B15" s="123" t="s">
        <v>58</v>
      </c>
      <c r="C15" s="80" t="n">
        <v>0.94</v>
      </c>
      <c r="D15" s="59" t="n">
        <f aca="false">AVERAGE(C15,E15)</f>
        <v>0.865</v>
      </c>
      <c r="E15" s="80" t="n">
        <v>0.79</v>
      </c>
    </row>
    <row r="16" customFormat="false" ht="12.75" hidden="false" customHeight="false" outlineLevel="0" collapsed="false">
      <c r="A16" s="151" t="s">
        <v>267</v>
      </c>
      <c r="B16" s="152" t="s">
        <v>64</v>
      </c>
      <c r="C16" s="153" t="n">
        <f aca="false">+C14*C15</f>
        <v>135126.678292201</v>
      </c>
      <c r="D16" s="153" t="n">
        <f aca="false">+D14*D15</f>
        <v>51428.4790929299</v>
      </c>
      <c r="E16" s="153" t="n">
        <f aca="false">+E14*E15</f>
        <v>472.51483984161</v>
      </c>
    </row>
    <row r="17" customFormat="false" ht="12.75" hidden="false" customHeight="false" outlineLevel="0" collapsed="false">
      <c r="A17" s="154" t="s">
        <v>268</v>
      </c>
      <c r="B17" s="155" t="s">
        <v>64</v>
      </c>
      <c r="C17" s="156" t="n">
        <f aca="false">+C4</f>
        <v>120</v>
      </c>
      <c r="D17" s="157" t="n">
        <f aca="false">AVERAGE(C17,E17)</f>
        <v>72.5</v>
      </c>
      <c r="E17" s="156" t="n">
        <v>25</v>
      </c>
    </row>
    <row r="18" customFormat="false" ht="12.75" hidden="false" customHeight="false" outlineLevel="0" collapsed="false">
      <c r="A18" s="158" t="s">
        <v>269</v>
      </c>
      <c r="B18" s="159" t="s">
        <v>64</v>
      </c>
      <c r="C18" s="160" t="n">
        <f aca="false">+C16/C17</f>
        <v>1126.05565243501</v>
      </c>
      <c r="D18" s="160" t="n">
        <f aca="false">+D16/D17</f>
        <v>709.358332316274</v>
      </c>
      <c r="E18" s="160" t="n">
        <f aca="false">+E16/E17</f>
        <v>18.9005935936644</v>
      </c>
    </row>
    <row r="19" customFormat="false" ht="12.75" hidden="false" customHeight="false" outlineLevel="0" collapsed="false">
      <c r="A19" s="27" t="s">
        <v>270</v>
      </c>
      <c r="B19" s="21" t="s">
        <v>58</v>
      </c>
      <c r="C19" s="59" t="n">
        <f aca="false">+C18/C5</f>
        <v>0.611070715061213</v>
      </c>
      <c r="D19" s="59" t="n">
        <f aca="false">+D18/D5</f>
        <v>0.493172192128485</v>
      </c>
      <c r="E19" s="87" t="n">
        <f aca="false">+E18/E5</f>
        <v>0.0182798406708823</v>
      </c>
    </row>
    <row r="20" customFormat="false" ht="12.75" hidden="false" customHeight="false" outlineLevel="0" collapsed="false">
      <c r="A20" s="27" t="s">
        <v>271</v>
      </c>
      <c r="B20" s="21" t="s">
        <v>58</v>
      </c>
      <c r="C20" s="59" t="n">
        <f aca="false">+C16/C6</f>
        <v>0.611070715061213</v>
      </c>
      <c r="D20" s="59" t="n">
        <f aca="false">+D16/D6</f>
        <v>0.29795819941096</v>
      </c>
      <c r="E20" s="59" t="n">
        <f aca="false">+E16/E6</f>
        <v>0.00380830013976716</v>
      </c>
    </row>
    <row r="21" customFormat="false" ht="12.75" hidden="false" customHeight="false" outlineLevel="0" collapsed="false">
      <c r="A21" s="33" t="s">
        <v>272</v>
      </c>
      <c r="B21" s="34" t="s">
        <v>101</v>
      </c>
      <c r="C21" s="36" t="n">
        <f aca="false">+C16*365*24</f>
        <v>1183709701.83968</v>
      </c>
      <c r="D21" s="36" t="n">
        <f aca="false">+D16*365*24</f>
        <v>450513476.854066</v>
      </c>
      <c r="E21" s="36" t="n">
        <f aca="false">+E16*365*24</f>
        <v>4139229.9970125</v>
      </c>
    </row>
    <row r="22" customFormat="false" ht="12.75" hidden="false" customHeight="false" outlineLevel="0" collapsed="false">
      <c r="A22" s="161" t="s">
        <v>273</v>
      </c>
      <c r="B22" s="162" t="s">
        <v>58</v>
      </c>
      <c r="C22" s="163" t="n">
        <f aca="false">C7*C10*C8/C21</f>
        <v>0.576209217331485</v>
      </c>
      <c r="D22" s="163" t="n">
        <f aca="false">D7*D10*D8/D21</f>
        <v>0.681765599740759</v>
      </c>
      <c r="E22" s="163" t="n">
        <f aca="false">E7*E10*E8/E21</f>
        <v>0.807364333240401</v>
      </c>
    </row>
    <row r="23" customFormat="false" ht="12.75" hidden="false" customHeight="false" outlineLevel="0" collapsed="false">
      <c r="A23" s="164" t="s">
        <v>274</v>
      </c>
      <c r="B23" s="165" t="s">
        <v>105</v>
      </c>
      <c r="C23" s="166" t="n">
        <f aca="false">+'Basic Calculations'!C9</f>
        <v>8</v>
      </c>
      <c r="D23" s="166" t="n">
        <f aca="false">+'Basic Calculations'!D9</f>
        <v>7</v>
      </c>
      <c r="E23" s="166" t="n">
        <f aca="false">+'Basic Calculations'!E9</f>
        <v>6</v>
      </c>
    </row>
    <row r="24" customFormat="false" ht="12.75" hidden="false" customHeight="false" outlineLevel="0" collapsed="false">
      <c r="A24" s="167" t="s">
        <v>275</v>
      </c>
      <c r="B24" s="168" t="s">
        <v>58</v>
      </c>
      <c r="C24" s="169" t="n">
        <f aca="false">+C7*C23*C8/C21</f>
        <v>0.432156912998614</v>
      </c>
      <c r="D24" s="169" t="n">
        <f aca="false">+D7*D23*D8/D21</f>
        <v>0.447408674829873</v>
      </c>
      <c r="E24" s="169" t="n">
        <f aca="false">+E7*E23*E8/E21</f>
        <v>0.454142437447726</v>
      </c>
    </row>
    <row r="25" customFormat="false" ht="12.75" hidden="false" customHeight="false" outlineLevel="0" collapsed="false">
      <c r="A25" s="170" t="s">
        <v>276</v>
      </c>
      <c r="B25" s="171" t="s">
        <v>64</v>
      </c>
      <c r="C25" s="172" t="n">
        <f aca="false">+C16/C7</f>
        <v>0.644531660624578</v>
      </c>
      <c r="D25" s="172" t="n">
        <f aca="false">+D16/D7</f>
        <v>0.487587070175737</v>
      </c>
      <c r="E25" s="172" t="n">
        <f aca="false">+E16/E7</f>
        <v>0.363472953724315</v>
      </c>
    </row>
  </sheetData>
  <mergeCells count="1">
    <mergeCell ref="A3:E3"/>
  </mergeCells>
  <printOptions headings="false" gridLines="false" gridLinesSet="true" horizontalCentered="true" verticalCentered="false"/>
  <pageMargins left="0.25" right="0.25" top="1.19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&amp;C&amp;"Tw Cen MT Condensed,Bold"XTRANSCO ECONOMIC ANALYSIS
Capacity Calculations</oddHeader>
    <oddFooter>&amp;C&amp;"Tw Cen MT Condensed,Regular"&amp;P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2001-08-31T16:31:24Z</dcterms:created>
  <dc:creator>Michael Finger</dc:creator>
  <dc:description/>
  <dc:language>en-US</dc:language>
  <cp:lastModifiedBy>hmurillo</cp:lastModifiedBy>
  <cp:lastPrinted>2001-09-19T23:03:03Z</cp:lastPrinted>
  <dcterms:modified xsi:type="dcterms:W3CDTF">2001-09-24T16:25:14Z</dcterms:modified>
  <cp:revision>0</cp:revision>
  <dc:subject/>
  <dc:title/>
</cp:coreProperties>
</file>